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tenjol/Documents/Persoonlijk/Voetbal/Scorito/"/>
    </mc:Choice>
  </mc:AlternateContent>
  <xr:revisionPtr revIDLastSave="0" documentId="13_ncr:1_{EB2B3A15-67E1-8047-B8DB-5260FFE6E4AF}" xr6:coauthVersionLast="47" xr6:coauthVersionMax="47" xr10:uidLastSave="{00000000-0000-0000-0000-000000000000}"/>
  <bookViews>
    <workbookView xWindow="0" yWindow="500" windowWidth="28800" windowHeight="15980" xr2:uid="{7A30B9F3-6700-4C40-AD21-4BF27996EFF7}"/>
  </bookViews>
  <sheets>
    <sheet name="1e 4 Wedstr." sheetId="1" r:id="rId1"/>
    <sheet name="Bracket tot R16" sheetId="7" r:id="rId2"/>
    <sheet name="PTS 1e SHelft" sheetId="11" r:id="rId3"/>
    <sheet name="Data tot wstop" sheetId="8" r:id="rId4"/>
    <sheet name="Ronde 17-19" sheetId="14" r:id="rId5"/>
    <sheet name="Data tm deadline" sheetId="2" r:id="rId6"/>
    <sheet name="Bracket na wstop" sheetId="5" r:id="rId7"/>
    <sheet name="Pt 2e sznshelft" sheetId="3" r:id="rId8"/>
    <sheet name="Concurrentie 2e helft" sheetId="15" r:id="rId9"/>
    <sheet name="Pot. Teams" sheetId="9" r:id="rId10"/>
    <sheet name="Strafschoppen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7" i="3" l="1"/>
  <c r="W96" i="3"/>
  <c r="U96" i="3"/>
  <c r="N88" i="3"/>
  <c r="W88" i="3" s="1"/>
  <c r="G93" i="3"/>
  <c r="F93" i="3"/>
  <c r="W93" i="3" s="1"/>
  <c r="W97" i="3"/>
  <c r="U97" i="3"/>
  <c r="O97" i="3"/>
  <c r="O98" i="3"/>
  <c r="N98" i="3"/>
  <c r="W98" i="3" s="1"/>
  <c r="M98" i="3"/>
  <c r="J98" i="3"/>
  <c r="F98" i="3"/>
  <c r="U98" i="3" s="1"/>
  <c r="L94" i="3"/>
  <c r="W94" i="3" s="1"/>
  <c r="W105" i="3"/>
  <c r="U105" i="3"/>
  <c r="K105" i="3"/>
  <c r="K89" i="3"/>
  <c r="H89" i="3"/>
  <c r="W89" i="3" s="1"/>
  <c r="W100" i="3"/>
  <c r="U100" i="3"/>
  <c r="S100" i="3"/>
  <c r="W99" i="3"/>
  <c r="U99" i="3"/>
  <c r="S95" i="3"/>
  <c r="M95" i="3"/>
  <c r="J95" i="3"/>
  <c r="W95" i="3" s="1"/>
  <c r="Q92" i="3"/>
  <c r="N92" i="3"/>
  <c r="L92" i="3"/>
  <c r="W92" i="3" s="1"/>
  <c r="W91" i="3"/>
  <c r="U91" i="3"/>
  <c r="W90" i="3"/>
  <c r="U90" i="3"/>
  <c r="N103" i="3"/>
  <c r="W103" i="3" s="1"/>
  <c r="N102" i="3"/>
  <c r="W102" i="3" s="1"/>
  <c r="T104" i="3"/>
  <c r="M104" i="3"/>
  <c r="L104" i="3"/>
  <c r="K104" i="3"/>
  <c r="W104" i="3" s="1"/>
  <c r="T101" i="3"/>
  <c r="R101" i="3"/>
  <c r="W101" i="3" s="1"/>
  <c r="N101" i="3"/>
  <c r="L101" i="3"/>
  <c r="H101" i="3"/>
  <c r="G101" i="3"/>
  <c r="F101" i="3"/>
  <c r="U101" i="3" s="1"/>
  <c r="T145" i="3"/>
  <c r="S142" i="3"/>
  <c r="S122" i="3"/>
  <c r="T124" i="3"/>
  <c r="R124" i="3"/>
  <c r="T143" i="3"/>
  <c r="R143" i="3"/>
  <c r="T57" i="3"/>
  <c r="T81" i="3"/>
  <c r="T70" i="3"/>
  <c r="T52" i="3"/>
  <c r="T46" i="3"/>
  <c r="T74" i="3"/>
  <c r="T38" i="3"/>
  <c r="T15" i="3"/>
  <c r="S63" i="3"/>
  <c r="S64" i="3"/>
  <c r="S75" i="3"/>
  <c r="S31" i="3"/>
  <c r="S14" i="3"/>
  <c r="S17" i="3"/>
  <c r="S9" i="3"/>
  <c r="R48" i="3"/>
  <c r="R64" i="3"/>
  <c r="R51" i="3"/>
  <c r="R15" i="3"/>
  <c r="U88" i="3" l="1"/>
  <c r="U93" i="3"/>
  <c r="U94" i="3"/>
  <c r="U89" i="3"/>
  <c r="U95" i="3"/>
  <c r="U92" i="3"/>
  <c r="U103" i="3"/>
  <c r="U102" i="3"/>
  <c r="U104" i="3"/>
  <c r="P121" i="3"/>
  <c r="P116" i="3"/>
  <c r="C107" i="3"/>
  <c r="Q64" i="3" l="1"/>
  <c r="Q42" i="3"/>
  <c r="Q59" i="3"/>
  <c r="Q66" i="3"/>
  <c r="P28" i="3" l="1"/>
  <c r="P57" i="3"/>
  <c r="P27" i="3"/>
  <c r="W2" i="3"/>
  <c r="P49" i="3"/>
  <c r="P13" i="3"/>
  <c r="N65" i="3"/>
  <c r="O65" i="3"/>
  <c r="O51" i="3"/>
  <c r="N51" i="3"/>
  <c r="N77" i="3"/>
  <c r="N48" i="3"/>
  <c r="O44" i="3"/>
  <c r="O53" i="3"/>
  <c r="N53" i="3"/>
  <c r="N42" i="3"/>
  <c r="O27" i="3"/>
  <c r="N24" i="3"/>
  <c r="N26" i="3"/>
  <c r="O60" i="3"/>
  <c r="O40" i="3"/>
  <c r="N28" i="3"/>
  <c r="O28" i="3"/>
  <c r="O57" i="3"/>
  <c r="N69" i="3"/>
  <c r="O23" i="3"/>
  <c r="O39" i="3"/>
  <c r="O13" i="3"/>
  <c r="N17" i="3"/>
  <c r="N15" i="3"/>
  <c r="L116" i="3" l="1"/>
  <c r="M27" i="3"/>
  <c r="M65" i="3"/>
  <c r="M81" i="3"/>
  <c r="M9" i="3"/>
  <c r="L82" i="3" l="1"/>
  <c r="L31" i="3"/>
  <c r="L78" i="3"/>
  <c r="L25" i="3"/>
  <c r="L81" i="3"/>
  <c r="L29" i="3"/>
  <c r="W54" i="3"/>
  <c r="W55" i="3"/>
  <c r="U54" i="3"/>
  <c r="L42" i="3"/>
  <c r="U42" i="3" s="1"/>
  <c r="L15" i="3"/>
  <c r="L7" i="3"/>
  <c r="W42" i="3"/>
  <c r="K76" i="3"/>
  <c r="K116" i="3"/>
  <c r="K27" i="3"/>
  <c r="K44" i="3"/>
  <c r="K45" i="3"/>
  <c r="K81" i="3"/>
  <c r="K3" i="3"/>
  <c r="K19" i="3"/>
  <c r="K16" i="3"/>
  <c r="J44" i="3"/>
  <c r="J27" i="3"/>
  <c r="F73" i="3"/>
  <c r="J73" i="3"/>
  <c r="J65" i="3"/>
  <c r="J31" i="3"/>
  <c r="J30" i="3"/>
  <c r="J76" i="3"/>
  <c r="J9" i="3"/>
  <c r="I44" i="3"/>
  <c r="I48" i="3"/>
  <c r="W24" i="3"/>
  <c r="U24" i="3"/>
  <c r="I59" i="3"/>
  <c r="I46" i="3"/>
  <c r="H116" i="3"/>
  <c r="H51" i="3"/>
  <c r="H44" i="3"/>
  <c r="H27" i="3"/>
  <c r="H28" i="3"/>
  <c r="H25" i="3"/>
  <c r="H74" i="3"/>
  <c r="H67" i="3"/>
  <c r="H47" i="3"/>
  <c r="H15" i="3"/>
  <c r="H3" i="3"/>
  <c r="U73" i="3" l="1"/>
  <c r="W73" i="3"/>
  <c r="C148" i="3"/>
  <c r="C128" i="3"/>
  <c r="G143" i="3"/>
  <c r="F143" i="3"/>
  <c r="G136" i="3"/>
  <c r="F136" i="3"/>
  <c r="W147" i="3"/>
  <c r="U147" i="3"/>
  <c r="W146" i="3"/>
  <c r="U146" i="3"/>
  <c r="W145" i="3"/>
  <c r="U145" i="3"/>
  <c r="W144" i="3"/>
  <c r="U144" i="3"/>
  <c r="W142" i="3"/>
  <c r="U142" i="3"/>
  <c r="W141" i="3"/>
  <c r="U141" i="3"/>
  <c r="W140" i="3"/>
  <c r="U140" i="3"/>
  <c r="W139" i="3"/>
  <c r="U139" i="3"/>
  <c r="W138" i="3"/>
  <c r="U138" i="3"/>
  <c r="W137" i="3"/>
  <c r="U137" i="3"/>
  <c r="W135" i="3"/>
  <c r="U135" i="3"/>
  <c r="W134" i="3"/>
  <c r="U134" i="3"/>
  <c r="W133" i="3"/>
  <c r="U133" i="3"/>
  <c r="W132" i="3"/>
  <c r="U132" i="3"/>
  <c r="U131" i="3"/>
  <c r="W131" i="3"/>
  <c r="W130" i="3"/>
  <c r="U130" i="3"/>
  <c r="AB23" i="9"/>
  <c r="Z20" i="9"/>
  <c r="U2" i="3"/>
  <c r="G33" i="3"/>
  <c r="G15" i="3"/>
  <c r="G44" i="3"/>
  <c r="G27" i="3"/>
  <c r="G53" i="3"/>
  <c r="W53" i="3" s="1"/>
  <c r="G30" i="3"/>
  <c r="U30" i="3" s="1"/>
  <c r="W20" i="9"/>
  <c r="AC5" i="9"/>
  <c r="AC6" i="9"/>
  <c r="AC7" i="9"/>
  <c r="AC8" i="9"/>
  <c r="AB9" i="9"/>
  <c r="G111" i="3"/>
  <c r="U111" i="3" s="1"/>
  <c r="F28" i="3"/>
  <c r="W28" i="3" s="1"/>
  <c r="G67" i="3"/>
  <c r="G8" i="3"/>
  <c r="AS18" i="5"/>
  <c r="AF18" i="5"/>
  <c r="AR18" i="5"/>
  <c r="F44" i="3"/>
  <c r="F51" i="3"/>
  <c r="U51" i="3" s="1"/>
  <c r="F65" i="3"/>
  <c r="W65" i="3" s="1"/>
  <c r="F27" i="3"/>
  <c r="U110" i="3"/>
  <c r="W110" i="3"/>
  <c r="U112" i="3"/>
  <c r="W112" i="3"/>
  <c r="U113" i="3"/>
  <c r="W113" i="3"/>
  <c r="U114" i="3"/>
  <c r="W114" i="3"/>
  <c r="U115" i="3"/>
  <c r="W115" i="3"/>
  <c r="U116" i="3"/>
  <c r="W116" i="3"/>
  <c r="U117" i="3"/>
  <c r="W117" i="3"/>
  <c r="U118" i="3"/>
  <c r="W118" i="3"/>
  <c r="U119" i="3"/>
  <c r="W119" i="3"/>
  <c r="U120" i="3"/>
  <c r="W120" i="3"/>
  <c r="U121" i="3"/>
  <c r="W121" i="3"/>
  <c r="U122" i="3"/>
  <c r="W122" i="3"/>
  <c r="U123" i="3"/>
  <c r="W123" i="3"/>
  <c r="U124" i="3"/>
  <c r="W124" i="3"/>
  <c r="U125" i="3"/>
  <c r="W125" i="3"/>
  <c r="U126" i="3"/>
  <c r="W126" i="3"/>
  <c r="U127" i="3"/>
  <c r="W127" i="3"/>
  <c r="W3" i="3"/>
  <c r="W4" i="3"/>
  <c r="W5" i="3"/>
  <c r="W6" i="3"/>
  <c r="W7" i="3"/>
  <c r="W9" i="3"/>
  <c r="W10" i="3"/>
  <c r="W11" i="3"/>
  <c r="W12" i="3"/>
  <c r="W13" i="3"/>
  <c r="W14" i="3"/>
  <c r="W16" i="3"/>
  <c r="W17" i="3"/>
  <c r="W18" i="3"/>
  <c r="W19" i="3"/>
  <c r="W22" i="3"/>
  <c r="W23" i="3"/>
  <c r="W25" i="3"/>
  <c r="W29" i="3"/>
  <c r="W31" i="3"/>
  <c r="W32" i="3"/>
  <c r="W35" i="3"/>
  <c r="W36" i="3"/>
  <c r="W37" i="3"/>
  <c r="W38" i="3"/>
  <c r="W39" i="3"/>
  <c r="W40" i="3"/>
  <c r="W41" i="3"/>
  <c r="W45" i="3"/>
  <c r="W46" i="3"/>
  <c r="W47" i="3"/>
  <c r="W49" i="3"/>
  <c r="W52" i="3"/>
  <c r="W56" i="3"/>
  <c r="W57" i="3"/>
  <c r="W58" i="3"/>
  <c r="W59" i="3"/>
  <c r="W60" i="3"/>
  <c r="W61" i="3"/>
  <c r="W62" i="3"/>
  <c r="W64" i="3"/>
  <c r="W66" i="3"/>
  <c r="W68" i="3"/>
  <c r="W69" i="3"/>
  <c r="W71" i="3"/>
  <c r="W72" i="3"/>
  <c r="W74" i="3"/>
  <c r="W75" i="3"/>
  <c r="W76" i="3"/>
  <c r="W77" i="3"/>
  <c r="W78" i="3"/>
  <c r="W79" i="3"/>
  <c r="W80" i="3"/>
  <c r="W81" i="3"/>
  <c r="W82" i="3"/>
  <c r="E64" i="3"/>
  <c r="U64" i="3" s="1"/>
  <c r="U77" i="3"/>
  <c r="U66" i="3"/>
  <c r="U68" i="3"/>
  <c r="U69" i="3"/>
  <c r="U71" i="3"/>
  <c r="U72" i="3"/>
  <c r="U74" i="3"/>
  <c r="U75" i="3"/>
  <c r="U76" i="3"/>
  <c r="U78" i="3"/>
  <c r="U79" i="3"/>
  <c r="U80" i="3"/>
  <c r="U81" i="3"/>
  <c r="U82" i="3"/>
  <c r="U3" i="3"/>
  <c r="U4" i="3"/>
  <c r="U5" i="3"/>
  <c r="U6" i="3"/>
  <c r="U7" i="3"/>
  <c r="U9" i="3"/>
  <c r="U10" i="3"/>
  <c r="U11" i="3"/>
  <c r="U12" i="3"/>
  <c r="U13" i="3"/>
  <c r="U14" i="3"/>
  <c r="U16" i="3"/>
  <c r="U17" i="3"/>
  <c r="U18" i="3"/>
  <c r="U19" i="3"/>
  <c r="U22" i="3"/>
  <c r="U23" i="3"/>
  <c r="U25" i="3"/>
  <c r="U29" i="3"/>
  <c r="U31" i="3"/>
  <c r="U32" i="3"/>
  <c r="U35" i="3"/>
  <c r="U36" i="3"/>
  <c r="U37" i="3"/>
  <c r="U38" i="3"/>
  <c r="U39" i="3"/>
  <c r="U40" i="3"/>
  <c r="U41" i="3"/>
  <c r="U45" i="3"/>
  <c r="U46" i="3"/>
  <c r="U47" i="3"/>
  <c r="U49" i="3"/>
  <c r="U52" i="3"/>
  <c r="U55" i="3"/>
  <c r="U56" i="3"/>
  <c r="U57" i="3"/>
  <c r="U58" i="3"/>
  <c r="U59" i="3"/>
  <c r="U60" i="3"/>
  <c r="U61" i="3"/>
  <c r="U62" i="3"/>
  <c r="S2" i="11"/>
  <c r="Q3" i="11"/>
  <c r="Q26" i="11"/>
  <c r="F48" i="3"/>
  <c r="U48" i="3" s="1"/>
  <c r="F43" i="3"/>
  <c r="U43" i="3" s="1"/>
  <c r="F34" i="3"/>
  <c r="U34" i="3" s="1"/>
  <c r="F33" i="3"/>
  <c r="F26" i="3"/>
  <c r="U26" i="3" s="1"/>
  <c r="F63" i="3"/>
  <c r="U63" i="3" s="1"/>
  <c r="F50" i="3"/>
  <c r="U50" i="3" s="1"/>
  <c r="F70" i="3"/>
  <c r="U70" i="3" s="1"/>
  <c r="F67" i="3"/>
  <c r="F15" i="3"/>
  <c r="F8" i="3"/>
  <c r="AF8" i="9"/>
  <c r="AF7" i="9"/>
  <c r="AF6" i="9"/>
  <c r="AF5" i="9"/>
  <c r="AM39" i="5"/>
  <c r="AL39" i="5"/>
  <c r="AD9" i="9"/>
  <c r="X45" i="2"/>
  <c r="W45" i="2"/>
  <c r="V45" i="2"/>
  <c r="U45" i="2"/>
  <c r="T45" i="2"/>
  <c r="N45" i="2"/>
  <c r="I45" i="2"/>
  <c r="S39" i="5"/>
  <c r="T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39" i="5"/>
  <c r="V134" i="2"/>
  <c r="X2" i="2"/>
  <c r="X3" i="2"/>
  <c r="X5" i="2"/>
  <c r="X4" i="2"/>
  <c r="X73" i="2"/>
  <c r="X95" i="2"/>
  <c r="X94" i="2"/>
  <c r="X96" i="2"/>
  <c r="X97" i="2"/>
  <c r="X175" i="2"/>
  <c r="X176" i="2"/>
  <c r="X177" i="2"/>
  <c r="X178" i="2"/>
  <c r="X9" i="2"/>
  <c r="X8" i="2"/>
  <c r="X7" i="2"/>
  <c r="X6" i="2"/>
  <c r="X10" i="2"/>
  <c r="X74" i="2"/>
  <c r="X100" i="2"/>
  <c r="X101" i="2"/>
  <c r="X99" i="2"/>
  <c r="X102" i="2"/>
  <c r="X182" i="2"/>
  <c r="X181" i="2"/>
  <c r="X179" i="2"/>
  <c r="X180" i="2"/>
  <c r="X15" i="2"/>
  <c r="X14" i="2"/>
  <c r="X13" i="2"/>
  <c r="X12" i="2"/>
  <c r="X11" i="2"/>
  <c r="X75" i="2"/>
  <c r="X76" i="2"/>
  <c r="X105" i="2"/>
  <c r="X103" i="2"/>
  <c r="X104" i="2"/>
  <c r="X184" i="2"/>
  <c r="X185" i="2"/>
  <c r="X183" i="2"/>
  <c r="X186" i="2"/>
  <c r="X187" i="2"/>
  <c r="X188" i="2"/>
  <c r="X16" i="2"/>
  <c r="X17" i="2"/>
  <c r="X18" i="2"/>
  <c r="X20" i="2"/>
  <c r="X21" i="2"/>
  <c r="X19" i="2"/>
  <c r="X77" i="2"/>
  <c r="X108" i="2"/>
  <c r="X106" i="2"/>
  <c r="X107" i="2"/>
  <c r="X193" i="2"/>
  <c r="X190" i="2"/>
  <c r="X191" i="2"/>
  <c r="X189" i="2"/>
  <c r="X192" i="2"/>
  <c r="X24" i="2"/>
  <c r="X22" i="2"/>
  <c r="X23" i="2"/>
  <c r="X25" i="2"/>
  <c r="X78" i="2"/>
  <c r="X79" i="2"/>
  <c r="X109" i="2"/>
  <c r="X111" i="2"/>
  <c r="X110" i="2"/>
  <c r="X196" i="2"/>
  <c r="X194" i="2"/>
  <c r="X195" i="2"/>
  <c r="X198" i="2"/>
  <c r="X197" i="2"/>
  <c r="X28" i="2"/>
  <c r="X26" i="2"/>
  <c r="X27" i="2"/>
  <c r="X80" i="2"/>
  <c r="X113" i="2"/>
  <c r="X115" i="2"/>
  <c r="X114" i="2"/>
  <c r="X116" i="2"/>
  <c r="X112" i="2"/>
  <c r="X203" i="2"/>
  <c r="X200" i="2"/>
  <c r="X202" i="2"/>
  <c r="X199" i="2"/>
  <c r="X204" i="2"/>
  <c r="X201" i="2"/>
  <c r="X30" i="2"/>
  <c r="X31" i="2"/>
  <c r="X32" i="2"/>
  <c r="X33" i="2"/>
  <c r="X29" i="2"/>
  <c r="X81" i="2"/>
  <c r="X117" i="2"/>
  <c r="X119" i="2"/>
  <c r="X120" i="2"/>
  <c r="X118" i="2"/>
  <c r="X208" i="2"/>
  <c r="X206" i="2"/>
  <c r="X207" i="2"/>
  <c r="X205" i="2"/>
  <c r="X34" i="2"/>
  <c r="X37" i="2"/>
  <c r="X35" i="2"/>
  <c r="X36" i="2"/>
  <c r="X82" i="2"/>
  <c r="X121" i="2"/>
  <c r="X122" i="2"/>
  <c r="X125" i="2"/>
  <c r="X124" i="2"/>
  <c r="X123" i="2"/>
  <c r="X213" i="2"/>
  <c r="X212" i="2"/>
  <c r="X210" i="2"/>
  <c r="X209" i="2"/>
  <c r="X211" i="2"/>
  <c r="X40" i="2"/>
  <c r="X41" i="2"/>
  <c r="X38" i="2"/>
  <c r="X42" i="2"/>
  <c r="X39" i="2"/>
  <c r="X84" i="2"/>
  <c r="X126" i="2"/>
  <c r="X128" i="2"/>
  <c r="X127" i="2"/>
  <c r="X214" i="2"/>
  <c r="X44" i="2"/>
  <c r="X43" i="2"/>
  <c r="X85" i="2"/>
  <c r="X130" i="2"/>
  <c r="X135" i="2"/>
  <c r="X132" i="2"/>
  <c r="X131" i="2"/>
  <c r="X134" i="2"/>
  <c r="X129" i="2"/>
  <c r="X133" i="2"/>
  <c r="X218" i="2"/>
  <c r="X216" i="2"/>
  <c r="X215" i="2"/>
  <c r="X219" i="2"/>
  <c r="X217" i="2"/>
  <c r="X47" i="2"/>
  <c r="X46" i="2"/>
  <c r="X86" i="2"/>
  <c r="X140" i="2"/>
  <c r="X137" i="2"/>
  <c r="X141" i="2"/>
  <c r="X138" i="2"/>
  <c r="X139" i="2"/>
  <c r="X136" i="2"/>
  <c r="X220" i="2"/>
  <c r="X222" i="2"/>
  <c r="X223" i="2"/>
  <c r="X221" i="2"/>
  <c r="X49" i="2"/>
  <c r="X52" i="2"/>
  <c r="X53" i="2"/>
  <c r="X51" i="2"/>
  <c r="X50" i="2"/>
  <c r="X48" i="2"/>
  <c r="X87" i="2"/>
  <c r="X144" i="2"/>
  <c r="X145" i="2"/>
  <c r="X143" i="2"/>
  <c r="X142" i="2"/>
  <c r="X146" i="2"/>
  <c r="X225" i="2"/>
  <c r="X227" i="2"/>
  <c r="X226" i="2"/>
  <c r="X224" i="2"/>
  <c r="X228" i="2"/>
  <c r="X55" i="2"/>
  <c r="X58" i="2"/>
  <c r="X57" i="2"/>
  <c r="X54" i="2"/>
  <c r="X88" i="2"/>
  <c r="X147" i="2"/>
  <c r="X149" i="2"/>
  <c r="X148" i="2"/>
  <c r="X150" i="2"/>
  <c r="X232" i="2"/>
  <c r="X233" i="2"/>
  <c r="X230" i="2"/>
  <c r="X231" i="2"/>
  <c r="X229" i="2"/>
  <c r="X61" i="2"/>
  <c r="X62" i="2"/>
  <c r="X60" i="2"/>
  <c r="X59" i="2"/>
  <c r="X89" i="2"/>
  <c r="X151" i="2"/>
  <c r="X154" i="2"/>
  <c r="X152" i="2"/>
  <c r="X155" i="2"/>
  <c r="X153" i="2"/>
  <c r="X235" i="2"/>
  <c r="X240" i="2"/>
  <c r="X239" i="2"/>
  <c r="X238" i="2"/>
  <c r="X236" i="2"/>
  <c r="X237" i="2"/>
  <c r="X234" i="2"/>
  <c r="X63" i="2"/>
  <c r="X64" i="2"/>
  <c r="X90" i="2"/>
  <c r="X160" i="2"/>
  <c r="X156" i="2"/>
  <c r="X159" i="2"/>
  <c r="X158" i="2"/>
  <c r="X161" i="2"/>
  <c r="X157" i="2"/>
  <c r="X243" i="2"/>
  <c r="X241" i="2"/>
  <c r="X244" i="2"/>
  <c r="X242" i="2"/>
  <c r="X245" i="2"/>
  <c r="X66" i="2"/>
  <c r="X65" i="2"/>
  <c r="X91" i="2"/>
  <c r="X162" i="2"/>
  <c r="X167" i="2"/>
  <c r="X165" i="2"/>
  <c r="X164" i="2"/>
  <c r="X163" i="2"/>
  <c r="X166" i="2"/>
  <c r="X246" i="2"/>
  <c r="X248" i="2"/>
  <c r="X247" i="2"/>
  <c r="X249" i="2"/>
  <c r="X69" i="2"/>
  <c r="X68" i="2"/>
  <c r="X67" i="2"/>
  <c r="X92" i="2"/>
  <c r="X169" i="2"/>
  <c r="X171" i="2"/>
  <c r="X170" i="2"/>
  <c r="X168" i="2"/>
  <c r="X250" i="2"/>
  <c r="X251" i="2"/>
  <c r="X71" i="2"/>
  <c r="X72" i="2"/>
  <c r="X93" i="2"/>
  <c r="X172" i="2"/>
  <c r="X174" i="2"/>
  <c r="X173" i="2"/>
  <c r="X256" i="2"/>
  <c r="X254" i="2"/>
  <c r="X252" i="2"/>
  <c r="X255" i="2"/>
  <c r="X253" i="2"/>
  <c r="W2" i="2"/>
  <c r="W3" i="2"/>
  <c r="W5" i="2"/>
  <c r="W4" i="2"/>
  <c r="W73" i="2"/>
  <c r="W95" i="2"/>
  <c r="W94" i="2"/>
  <c r="W96" i="2"/>
  <c r="W97" i="2"/>
  <c r="W175" i="2"/>
  <c r="W176" i="2"/>
  <c r="W177" i="2"/>
  <c r="W178" i="2"/>
  <c r="W9" i="2"/>
  <c r="W8" i="2"/>
  <c r="W7" i="2"/>
  <c r="W6" i="2"/>
  <c r="W74" i="2"/>
  <c r="W100" i="2"/>
  <c r="W101" i="2"/>
  <c r="W99" i="2"/>
  <c r="W102" i="2"/>
  <c r="W182" i="2"/>
  <c r="W181" i="2"/>
  <c r="W179" i="2"/>
  <c r="W180" i="2"/>
  <c r="W15" i="2"/>
  <c r="W14" i="2"/>
  <c r="W13" i="2"/>
  <c r="W12" i="2"/>
  <c r="W11" i="2"/>
  <c r="W75" i="2"/>
  <c r="W76" i="2"/>
  <c r="W105" i="2"/>
  <c r="W103" i="2"/>
  <c r="W104" i="2"/>
  <c r="W184" i="2"/>
  <c r="W185" i="2"/>
  <c r="W183" i="2"/>
  <c r="W186" i="2"/>
  <c r="W187" i="2"/>
  <c r="W188" i="2"/>
  <c r="W16" i="2"/>
  <c r="W17" i="2"/>
  <c r="W18" i="2"/>
  <c r="W20" i="2"/>
  <c r="W21" i="2"/>
  <c r="W19" i="2"/>
  <c r="W77" i="2"/>
  <c r="W108" i="2"/>
  <c r="W106" i="2"/>
  <c r="W107" i="2"/>
  <c r="W193" i="2"/>
  <c r="W190" i="2"/>
  <c r="W191" i="2"/>
  <c r="W189" i="2"/>
  <c r="W192" i="2"/>
  <c r="W24" i="2"/>
  <c r="W22" i="2"/>
  <c r="W23" i="2"/>
  <c r="W25" i="2"/>
  <c r="W78" i="2"/>
  <c r="W79" i="2"/>
  <c r="W109" i="2"/>
  <c r="W111" i="2"/>
  <c r="W110" i="2"/>
  <c r="W196" i="2"/>
  <c r="W194" i="2"/>
  <c r="W195" i="2"/>
  <c r="W198" i="2"/>
  <c r="W197" i="2"/>
  <c r="W28" i="2"/>
  <c r="W26" i="2"/>
  <c r="W27" i="2"/>
  <c r="W80" i="2"/>
  <c r="W113" i="2"/>
  <c r="W115" i="2"/>
  <c r="W114" i="2"/>
  <c r="W116" i="2"/>
  <c r="W112" i="2"/>
  <c r="W203" i="2"/>
  <c r="W200" i="2"/>
  <c r="W202" i="2"/>
  <c r="W199" i="2"/>
  <c r="W204" i="2"/>
  <c r="W201" i="2"/>
  <c r="W30" i="2"/>
  <c r="W31" i="2"/>
  <c r="W32" i="2"/>
  <c r="W33" i="2"/>
  <c r="W29" i="2"/>
  <c r="W81" i="2"/>
  <c r="W117" i="2"/>
  <c r="W119" i="2"/>
  <c r="W120" i="2"/>
  <c r="W118" i="2"/>
  <c r="W208" i="2"/>
  <c r="W206" i="2"/>
  <c r="W207" i="2"/>
  <c r="W205" i="2"/>
  <c r="W34" i="2"/>
  <c r="W37" i="2"/>
  <c r="W35" i="2"/>
  <c r="W36" i="2"/>
  <c r="W82" i="2"/>
  <c r="W121" i="2"/>
  <c r="W122" i="2"/>
  <c r="W125" i="2"/>
  <c r="W124" i="2"/>
  <c r="W123" i="2"/>
  <c r="W213" i="2"/>
  <c r="W212" i="2"/>
  <c r="W210" i="2"/>
  <c r="W209" i="2"/>
  <c r="W211" i="2"/>
  <c r="W40" i="2"/>
  <c r="W41" i="2"/>
  <c r="W38" i="2"/>
  <c r="W42" i="2"/>
  <c r="W39" i="2"/>
  <c r="W84" i="2"/>
  <c r="W126" i="2"/>
  <c r="W128" i="2"/>
  <c r="W127" i="2"/>
  <c r="W214" i="2"/>
  <c r="W44" i="2"/>
  <c r="W43" i="2"/>
  <c r="W85" i="2"/>
  <c r="W130" i="2"/>
  <c r="W135" i="2"/>
  <c r="W132" i="2"/>
  <c r="W131" i="2"/>
  <c r="W134" i="2"/>
  <c r="W129" i="2"/>
  <c r="W133" i="2"/>
  <c r="W218" i="2"/>
  <c r="W216" i="2"/>
  <c r="W215" i="2"/>
  <c r="W219" i="2"/>
  <c r="W217" i="2"/>
  <c r="W47" i="2"/>
  <c r="W46" i="2"/>
  <c r="W86" i="2"/>
  <c r="W140" i="2"/>
  <c r="W137" i="2"/>
  <c r="W141" i="2"/>
  <c r="W138" i="2"/>
  <c r="W139" i="2"/>
  <c r="W136" i="2"/>
  <c r="W220" i="2"/>
  <c r="W222" i="2"/>
  <c r="W223" i="2"/>
  <c r="W221" i="2"/>
  <c r="W49" i="2"/>
  <c r="W52" i="2"/>
  <c r="W53" i="2"/>
  <c r="W51" i="2"/>
  <c r="W50" i="2"/>
  <c r="W48" i="2"/>
  <c r="W87" i="2"/>
  <c r="W144" i="2"/>
  <c r="W145" i="2"/>
  <c r="W143" i="2"/>
  <c r="W142" i="2"/>
  <c r="W146" i="2"/>
  <c r="W225" i="2"/>
  <c r="W227" i="2"/>
  <c r="W226" i="2"/>
  <c r="W224" i="2"/>
  <c r="W228" i="2"/>
  <c r="W55" i="2"/>
  <c r="W58" i="2"/>
  <c r="W57" i="2"/>
  <c r="W54" i="2"/>
  <c r="W88" i="2"/>
  <c r="W147" i="2"/>
  <c r="W149" i="2"/>
  <c r="W148" i="2"/>
  <c r="W150" i="2"/>
  <c r="W232" i="2"/>
  <c r="W233" i="2"/>
  <c r="W230" i="2"/>
  <c r="W231" i="2"/>
  <c r="W229" i="2"/>
  <c r="W56" i="2"/>
  <c r="W61" i="2"/>
  <c r="W62" i="2"/>
  <c r="W60" i="2"/>
  <c r="W59" i="2"/>
  <c r="W89" i="2"/>
  <c r="W151" i="2"/>
  <c r="W154" i="2"/>
  <c r="W152" i="2"/>
  <c r="W155" i="2"/>
  <c r="W153" i="2"/>
  <c r="W235" i="2"/>
  <c r="W240" i="2"/>
  <c r="W239" i="2"/>
  <c r="W238" i="2"/>
  <c r="W236" i="2"/>
  <c r="W237" i="2"/>
  <c r="W234" i="2"/>
  <c r="W63" i="2"/>
  <c r="W64" i="2"/>
  <c r="W90" i="2"/>
  <c r="W160" i="2"/>
  <c r="W156" i="2"/>
  <c r="W159" i="2"/>
  <c r="W158" i="2"/>
  <c r="W161" i="2"/>
  <c r="W157" i="2"/>
  <c r="W243" i="2"/>
  <c r="W241" i="2"/>
  <c r="W244" i="2"/>
  <c r="W242" i="2"/>
  <c r="W245" i="2"/>
  <c r="W66" i="2"/>
  <c r="W65" i="2"/>
  <c r="W91" i="2"/>
  <c r="W162" i="2"/>
  <c r="W167" i="2"/>
  <c r="W165" i="2"/>
  <c r="W164" i="2"/>
  <c r="W163" i="2"/>
  <c r="W166" i="2"/>
  <c r="W246" i="2"/>
  <c r="W248" i="2"/>
  <c r="W247" i="2"/>
  <c r="W249" i="2"/>
  <c r="W69" i="2"/>
  <c r="W68" i="2"/>
  <c r="W67" i="2"/>
  <c r="W92" i="2"/>
  <c r="W169" i="2"/>
  <c r="W171" i="2"/>
  <c r="W170" i="2"/>
  <c r="W168" i="2"/>
  <c r="W250" i="2"/>
  <c r="W251" i="2"/>
  <c r="W71" i="2"/>
  <c r="W72" i="2"/>
  <c r="W93" i="2"/>
  <c r="W172" i="2"/>
  <c r="W174" i="2"/>
  <c r="W173" i="2"/>
  <c r="W256" i="2"/>
  <c r="W254" i="2"/>
  <c r="W252" i="2"/>
  <c r="W255" i="2"/>
  <c r="W253" i="2"/>
  <c r="V2" i="2"/>
  <c r="V3" i="2"/>
  <c r="V5" i="2"/>
  <c r="V4" i="2"/>
  <c r="V73" i="2"/>
  <c r="V95" i="2"/>
  <c r="V94" i="2"/>
  <c r="V96" i="2"/>
  <c r="V97" i="2"/>
  <c r="V175" i="2"/>
  <c r="V176" i="2"/>
  <c r="V177" i="2"/>
  <c r="V178" i="2"/>
  <c r="V9" i="2"/>
  <c r="V8" i="2"/>
  <c r="V7" i="2"/>
  <c r="V6" i="2"/>
  <c r="V10" i="2"/>
  <c r="V74" i="2"/>
  <c r="V100" i="2"/>
  <c r="V101" i="2"/>
  <c r="V99" i="2"/>
  <c r="V102" i="2"/>
  <c r="V182" i="2"/>
  <c r="V181" i="2"/>
  <c r="V179" i="2"/>
  <c r="V180" i="2"/>
  <c r="V15" i="2"/>
  <c r="V14" i="2"/>
  <c r="V13" i="2"/>
  <c r="V12" i="2"/>
  <c r="V11" i="2"/>
  <c r="V75" i="2"/>
  <c r="V76" i="2"/>
  <c r="V105" i="2"/>
  <c r="V103" i="2"/>
  <c r="V104" i="2"/>
  <c r="V184" i="2"/>
  <c r="V185" i="2"/>
  <c r="V183" i="2"/>
  <c r="V186" i="2"/>
  <c r="V187" i="2"/>
  <c r="V188" i="2"/>
  <c r="V16" i="2"/>
  <c r="V17" i="2"/>
  <c r="V18" i="2"/>
  <c r="V20" i="2"/>
  <c r="V21" i="2"/>
  <c r="V19" i="2"/>
  <c r="V77" i="2"/>
  <c r="V108" i="2"/>
  <c r="V106" i="2"/>
  <c r="V107" i="2"/>
  <c r="V193" i="2"/>
  <c r="V190" i="2"/>
  <c r="V191" i="2"/>
  <c r="V189" i="2"/>
  <c r="V192" i="2"/>
  <c r="V24" i="2"/>
  <c r="V22" i="2"/>
  <c r="V23" i="2"/>
  <c r="V25" i="2"/>
  <c r="V78" i="2"/>
  <c r="V79" i="2"/>
  <c r="V109" i="2"/>
  <c r="V111" i="2"/>
  <c r="V110" i="2"/>
  <c r="V196" i="2"/>
  <c r="V194" i="2"/>
  <c r="V195" i="2"/>
  <c r="V198" i="2"/>
  <c r="V197" i="2"/>
  <c r="V28" i="2"/>
  <c r="V26" i="2"/>
  <c r="V27" i="2"/>
  <c r="V80" i="2"/>
  <c r="V113" i="2"/>
  <c r="V115" i="2"/>
  <c r="V114" i="2"/>
  <c r="V116" i="2"/>
  <c r="V112" i="2"/>
  <c r="V203" i="2"/>
  <c r="V200" i="2"/>
  <c r="V202" i="2"/>
  <c r="V199" i="2"/>
  <c r="V204" i="2"/>
  <c r="V201" i="2"/>
  <c r="V30" i="2"/>
  <c r="V31" i="2"/>
  <c r="V32" i="2"/>
  <c r="V33" i="2"/>
  <c r="V29" i="2"/>
  <c r="V81" i="2"/>
  <c r="V117" i="2"/>
  <c r="V119" i="2"/>
  <c r="V120" i="2"/>
  <c r="V118" i="2"/>
  <c r="V208" i="2"/>
  <c r="V206" i="2"/>
  <c r="V207" i="2"/>
  <c r="V205" i="2"/>
  <c r="V34" i="2"/>
  <c r="V37" i="2"/>
  <c r="V35" i="2"/>
  <c r="V36" i="2"/>
  <c r="V82" i="2"/>
  <c r="V121" i="2"/>
  <c r="V122" i="2"/>
  <c r="V125" i="2"/>
  <c r="V124" i="2"/>
  <c r="V123" i="2"/>
  <c r="V213" i="2"/>
  <c r="V212" i="2"/>
  <c r="V210" i="2"/>
  <c r="V209" i="2"/>
  <c r="V211" i="2"/>
  <c r="V40" i="2"/>
  <c r="V41" i="2"/>
  <c r="V38" i="2"/>
  <c r="V42" i="2"/>
  <c r="V39" i="2"/>
  <c r="V84" i="2"/>
  <c r="V126" i="2"/>
  <c r="V128" i="2"/>
  <c r="V127" i="2"/>
  <c r="V214" i="2"/>
  <c r="V44" i="2"/>
  <c r="V43" i="2"/>
  <c r="V85" i="2"/>
  <c r="V130" i="2"/>
  <c r="V135" i="2"/>
  <c r="V132" i="2"/>
  <c r="V131" i="2"/>
  <c r="V129" i="2"/>
  <c r="V133" i="2"/>
  <c r="V218" i="2"/>
  <c r="V216" i="2"/>
  <c r="V215" i="2"/>
  <c r="V219" i="2"/>
  <c r="V217" i="2"/>
  <c r="V47" i="2"/>
  <c r="V46" i="2"/>
  <c r="V86" i="2"/>
  <c r="V140" i="2"/>
  <c r="V137" i="2"/>
  <c r="V141" i="2"/>
  <c r="V138" i="2"/>
  <c r="V139" i="2"/>
  <c r="V136" i="2"/>
  <c r="V220" i="2"/>
  <c r="V222" i="2"/>
  <c r="V223" i="2"/>
  <c r="V221" i="2"/>
  <c r="V49" i="2"/>
  <c r="V52" i="2"/>
  <c r="V53" i="2"/>
  <c r="V51" i="2"/>
  <c r="V50" i="2"/>
  <c r="V48" i="2"/>
  <c r="V87" i="2"/>
  <c r="V144" i="2"/>
  <c r="V145" i="2"/>
  <c r="V143" i="2"/>
  <c r="V142" i="2"/>
  <c r="V146" i="2"/>
  <c r="V225" i="2"/>
  <c r="V227" i="2"/>
  <c r="V226" i="2"/>
  <c r="V224" i="2"/>
  <c r="V228" i="2"/>
  <c r="V55" i="2"/>
  <c r="V58" i="2"/>
  <c r="V57" i="2"/>
  <c r="V54" i="2"/>
  <c r="V88" i="2"/>
  <c r="V147" i="2"/>
  <c r="V149" i="2"/>
  <c r="V148" i="2"/>
  <c r="V150" i="2"/>
  <c r="V232" i="2"/>
  <c r="V233" i="2"/>
  <c r="V230" i="2"/>
  <c r="V231" i="2"/>
  <c r="V229" i="2"/>
  <c r="V61" i="2"/>
  <c r="V62" i="2"/>
  <c r="V60" i="2"/>
  <c r="V59" i="2"/>
  <c r="V89" i="2"/>
  <c r="V151" i="2"/>
  <c r="V154" i="2"/>
  <c r="V152" i="2"/>
  <c r="V155" i="2"/>
  <c r="V153" i="2"/>
  <c r="V235" i="2"/>
  <c r="V240" i="2"/>
  <c r="V239" i="2"/>
  <c r="V238" i="2"/>
  <c r="V236" i="2"/>
  <c r="V237" i="2"/>
  <c r="V234" i="2"/>
  <c r="V63" i="2"/>
  <c r="V64" i="2"/>
  <c r="V90" i="2"/>
  <c r="Y18" i="5" s="1"/>
  <c r="V160" i="2"/>
  <c r="V156" i="2"/>
  <c r="V159" i="2"/>
  <c r="V158" i="2"/>
  <c r="V161" i="2"/>
  <c r="V157" i="2"/>
  <c r="V243" i="2"/>
  <c r="V241" i="2"/>
  <c r="V244" i="2"/>
  <c r="V242" i="2"/>
  <c r="V245" i="2"/>
  <c r="V66" i="2"/>
  <c r="V65" i="2"/>
  <c r="V91" i="2"/>
  <c r="V162" i="2"/>
  <c r="V167" i="2"/>
  <c r="V165" i="2"/>
  <c r="V164" i="2"/>
  <c r="V163" i="2"/>
  <c r="V166" i="2"/>
  <c r="V246" i="2"/>
  <c r="V248" i="2"/>
  <c r="V247" i="2"/>
  <c r="V249" i="2"/>
  <c r="V69" i="2"/>
  <c r="V68" i="2"/>
  <c r="V67" i="2"/>
  <c r="V92" i="2"/>
  <c r="V169" i="2"/>
  <c r="V171" i="2"/>
  <c r="V170" i="2"/>
  <c r="V168" i="2"/>
  <c r="V250" i="2"/>
  <c r="V251" i="2"/>
  <c r="V71" i="2"/>
  <c r="V72" i="2"/>
  <c r="V93" i="2"/>
  <c r="V172" i="2"/>
  <c r="V174" i="2"/>
  <c r="V173" i="2"/>
  <c r="V256" i="2"/>
  <c r="V254" i="2"/>
  <c r="V252" i="2"/>
  <c r="V255" i="2"/>
  <c r="V253" i="2"/>
  <c r="U2" i="2"/>
  <c r="U3" i="2"/>
  <c r="U5" i="2"/>
  <c r="U4" i="2"/>
  <c r="U73" i="2"/>
  <c r="U95" i="2"/>
  <c r="U94" i="2"/>
  <c r="U96" i="2"/>
  <c r="U97" i="2"/>
  <c r="U175" i="2"/>
  <c r="U176" i="2"/>
  <c r="U177" i="2"/>
  <c r="U178" i="2"/>
  <c r="U9" i="2"/>
  <c r="U8" i="2"/>
  <c r="U7" i="2"/>
  <c r="U6" i="2"/>
  <c r="U10" i="2"/>
  <c r="U74" i="2"/>
  <c r="U100" i="2"/>
  <c r="U101" i="2"/>
  <c r="U99" i="2"/>
  <c r="U102" i="2"/>
  <c r="U182" i="2"/>
  <c r="U181" i="2"/>
  <c r="U179" i="2"/>
  <c r="U180" i="2"/>
  <c r="U15" i="2"/>
  <c r="U14" i="2"/>
  <c r="U13" i="2"/>
  <c r="U12" i="2"/>
  <c r="U11" i="2"/>
  <c r="U75" i="2"/>
  <c r="U76" i="2"/>
  <c r="U105" i="2"/>
  <c r="U103" i="2"/>
  <c r="U104" i="2"/>
  <c r="U184" i="2"/>
  <c r="U185" i="2"/>
  <c r="U183" i="2"/>
  <c r="U186" i="2"/>
  <c r="U187" i="2"/>
  <c r="U188" i="2"/>
  <c r="U16" i="2"/>
  <c r="U17" i="2"/>
  <c r="U18" i="2"/>
  <c r="U20" i="2"/>
  <c r="U21" i="2"/>
  <c r="U19" i="2"/>
  <c r="U77" i="2"/>
  <c r="U108" i="2"/>
  <c r="U106" i="2"/>
  <c r="U107" i="2"/>
  <c r="U193" i="2"/>
  <c r="U190" i="2"/>
  <c r="U191" i="2"/>
  <c r="U189" i="2"/>
  <c r="U192" i="2"/>
  <c r="U24" i="2"/>
  <c r="U22" i="2"/>
  <c r="U23" i="2"/>
  <c r="U25" i="2"/>
  <c r="U78" i="2"/>
  <c r="U79" i="2"/>
  <c r="U109" i="2"/>
  <c r="U111" i="2"/>
  <c r="U110" i="2"/>
  <c r="U196" i="2"/>
  <c r="U194" i="2"/>
  <c r="U195" i="2"/>
  <c r="U198" i="2"/>
  <c r="U197" i="2"/>
  <c r="U28" i="2"/>
  <c r="U26" i="2"/>
  <c r="U27" i="2"/>
  <c r="U80" i="2"/>
  <c r="U113" i="2"/>
  <c r="U115" i="2"/>
  <c r="U114" i="2"/>
  <c r="U116" i="2"/>
  <c r="U112" i="2"/>
  <c r="U203" i="2"/>
  <c r="U200" i="2"/>
  <c r="U202" i="2"/>
  <c r="U199" i="2"/>
  <c r="U204" i="2"/>
  <c r="U201" i="2"/>
  <c r="U30" i="2"/>
  <c r="U31" i="2"/>
  <c r="U32" i="2"/>
  <c r="U33" i="2"/>
  <c r="U29" i="2"/>
  <c r="U81" i="2"/>
  <c r="U117" i="2"/>
  <c r="U119" i="2"/>
  <c r="U120" i="2"/>
  <c r="U118" i="2"/>
  <c r="U208" i="2"/>
  <c r="U206" i="2"/>
  <c r="U207" i="2"/>
  <c r="U205" i="2"/>
  <c r="U34" i="2"/>
  <c r="U37" i="2"/>
  <c r="U35" i="2"/>
  <c r="U36" i="2"/>
  <c r="U82" i="2"/>
  <c r="U121" i="2"/>
  <c r="U122" i="2"/>
  <c r="U125" i="2"/>
  <c r="U124" i="2"/>
  <c r="U123" i="2"/>
  <c r="U213" i="2"/>
  <c r="U212" i="2"/>
  <c r="U210" i="2"/>
  <c r="U209" i="2"/>
  <c r="U211" i="2"/>
  <c r="U40" i="2"/>
  <c r="U41" i="2"/>
  <c r="U38" i="2"/>
  <c r="U42" i="2"/>
  <c r="U39" i="2"/>
  <c r="U84" i="2"/>
  <c r="U126" i="2"/>
  <c r="U128" i="2"/>
  <c r="U127" i="2"/>
  <c r="U214" i="2"/>
  <c r="U44" i="2"/>
  <c r="U43" i="2"/>
  <c r="U85" i="2"/>
  <c r="U130" i="2"/>
  <c r="U135" i="2"/>
  <c r="U132" i="2"/>
  <c r="U131" i="2"/>
  <c r="U134" i="2"/>
  <c r="U129" i="2"/>
  <c r="U133" i="2"/>
  <c r="U218" i="2"/>
  <c r="U216" i="2"/>
  <c r="U215" i="2"/>
  <c r="U219" i="2"/>
  <c r="U217" i="2"/>
  <c r="U47" i="2"/>
  <c r="U46" i="2"/>
  <c r="U86" i="2"/>
  <c r="U140" i="2"/>
  <c r="U137" i="2"/>
  <c r="U141" i="2"/>
  <c r="U138" i="2"/>
  <c r="U139" i="2"/>
  <c r="U136" i="2"/>
  <c r="U220" i="2"/>
  <c r="U222" i="2"/>
  <c r="U223" i="2"/>
  <c r="U221" i="2"/>
  <c r="U49" i="2"/>
  <c r="U52" i="2"/>
  <c r="U53" i="2"/>
  <c r="U51" i="2"/>
  <c r="U50" i="2"/>
  <c r="U48" i="2"/>
  <c r="U87" i="2"/>
  <c r="U144" i="2"/>
  <c r="U145" i="2"/>
  <c r="U143" i="2"/>
  <c r="U142" i="2"/>
  <c r="U146" i="2"/>
  <c r="U225" i="2"/>
  <c r="U227" i="2"/>
  <c r="U226" i="2"/>
  <c r="U224" i="2"/>
  <c r="U228" i="2"/>
  <c r="U55" i="2"/>
  <c r="U58" i="2"/>
  <c r="U57" i="2"/>
  <c r="U54" i="2"/>
  <c r="U88" i="2"/>
  <c r="U147" i="2"/>
  <c r="U149" i="2"/>
  <c r="U148" i="2"/>
  <c r="U150" i="2"/>
  <c r="U232" i="2"/>
  <c r="U233" i="2"/>
  <c r="U230" i="2"/>
  <c r="U231" i="2"/>
  <c r="U229" i="2"/>
  <c r="U61" i="2"/>
  <c r="U62" i="2"/>
  <c r="U60" i="2"/>
  <c r="U59" i="2"/>
  <c r="U89" i="2"/>
  <c r="U151" i="2"/>
  <c r="U154" i="2"/>
  <c r="U152" i="2"/>
  <c r="U155" i="2"/>
  <c r="U153" i="2"/>
  <c r="U235" i="2"/>
  <c r="U240" i="2"/>
  <c r="U239" i="2"/>
  <c r="U238" i="2"/>
  <c r="U236" i="2"/>
  <c r="U237" i="2"/>
  <c r="U234" i="2"/>
  <c r="U63" i="2"/>
  <c r="U64" i="2"/>
  <c r="U90" i="2"/>
  <c r="U160" i="2"/>
  <c r="U156" i="2"/>
  <c r="U159" i="2"/>
  <c r="U158" i="2"/>
  <c r="U161" i="2"/>
  <c r="U157" i="2"/>
  <c r="U243" i="2"/>
  <c r="U241" i="2"/>
  <c r="U244" i="2"/>
  <c r="U242" i="2"/>
  <c r="U245" i="2"/>
  <c r="U66" i="2"/>
  <c r="U65" i="2"/>
  <c r="U91" i="2"/>
  <c r="U162" i="2"/>
  <c r="U167" i="2"/>
  <c r="U165" i="2"/>
  <c r="U164" i="2"/>
  <c r="U163" i="2"/>
  <c r="U166" i="2"/>
  <c r="U246" i="2"/>
  <c r="U248" i="2"/>
  <c r="U247" i="2"/>
  <c r="U249" i="2"/>
  <c r="U69" i="2"/>
  <c r="U68" i="2"/>
  <c r="U67" i="2"/>
  <c r="U92" i="2"/>
  <c r="U169" i="2"/>
  <c r="U171" i="2"/>
  <c r="U170" i="2"/>
  <c r="U168" i="2"/>
  <c r="U250" i="2"/>
  <c r="U251" i="2"/>
  <c r="U71" i="2"/>
  <c r="U72" i="2"/>
  <c r="U93" i="2"/>
  <c r="U172" i="2"/>
  <c r="U174" i="2"/>
  <c r="U173" i="2"/>
  <c r="U256" i="2"/>
  <c r="U254" i="2"/>
  <c r="U252" i="2"/>
  <c r="U255" i="2"/>
  <c r="U253" i="2"/>
  <c r="T2" i="2"/>
  <c r="T3" i="2"/>
  <c r="T5" i="2"/>
  <c r="T4" i="2"/>
  <c r="T73" i="2"/>
  <c r="T95" i="2"/>
  <c r="T94" i="2"/>
  <c r="T96" i="2"/>
  <c r="T97" i="2"/>
  <c r="T175" i="2"/>
  <c r="T176" i="2"/>
  <c r="T177" i="2"/>
  <c r="T178" i="2"/>
  <c r="T9" i="2"/>
  <c r="T8" i="2"/>
  <c r="T7" i="2"/>
  <c r="T6" i="2"/>
  <c r="T10" i="2"/>
  <c r="T74" i="2"/>
  <c r="T100" i="2"/>
  <c r="T101" i="2"/>
  <c r="T99" i="2"/>
  <c r="T102" i="2"/>
  <c r="T182" i="2"/>
  <c r="T181" i="2"/>
  <c r="T179" i="2"/>
  <c r="T180" i="2"/>
  <c r="T15" i="2"/>
  <c r="T14" i="2"/>
  <c r="T13" i="2"/>
  <c r="T12" i="2"/>
  <c r="T11" i="2"/>
  <c r="T75" i="2"/>
  <c r="T76" i="2"/>
  <c r="T105" i="2"/>
  <c r="T103" i="2"/>
  <c r="T104" i="2"/>
  <c r="T184" i="2"/>
  <c r="T185" i="2"/>
  <c r="T183" i="2"/>
  <c r="T186" i="2"/>
  <c r="T187" i="2"/>
  <c r="T188" i="2"/>
  <c r="T16" i="2"/>
  <c r="T17" i="2"/>
  <c r="T18" i="2"/>
  <c r="T20" i="2"/>
  <c r="T21" i="2"/>
  <c r="T19" i="2"/>
  <c r="T77" i="2"/>
  <c r="T108" i="2"/>
  <c r="T106" i="2"/>
  <c r="T107" i="2"/>
  <c r="T193" i="2"/>
  <c r="T190" i="2"/>
  <c r="T191" i="2"/>
  <c r="T189" i="2"/>
  <c r="T192" i="2"/>
  <c r="T24" i="2"/>
  <c r="T22" i="2"/>
  <c r="T23" i="2"/>
  <c r="T25" i="2"/>
  <c r="T78" i="2"/>
  <c r="T79" i="2"/>
  <c r="T109" i="2"/>
  <c r="T111" i="2"/>
  <c r="T110" i="2"/>
  <c r="T196" i="2"/>
  <c r="T194" i="2"/>
  <c r="T195" i="2"/>
  <c r="T198" i="2"/>
  <c r="T197" i="2"/>
  <c r="T28" i="2"/>
  <c r="T26" i="2"/>
  <c r="T27" i="2"/>
  <c r="T80" i="2"/>
  <c r="T113" i="2"/>
  <c r="T115" i="2"/>
  <c r="T114" i="2"/>
  <c r="T116" i="2"/>
  <c r="T112" i="2"/>
  <c r="T203" i="2"/>
  <c r="T200" i="2"/>
  <c r="T202" i="2"/>
  <c r="T199" i="2"/>
  <c r="T204" i="2"/>
  <c r="T201" i="2"/>
  <c r="T30" i="2"/>
  <c r="T31" i="2"/>
  <c r="T32" i="2"/>
  <c r="T33" i="2"/>
  <c r="T29" i="2"/>
  <c r="T81" i="2"/>
  <c r="T117" i="2"/>
  <c r="T119" i="2"/>
  <c r="T120" i="2"/>
  <c r="T118" i="2"/>
  <c r="T208" i="2"/>
  <c r="T206" i="2"/>
  <c r="T207" i="2"/>
  <c r="T205" i="2"/>
  <c r="T34" i="2"/>
  <c r="T37" i="2"/>
  <c r="T35" i="2"/>
  <c r="T36" i="2"/>
  <c r="T82" i="2"/>
  <c r="T121" i="2"/>
  <c r="T122" i="2"/>
  <c r="T125" i="2"/>
  <c r="T124" i="2"/>
  <c r="T123" i="2"/>
  <c r="T213" i="2"/>
  <c r="T212" i="2"/>
  <c r="T210" i="2"/>
  <c r="T209" i="2"/>
  <c r="T211" i="2"/>
  <c r="T40" i="2"/>
  <c r="T41" i="2"/>
  <c r="T38" i="2"/>
  <c r="T42" i="2"/>
  <c r="T39" i="2"/>
  <c r="T84" i="2"/>
  <c r="T126" i="2"/>
  <c r="T128" i="2"/>
  <c r="T127" i="2"/>
  <c r="T214" i="2"/>
  <c r="T44" i="2"/>
  <c r="T43" i="2"/>
  <c r="T85" i="2"/>
  <c r="T130" i="2"/>
  <c r="T135" i="2"/>
  <c r="T132" i="2"/>
  <c r="T131" i="2"/>
  <c r="T134" i="2"/>
  <c r="T129" i="2"/>
  <c r="T133" i="2"/>
  <c r="T218" i="2"/>
  <c r="T216" i="2"/>
  <c r="T215" i="2"/>
  <c r="T219" i="2"/>
  <c r="T217" i="2"/>
  <c r="T47" i="2"/>
  <c r="T46" i="2"/>
  <c r="T86" i="2"/>
  <c r="T140" i="2"/>
  <c r="T137" i="2"/>
  <c r="T141" i="2"/>
  <c r="T138" i="2"/>
  <c r="T139" i="2"/>
  <c r="T136" i="2"/>
  <c r="T220" i="2"/>
  <c r="T222" i="2"/>
  <c r="T223" i="2"/>
  <c r="T221" i="2"/>
  <c r="T49" i="2"/>
  <c r="T52" i="2"/>
  <c r="T53" i="2"/>
  <c r="T51" i="2"/>
  <c r="T50" i="2"/>
  <c r="T48" i="2"/>
  <c r="T87" i="2"/>
  <c r="T144" i="2"/>
  <c r="T145" i="2"/>
  <c r="T143" i="2"/>
  <c r="T142" i="2"/>
  <c r="T146" i="2"/>
  <c r="T225" i="2"/>
  <c r="T227" i="2"/>
  <c r="T226" i="2"/>
  <c r="T224" i="2"/>
  <c r="T228" i="2"/>
  <c r="T55" i="2"/>
  <c r="T58" i="2"/>
  <c r="T57" i="2"/>
  <c r="T54" i="2"/>
  <c r="T88" i="2"/>
  <c r="T147" i="2"/>
  <c r="T149" i="2"/>
  <c r="T148" i="2"/>
  <c r="T150" i="2"/>
  <c r="T232" i="2"/>
  <c r="T233" i="2"/>
  <c r="T230" i="2"/>
  <c r="T231" i="2"/>
  <c r="T229" i="2"/>
  <c r="T56" i="2"/>
  <c r="T61" i="2"/>
  <c r="T62" i="2"/>
  <c r="T60" i="2"/>
  <c r="T59" i="2"/>
  <c r="T89" i="2"/>
  <c r="T151" i="2"/>
  <c r="T154" i="2"/>
  <c r="T152" i="2"/>
  <c r="T155" i="2"/>
  <c r="T153" i="2"/>
  <c r="T235" i="2"/>
  <c r="T240" i="2"/>
  <c r="T239" i="2"/>
  <c r="T238" i="2"/>
  <c r="T236" i="2"/>
  <c r="T237" i="2"/>
  <c r="T234" i="2"/>
  <c r="T63" i="2"/>
  <c r="T64" i="2"/>
  <c r="T90" i="2"/>
  <c r="T160" i="2"/>
  <c r="T156" i="2"/>
  <c r="T159" i="2"/>
  <c r="T158" i="2"/>
  <c r="T161" i="2"/>
  <c r="T157" i="2"/>
  <c r="T243" i="2"/>
  <c r="T241" i="2"/>
  <c r="T244" i="2"/>
  <c r="T242" i="2"/>
  <c r="T245" i="2"/>
  <c r="T66" i="2"/>
  <c r="T65" i="2"/>
  <c r="T91" i="2"/>
  <c r="T162" i="2"/>
  <c r="T167" i="2"/>
  <c r="T165" i="2"/>
  <c r="T164" i="2"/>
  <c r="T163" i="2"/>
  <c r="T166" i="2"/>
  <c r="T246" i="2"/>
  <c r="T248" i="2"/>
  <c r="T247" i="2"/>
  <c r="T249" i="2"/>
  <c r="T69" i="2"/>
  <c r="T68" i="2"/>
  <c r="T67" i="2"/>
  <c r="T92" i="2"/>
  <c r="T169" i="2"/>
  <c r="T171" i="2"/>
  <c r="T170" i="2"/>
  <c r="T168" i="2"/>
  <c r="T250" i="2"/>
  <c r="T251" i="2"/>
  <c r="T71" i="2"/>
  <c r="T72" i="2"/>
  <c r="T93" i="2"/>
  <c r="T172" i="2"/>
  <c r="T174" i="2"/>
  <c r="T173" i="2"/>
  <c r="T256" i="2"/>
  <c r="T254" i="2"/>
  <c r="T252" i="2"/>
  <c r="T255" i="2"/>
  <c r="T253" i="2"/>
  <c r="X2" i="8"/>
  <c r="W2" i="8"/>
  <c r="T2" i="8"/>
  <c r="N20" i="2"/>
  <c r="N21" i="2"/>
  <c r="N19" i="2"/>
  <c r="N77" i="2"/>
  <c r="N108" i="2"/>
  <c r="N106" i="2"/>
  <c r="N107" i="2"/>
  <c r="N193" i="2"/>
  <c r="N190" i="2"/>
  <c r="N191" i="2"/>
  <c r="N189" i="2"/>
  <c r="N192" i="2"/>
  <c r="N24" i="2"/>
  <c r="N22" i="2"/>
  <c r="N23" i="2"/>
  <c r="N25" i="2"/>
  <c r="N78" i="2"/>
  <c r="N79" i="2"/>
  <c r="N109" i="2"/>
  <c r="N111" i="2"/>
  <c r="N110" i="2"/>
  <c r="N196" i="2"/>
  <c r="N194" i="2"/>
  <c r="N195" i="2"/>
  <c r="N198" i="2"/>
  <c r="N197" i="2"/>
  <c r="N28" i="2"/>
  <c r="N26" i="2"/>
  <c r="N27" i="2"/>
  <c r="N80" i="2"/>
  <c r="N113" i="2"/>
  <c r="N115" i="2"/>
  <c r="N114" i="2"/>
  <c r="N116" i="2"/>
  <c r="N112" i="2"/>
  <c r="N203" i="2"/>
  <c r="N200" i="2"/>
  <c r="N202" i="2"/>
  <c r="N199" i="2"/>
  <c r="N204" i="2"/>
  <c r="N201" i="2"/>
  <c r="N30" i="2"/>
  <c r="N31" i="2"/>
  <c r="N32" i="2"/>
  <c r="N33" i="2"/>
  <c r="N29" i="2"/>
  <c r="N81" i="2"/>
  <c r="N117" i="2"/>
  <c r="N119" i="2"/>
  <c r="N120" i="2"/>
  <c r="N118" i="2"/>
  <c r="N208" i="2"/>
  <c r="N206" i="2"/>
  <c r="N207" i="2"/>
  <c r="N205" i="2"/>
  <c r="N34" i="2"/>
  <c r="N37" i="2"/>
  <c r="N35" i="2"/>
  <c r="N36" i="2"/>
  <c r="N82" i="2"/>
  <c r="N121" i="2"/>
  <c r="N122" i="2"/>
  <c r="N125" i="2"/>
  <c r="N124" i="2"/>
  <c r="N123" i="2"/>
  <c r="N213" i="2"/>
  <c r="N212" i="2"/>
  <c r="N210" i="2"/>
  <c r="N209" i="2"/>
  <c r="N211" i="2"/>
  <c r="N40" i="2"/>
  <c r="N41" i="2"/>
  <c r="N38" i="2"/>
  <c r="N42" i="2"/>
  <c r="N39" i="2"/>
  <c r="N84" i="2"/>
  <c r="N126" i="2"/>
  <c r="N128" i="2"/>
  <c r="N127" i="2"/>
  <c r="N214" i="2"/>
  <c r="N44" i="2"/>
  <c r="N43" i="2"/>
  <c r="N85" i="2"/>
  <c r="N130" i="2"/>
  <c r="N135" i="2"/>
  <c r="N132" i="2"/>
  <c r="N131" i="2"/>
  <c r="N134" i="2"/>
  <c r="N129" i="2"/>
  <c r="N133" i="2"/>
  <c r="N218" i="2"/>
  <c r="N216" i="2"/>
  <c r="N215" i="2"/>
  <c r="N219" i="2"/>
  <c r="N217" i="2"/>
  <c r="N47" i="2"/>
  <c r="N46" i="2"/>
  <c r="N86" i="2"/>
  <c r="N140" i="2"/>
  <c r="N137" i="2"/>
  <c r="N141" i="2"/>
  <c r="N138" i="2"/>
  <c r="N139" i="2"/>
  <c r="N136" i="2"/>
  <c r="N220" i="2"/>
  <c r="N222" i="2"/>
  <c r="N223" i="2"/>
  <c r="N221" i="2"/>
  <c r="N49" i="2"/>
  <c r="N52" i="2"/>
  <c r="N53" i="2"/>
  <c r="N51" i="2"/>
  <c r="N50" i="2"/>
  <c r="N48" i="2"/>
  <c r="N87" i="2"/>
  <c r="N144" i="2"/>
  <c r="N145" i="2"/>
  <c r="N143" i="2"/>
  <c r="N142" i="2"/>
  <c r="N146" i="2"/>
  <c r="N225" i="2"/>
  <c r="N227" i="2"/>
  <c r="N226" i="2"/>
  <c r="N224" i="2"/>
  <c r="N228" i="2"/>
  <c r="N55" i="2"/>
  <c r="N58" i="2"/>
  <c r="N57" i="2"/>
  <c r="N54" i="2"/>
  <c r="N88" i="2"/>
  <c r="N147" i="2"/>
  <c r="N149" i="2"/>
  <c r="N148" i="2"/>
  <c r="N150" i="2"/>
  <c r="N232" i="2"/>
  <c r="N233" i="2"/>
  <c r="N230" i="2"/>
  <c r="N231" i="2"/>
  <c r="N229" i="2"/>
  <c r="N61" i="2"/>
  <c r="N62" i="2"/>
  <c r="N60" i="2"/>
  <c r="N59" i="2"/>
  <c r="N89" i="2"/>
  <c r="N151" i="2"/>
  <c r="N154" i="2"/>
  <c r="N152" i="2"/>
  <c r="N155" i="2"/>
  <c r="N153" i="2"/>
  <c r="N235" i="2"/>
  <c r="N240" i="2"/>
  <c r="N239" i="2"/>
  <c r="N238" i="2"/>
  <c r="N236" i="2"/>
  <c r="N237" i="2"/>
  <c r="N234" i="2"/>
  <c r="N63" i="2"/>
  <c r="N64" i="2"/>
  <c r="N90" i="2"/>
  <c r="N160" i="2"/>
  <c r="N156" i="2"/>
  <c r="N159" i="2"/>
  <c r="N158" i="2"/>
  <c r="N161" i="2"/>
  <c r="N157" i="2"/>
  <c r="N243" i="2"/>
  <c r="N241" i="2"/>
  <c r="N244" i="2"/>
  <c r="N242" i="2"/>
  <c r="N245" i="2"/>
  <c r="N66" i="2"/>
  <c r="N65" i="2"/>
  <c r="N91" i="2"/>
  <c r="N162" i="2"/>
  <c r="N167" i="2"/>
  <c r="N165" i="2"/>
  <c r="N164" i="2"/>
  <c r="N163" i="2"/>
  <c r="N166" i="2"/>
  <c r="N246" i="2"/>
  <c r="N248" i="2"/>
  <c r="N247" i="2"/>
  <c r="N249" i="2"/>
  <c r="N69" i="2"/>
  <c r="N68" i="2"/>
  <c r="N67" i="2"/>
  <c r="N92" i="2"/>
  <c r="N169" i="2"/>
  <c r="N171" i="2"/>
  <c r="N170" i="2"/>
  <c r="N168" i="2"/>
  <c r="N250" i="2"/>
  <c r="N251" i="2"/>
  <c r="N71" i="2"/>
  <c r="N72" i="2"/>
  <c r="N93" i="2"/>
  <c r="N172" i="2"/>
  <c r="N174" i="2"/>
  <c r="N173" i="2"/>
  <c r="N256" i="2"/>
  <c r="N254" i="2"/>
  <c r="N252" i="2"/>
  <c r="N255" i="2"/>
  <c r="N253" i="2"/>
  <c r="N3" i="2"/>
  <c r="N5" i="2"/>
  <c r="N4" i="2"/>
  <c r="N73" i="2"/>
  <c r="N95" i="2"/>
  <c r="N94" i="2"/>
  <c r="N96" i="2"/>
  <c r="N97" i="2"/>
  <c r="N175" i="2"/>
  <c r="N176" i="2"/>
  <c r="N177" i="2"/>
  <c r="N178" i="2"/>
  <c r="N9" i="2"/>
  <c r="N8" i="2"/>
  <c r="N7" i="2"/>
  <c r="N6" i="2"/>
  <c r="N10" i="2"/>
  <c r="N74" i="2"/>
  <c r="N100" i="2"/>
  <c r="N101" i="2"/>
  <c r="N99" i="2"/>
  <c r="N102" i="2"/>
  <c r="N182" i="2"/>
  <c r="N181" i="2"/>
  <c r="N179" i="2"/>
  <c r="N180" i="2"/>
  <c r="N15" i="2"/>
  <c r="N14" i="2"/>
  <c r="N13" i="2"/>
  <c r="N12" i="2"/>
  <c r="N11" i="2"/>
  <c r="N75" i="2"/>
  <c r="N76" i="2"/>
  <c r="N105" i="2"/>
  <c r="N103" i="2"/>
  <c r="N104" i="2"/>
  <c r="N184" i="2"/>
  <c r="N185" i="2"/>
  <c r="N183" i="2"/>
  <c r="N186" i="2"/>
  <c r="N187" i="2"/>
  <c r="N188" i="2"/>
  <c r="N16" i="2"/>
  <c r="N17" i="2"/>
  <c r="N18" i="2"/>
  <c r="L56" i="2"/>
  <c r="V56" i="2" s="1"/>
  <c r="N2" i="2"/>
  <c r="I14" i="2"/>
  <c r="I18" i="2"/>
  <c r="I53" i="2"/>
  <c r="I129" i="2"/>
  <c r="I254" i="2"/>
  <c r="I255" i="2"/>
  <c r="I174" i="2"/>
  <c r="I3" i="2"/>
  <c r="I5" i="2"/>
  <c r="I4" i="2"/>
  <c r="I73" i="2"/>
  <c r="I95" i="2"/>
  <c r="I94" i="2"/>
  <c r="I96" i="2"/>
  <c r="I97" i="2"/>
  <c r="I175" i="2"/>
  <c r="I176" i="2"/>
  <c r="I177" i="2"/>
  <c r="I178" i="2"/>
  <c r="I9" i="2"/>
  <c r="I8" i="2"/>
  <c r="I7" i="2"/>
  <c r="I6" i="2"/>
  <c r="I74" i="2"/>
  <c r="I100" i="2"/>
  <c r="I101" i="2"/>
  <c r="I99" i="2"/>
  <c r="I102" i="2"/>
  <c r="I182" i="2"/>
  <c r="I181" i="2"/>
  <c r="I179" i="2"/>
  <c r="I180" i="2"/>
  <c r="I15" i="2"/>
  <c r="I13" i="2"/>
  <c r="I12" i="2"/>
  <c r="I11" i="2"/>
  <c r="I75" i="2"/>
  <c r="I76" i="2"/>
  <c r="I105" i="2"/>
  <c r="I103" i="2"/>
  <c r="I104" i="2"/>
  <c r="I184" i="2"/>
  <c r="I185" i="2"/>
  <c r="I183" i="2"/>
  <c r="I186" i="2"/>
  <c r="I187" i="2"/>
  <c r="I188" i="2"/>
  <c r="I16" i="2"/>
  <c r="I17" i="2"/>
  <c r="I20" i="2"/>
  <c r="I21" i="2"/>
  <c r="I19" i="2"/>
  <c r="I77" i="2"/>
  <c r="I108" i="2"/>
  <c r="I106" i="2"/>
  <c r="I107" i="2"/>
  <c r="I193" i="2"/>
  <c r="I190" i="2"/>
  <c r="I191" i="2"/>
  <c r="I189" i="2"/>
  <c r="I192" i="2"/>
  <c r="I24" i="2"/>
  <c r="I22" i="2"/>
  <c r="I23" i="2"/>
  <c r="I25" i="2"/>
  <c r="I78" i="2"/>
  <c r="I79" i="2"/>
  <c r="I109" i="2"/>
  <c r="I111" i="2"/>
  <c r="I110" i="2"/>
  <c r="I196" i="2"/>
  <c r="I194" i="2"/>
  <c r="I195" i="2"/>
  <c r="I198" i="2"/>
  <c r="I197" i="2"/>
  <c r="I28" i="2"/>
  <c r="I26" i="2"/>
  <c r="I27" i="2"/>
  <c r="I80" i="2"/>
  <c r="I113" i="2"/>
  <c r="I115" i="2"/>
  <c r="I114" i="2"/>
  <c r="I116" i="2"/>
  <c r="I112" i="2"/>
  <c r="I203" i="2"/>
  <c r="I200" i="2"/>
  <c r="I202" i="2"/>
  <c r="I199" i="2"/>
  <c r="I204" i="2"/>
  <c r="I201" i="2"/>
  <c r="I30" i="2"/>
  <c r="I31" i="2"/>
  <c r="I32" i="2"/>
  <c r="I33" i="2"/>
  <c r="I29" i="2"/>
  <c r="I81" i="2"/>
  <c r="I117" i="2"/>
  <c r="I119" i="2"/>
  <c r="I120" i="2"/>
  <c r="I118" i="2"/>
  <c r="I208" i="2"/>
  <c r="I206" i="2"/>
  <c r="I207" i="2"/>
  <c r="I205" i="2"/>
  <c r="I34" i="2"/>
  <c r="I37" i="2"/>
  <c r="I35" i="2"/>
  <c r="I36" i="2"/>
  <c r="I82" i="2"/>
  <c r="I121" i="2"/>
  <c r="I122" i="2"/>
  <c r="I125" i="2"/>
  <c r="I124" i="2"/>
  <c r="I123" i="2"/>
  <c r="I213" i="2"/>
  <c r="I212" i="2"/>
  <c r="I210" i="2"/>
  <c r="I209" i="2"/>
  <c r="I211" i="2"/>
  <c r="I40" i="2"/>
  <c r="I41" i="2"/>
  <c r="I38" i="2"/>
  <c r="I42" i="2"/>
  <c r="I39" i="2"/>
  <c r="I84" i="2"/>
  <c r="I126" i="2"/>
  <c r="I128" i="2"/>
  <c r="I127" i="2"/>
  <c r="I214" i="2"/>
  <c r="I44" i="2"/>
  <c r="I43" i="2"/>
  <c r="I85" i="2"/>
  <c r="I130" i="2"/>
  <c r="I135" i="2"/>
  <c r="I132" i="2"/>
  <c r="I131" i="2"/>
  <c r="I134" i="2"/>
  <c r="I133" i="2"/>
  <c r="I218" i="2"/>
  <c r="I216" i="2"/>
  <c r="I215" i="2"/>
  <c r="I219" i="2"/>
  <c r="I217" i="2"/>
  <c r="I47" i="2"/>
  <c r="I46" i="2"/>
  <c r="I86" i="2"/>
  <c r="I140" i="2"/>
  <c r="I137" i="2"/>
  <c r="I141" i="2"/>
  <c r="I138" i="2"/>
  <c r="I139" i="2"/>
  <c r="I136" i="2"/>
  <c r="I220" i="2"/>
  <c r="I222" i="2"/>
  <c r="I223" i="2"/>
  <c r="I221" i="2"/>
  <c r="I49" i="2"/>
  <c r="I52" i="2"/>
  <c r="I51" i="2"/>
  <c r="I50" i="2"/>
  <c r="I48" i="2"/>
  <c r="I87" i="2"/>
  <c r="I144" i="2"/>
  <c r="I145" i="2"/>
  <c r="I143" i="2"/>
  <c r="I142" i="2"/>
  <c r="I146" i="2"/>
  <c r="I225" i="2"/>
  <c r="I227" i="2"/>
  <c r="I226" i="2"/>
  <c r="I224" i="2"/>
  <c r="I228" i="2"/>
  <c r="I55" i="2"/>
  <c r="I58" i="2"/>
  <c r="I57" i="2"/>
  <c r="I54" i="2"/>
  <c r="I88" i="2"/>
  <c r="I147" i="2"/>
  <c r="I149" i="2"/>
  <c r="I148" i="2"/>
  <c r="I150" i="2"/>
  <c r="I232" i="2"/>
  <c r="I233" i="2"/>
  <c r="I230" i="2"/>
  <c r="I231" i="2"/>
  <c r="I229" i="2"/>
  <c r="I56" i="2"/>
  <c r="I61" i="2"/>
  <c r="I62" i="2"/>
  <c r="I60" i="2"/>
  <c r="I59" i="2"/>
  <c r="I89" i="2"/>
  <c r="I151" i="2"/>
  <c r="I154" i="2"/>
  <c r="I152" i="2"/>
  <c r="I155" i="2"/>
  <c r="I153" i="2"/>
  <c r="I235" i="2"/>
  <c r="I240" i="2"/>
  <c r="I239" i="2"/>
  <c r="I238" i="2"/>
  <c r="I236" i="2"/>
  <c r="I237" i="2"/>
  <c r="I234" i="2"/>
  <c r="I63" i="2"/>
  <c r="I64" i="2"/>
  <c r="I90" i="2"/>
  <c r="I160" i="2"/>
  <c r="I156" i="2"/>
  <c r="I159" i="2"/>
  <c r="I158" i="2"/>
  <c r="I161" i="2"/>
  <c r="I157" i="2"/>
  <c r="I243" i="2"/>
  <c r="I241" i="2"/>
  <c r="I244" i="2"/>
  <c r="I242" i="2"/>
  <c r="I245" i="2"/>
  <c r="I66" i="2"/>
  <c r="I65" i="2"/>
  <c r="I91" i="2"/>
  <c r="I162" i="2"/>
  <c r="I167" i="2"/>
  <c r="I165" i="2"/>
  <c r="I164" i="2"/>
  <c r="I163" i="2"/>
  <c r="I166" i="2"/>
  <c r="I246" i="2"/>
  <c r="I248" i="2"/>
  <c r="I247" i="2"/>
  <c r="I249" i="2"/>
  <c r="I69" i="2"/>
  <c r="I68" i="2"/>
  <c r="I67" i="2"/>
  <c r="I92" i="2"/>
  <c r="I169" i="2"/>
  <c r="I171" i="2"/>
  <c r="I170" i="2"/>
  <c r="I168" i="2"/>
  <c r="I250" i="2"/>
  <c r="I251" i="2"/>
  <c r="I71" i="2"/>
  <c r="I72" i="2"/>
  <c r="I93" i="2"/>
  <c r="I172" i="2"/>
  <c r="I173" i="2"/>
  <c r="I256" i="2"/>
  <c r="I252" i="2"/>
  <c r="I253" i="2"/>
  <c r="I2" i="2"/>
  <c r="H28" i="14"/>
  <c r="I28" i="14"/>
  <c r="H3" i="14"/>
  <c r="I3" i="14"/>
  <c r="U53" i="3" l="1"/>
  <c r="U33" i="3"/>
  <c r="U44" i="3"/>
  <c r="U143" i="3"/>
  <c r="U15" i="3"/>
  <c r="W143" i="3"/>
  <c r="W136" i="3"/>
  <c r="W26" i="3"/>
  <c r="W111" i="3"/>
  <c r="U136" i="3"/>
  <c r="W34" i="3"/>
  <c r="U8" i="3"/>
  <c r="W44" i="3"/>
  <c r="W30" i="3"/>
  <c r="U28" i="3"/>
  <c r="U67" i="3"/>
  <c r="W27" i="3"/>
  <c r="AC9" i="9"/>
  <c r="U27" i="3"/>
  <c r="W51" i="3"/>
  <c r="W8" i="3"/>
  <c r="U65" i="3"/>
  <c r="W63" i="3"/>
  <c r="W70" i="3"/>
  <c r="W15" i="3"/>
  <c r="W43" i="3"/>
  <c r="W67" i="3"/>
  <c r="W50" i="3"/>
  <c r="W33" i="3"/>
  <c r="W48" i="3"/>
  <c r="X18" i="5"/>
  <c r="AA18" i="5"/>
  <c r="AE18" i="5"/>
  <c r="AD26" i="5" s="1"/>
  <c r="Z18" i="5"/>
  <c r="AD27" i="5" s="1"/>
  <c r="AD30" i="5"/>
  <c r="AD28" i="5"/>
  <c r="AH6" i="9"/>
  <c r="AH8" i="9"/>
  <c r="AH7" i="9"/>
  <c r="AH5" i="9"/>
  <c r="AD29" i="5"/>
  <c r="AD31" i="5"/>
  <c r="U56" i="2"/>
  <c r="N56" i="2"/>
  <c r="X56" i="2"/>
  <c r="D26" i="14"/>
  <c r="D24" i="14"/>
  <c r="H26" i="14"/>
  <c r="I26" i="14"/>
  <c r="H24" i="14"/>
  <c r="I24" i="14"/>
  <c r="D113" i="14"/>
  <c r="I113" i="14" s="1"/>
  <c r="H113" i="14"/>
  <c r="D96" i="14"/>
  <c r="I96" i="14" s="1"/>
  <c r="H96" i="14"/>
  <c r="D99" i="14"/>
  <c r="I99" i="14" s="1"/>
  <c r="H99" i="14"/>
  <c r="D100" i="14"/>
  <c r="I100" i="14" s="1"/>
  <c r="H100" i="14"/>
  <c r="D175" i="14"/>
  <c r="I175" i="14" s="1"/>
  <c r="D173" i="14"/>
  <c r="I173" i="14" s="1"/>
  <c r="H173" i="14"/>
  <c r="H175" i="14"/>
  <c r="D131" i="14"/>
  <c r="I131" i="14" s="1"/>
  <c r="H131" i="14"/>
  <c r="H45" i="14"/>
  <c r="I45" i="14"/>
  <c r="H198" i="14"/>
  <c r="I198" i="14"/>
  <c r="I54" i="8"/>
  <c r="N54" i="8"/>
  <c r="T54" i="8"/>
  <c r="U54" i="8"/>
  <c r="V54" i="8"/>
  <c r="W54" i="8"/>
  <c r="X54" i="8"/>
  <c r="E206" i="14"/>
  <c r="I206" i="14" s="1"/>
  <c r="E152" i="14"/>
  <c r="I152" i="14" s="1"/>
  <c r="E158" i="14"/>
  <c r="I158" i="14" s="1"/>
  <c r="E155" i="14"/>
  <c r="H155" i="14" s="1"/>
  <c r="E162" i="14"/>
  <c r="H162" i="14" s="1"/>
  <c r="E108" i="14"/>
  <c r="H108" i="14" s="1"/>
  <c r="E107" i="14"/>
  <c r="I107" i="14" s="1"/>
  <c r="E105" i="14"/>
  <c r="H105" i="14" s="1"/>
  <c r="E132" i="14"/>
  <c r="H132" i="14" s="1"/>
  <c r="E129" i="14"/>
  <c r="H129" i="14" s="1"/>
  <c r="E130" i="14"/>
  <c r="I130" i="14" s="1"/>
  <c r="E127" i="14"/>
  <c r="H127" i="14" s="1"/>
  <c r="E94" i="14"/>
  <c r="I94" i="14" s="1"/>
  <c r="E102" i="14"/>
  <c r="H102" i="14" s="1"/>
  <c r="E76" i="14"/>
  <c r="H76" i="14" s="1"/>
  <c r="E72" i="14"/>
  <c r="H72" i="14" s="1"/>
  <c r="E122" i="14"/>
  <c r="H122" i="14" s="1"/>
  <c r="E114" i="14"/>
  <c r="I114" i="14" s="1"/>
  <c r="E118" i="14"/>
  <c r="I118" i="14" s="1"/>
  <c r="E64" i="14"/>
  <c r="I64" i="14" s="1"/>
  <c r="E39" i="14"/>
  <c r="H39" i="14" s="1"/>
  <c r="E174" i="14"/>
  <c r="H174" i="14" s="1"/>
  <c r="E106" i="14"/>
  <c r="I106" i="14" s="1"/>
  <c r="E111" i="14"/>
  <c r="I111" i="14" s="1"/>
  <c r="E10" i="14"/>
  <c r="H10" i="14" s="1"/>
  <c r="E88" i="14"/>
  <c r="I88" i="14" s="1"/>
  <c r="E110" i="14"/>
  <c r="H110" i="14" s="1"/>
  <c r="E63" i="14"/>
  <c r="I63" i="14" s="1"/>
  <c r="E176" i="14"/>
  <c r="H176" i="14" s="1"/>
  <c r="E170" i="14"/>
  <c r="H170" i="14" s="1"/>
  <c r="E86" i="14"/>
  <c r="I86" i="14" s="1"/>
  <c r="E123" i="14"/>
  <c r="H123" i="14" s="1"/>
  <c r="E133" i="14"/>
  <c r="I133" i="14" s="1"/>
  <c r="I217" i="14"/>
  <c r="I9" i="14"/>
  <c r="I2" i="14"/>
  <c r="I14" i="14"/>
  <c r="I7" i="14"/>
  <c r="I11" i="14"/>
  <c r="I8" i="14"/>
  <c r="I4" i="14"/>
  <c r="I13" i="14"/>
  <c r="I12" i="14"/>
  <c r="I5" i="14"/>
  <c r="I6" i="14"/>
  <c r="I21" i="14"/>
  <c r="I25" i="14"/>
  <c r="I17" i="14"/>
  <c r="I27" i="14"/>
  <c r="I20" i="14"/>
  <c r="I22" i="14"/>
  <c r="I23" i="14"/>
  <c r="I18" i="14"/>
  <c r="I16" i="14"/>
  <c r="I19" i="14"/>
  <c r="I29" i="14"/>
  <c r="I40" i="14"/>
  <c r="I42" i="14"/>
  <c r="I30" i="14"/>
  <c r="I37" i="14"/>
  <c r="I41" i="14"/>
  <c r="I36" i="14"/>
  <c r="I33" i="14"/>
  <c r="I35" i="14"/>
  <c r="I38" i="14"/>
  <c r="I31" i="14"/>
  <c r="I34" i="14"/>
  <c r="I32" i="14"/>
  <c r="I53" i="14"/>
  <c r="I52" i="14"/>
  <c r="I43" i="14"/>
  <c r="I44" i="14"/>
  <c r="I51" i="14"/>
  <c r="I46" i="14"/>
  <c r="I50" i="14"/>
  <c r="I47" i="14"/>
  <c r="I48" i="14"/>
  <c r="I54" i="14"/>
  <c r="I49" i="14"/>
  <c r="I55" i="14"/>
  <c r="I61" i="14"/>
  <c r="I62" i="14"/>
  <c r="I56" i="14"/>
  <c r="I57" i="14"/>
  <c r="I58" i="14"/>
  <c r="I59" i="14"/>
  <c r="I60" i="14"/>
  <c r="I67" i="14"/>
  <c r="I65" i="14"/>
  <c r="I66" i="14"/>
  <c r="I70" i="14"/>
  <c r="I74" i="14"/>
  <c r="I71" i="14"/>
  <c r="I68" i="14"/>
  <c r="I73" i="14"/>
  <c r="I69" i="14"/>
  <c r="I77" i="14"/>
  <c r="I78" i="14"/>
  <c r="I75" i="14"/>
  <c r="I81" i="14"/>
  <c r="I79" i="14"/>
  <c r="I84" i="14"/>
  <c r="I80" i="14"/>
  <c r="I82" i="14"/>
  <c r="I83" i="14"/>
  <c r="I85" i="14"/>
  <c r="I87" i="14"/>
  <c r="I101" i="14"/>
  <c r="I89" i="14"/>
  <c r="I103" i="14"/>
  <c r="I95" i="14"/>
  <c r="I98" i="14"/>
  <c r="I93" i="14"/>
  <c r="I90" i="14"/>
  <c r="I92" i="14"/>
  <c r="I91" i="14"/>
  <c r="I97" i="14"/>
  <c r="I109" i="14"/>
  <c r="I104" i="14"/>
  <c r="I116" i="14"/>
  <c r="I120" i="14"/>
  <c r="I121" i="14"/>
  <c r="I112" i="14"/>
  <c r="I115" i="14"/>
  <c r="I117" i="14"/>
  <c r="I119" i="14"/>
  <c r="I125" i="14"/>
  <c r="I124" i="14"/>
  <c r="I126" i="14"/>
  <c r="I134" i="14"/>
  <c r="I128" i="14"/>
  <c r="I145" i="14"/>
  <c r="I135" i="14"/>
  <c r="I138" i="14"/>
  <c r="I139" i="14"/>
  <c r="I140" i="14"/>
  <c r="I151" i="14"/>
  <c r="I148" i="14"/>
  <c r="I142" i="14"/>
  <c r="I136" i="14"/>
  <c r="I143" i="14"/>
  <c r="I141" i="14"/>
  <c r="I144" i="14"/>
  <c r="I150" i="14"/>
  <c r="I146" i="14"/>
  <c r="I147" i="14"/>
  <c r="I149" i="14"/>
  <c r="I137" i="14"/>
  <c r="I153" i="14"/>
  <c r="I154" i="14"/>
  <c r="I163" i="14"/>
  <c r="I161" i="14"/>
  <c r="I157" i="14"/>
  <c r="I159" i="14"/>
  <c r="I156" i="14"/>
  <c r="I164" i="14"/>
  <c r="I171" i="14"/>
  <c r="I177" i="14"/>
  <c r="I165" i="14"/>
  <c r="I168" i="14"/>
  <c r="I169" i="14"/>
  <c r="I172" i="14"/>
  <c r="I167" i="14"/>
  <c r="I166" i="14"/>
  <c r="I185" i="14"/>
  <c r="I178" i="14"/>
  <c r="I191" i="14"/>
  <c r="I179" i="14"/>
  <c r="I180" i="14"/>
  <c r="I183" i="14"/>
  <c r="I181" i="14"/>
  <c r="I188" i="14"/>
  <c r="I184" i="14"/>
  <c r="I187" i="14"/>
  <c r="I182" i="14"/>
  <c r="I189" i="14"/>
  <c r="I186" i="14"/>
  <c r="I190" i="14"/>
  <c r="I192" i="14"/>
  <c r="I160" i="14"/>
  <c r="I202" i="14"/>
  <c r="I197" i="14"/>
  <c r="I194" i="14"/>
  <c r="I195" i="14"/>
  <c r="I196" i="14"/>
  <c r="I200" i="14"/>
  <c r="I199" i="14"/>
  <c r="I201" i="14"/>
  <c r="I193" i="14"/>
  <c r="I203" i="14"/>
  <c r="I207" i="14"/>
  <c r="I209" i="14"/>
  <c r="I204" i="14"/>
  <c r="I208" i="14"/>
  <c r="I205" i="14"/>
  <c r="I214" i="14"/>
  <c r="I218" i="14"/>
  <c r="I210" i="14"/>
  <c r="I215" i="14"/>
  <c r="I212" i="14"/>
  <c r="I213" i="14"/>
  <c r="I211" i="14"/>
  <c r="I216" i="14"/>
  <c r="I15" i="14"/>
  <c r="H15" i="14"/>
  <c r="H9" i="14"/>
  <c r="H2" i="14"/>
  <c r="H14" i="14"/>
  <c r="H7" i="14"/>
  <c r="H11" i="14"/>
  <c r="H8" i="14"/>
  <c r="H4" i="14"/>
  <c r="H13" i="14"/>
  <c r="H12" i="14"/>
  <c r="H5" i="14"/>
  <c r="H6" i="14"/>
  <c r="H21" i="14"/>
  <c r="H25" i="14"/>
  <c r="H17" i="14"/>
  <c r="H27" i="14"/>
  <c r="H20" i="14"/>
  <c r="H22" i="14"/>
  <c r="H23" i="14"/>
  <c r="H18" i="14"/>
  <c r="H16" i="14"/>
  <c r="H19" i="14"/>
  <c r="H29" i="14"/>
  <c r="H40" i="14"/>
  <c r="H42" i="14"/>
  <c r="H30" i="14"/>
  <c r="H37" i="14"/>
  <c r="H41" i="14"/>
  <c r="H36" i="14"/>
  <c r="H33" i="14"/>
  <c r="H35" i="14"/>
  <c r="H38" i="14"/>
  <c r="H31" i="14"/>
  <c r="H34" i="14"/>
  <c r="H32" i="14"/>
  <c r="H53" i="14"/>
  <c r="H52" i="14"/>
  <c r="H43" i="14"/>
  <c r="H44" i="14"/>
  <c r="H51" i="14"/>
  <c r="H46" i="14"/>
  <c r="H50" i="14"/>
  <c r="H47" i="14"/>
  <c r="H48" i="14"/>
  <c r="H54" i="14"/>
  <c r="H49" i="14"/>
  <c r="H55" i="14"/>
  <c r="H61" i="14"/>
  <c r="H62" i="14"/>
  <c r="H56" i="14"/>
  <c r="H57" i="14"/>
  <c r="H58" i="14"/>
  <c r="H59" i="14"/>
  <c r="H60" i="14"/>
  <c r="H67" i="14"/>
  <c r="H65" i="14"/>
  <c r="H66" i="14"/>
  <c r="H70" i="14"/>
  <c r="H74" i="14"/>
  <c r="H71" i="14"/>
  <c r="H68" i="14"/>
  <c r="H73" i="14"/>
  <c r="H69" i="14"/>
  <c r="H77" i="14"/>
  <c r="H78" i="14"/>
  <c r="H75" i="14"/>
  <c r="H81" i="14"/>
  <c r="H79" i="14"/>
  <c r="H84" i="14"/>
  <c r="H80" i="14"/>
  <c r="H82" i="14"/>
  <c r="H83" i="14"/>
  <c r="H85" i="14"/>
  <c r="H87" i="14"/>
  <c r="H101" i="14"/>
  <c r="H89" i="14"/>
  <c r="H103" i="14"/>
  <c r="H95" i="14"/>
  <c r="H98" i="14"/>
  <c r="H93" i="14"/>
  <c r="H90" i="14"/>
  <c r="H92" i="14"/>
  <c r="H91" i="14"/>
  <c r="H97" i="14"/>
  <c r="H109" i="14"/>
  <c r="H104" i="14"/>
  <c r="H116" i="14"/>
  <c r="H120" i="14"/>
  <c r="H121" i="14"/>
  <c r="H112" i="14"/>
  <c r="H115" i="14"/>
  <c r="H117" i="14"/>
  <c r="H119" i="14"/>
  <c r="H125" i="14"/>
  <c r="H124" i="14"/>
  <c r="H126" i="14"/>
  <c r="H134" i="14"/>
  <c r="H128" i="14"/>
  <c r="H145" i="14"/>
  <c r="H135" i="14"/>
  <c r="H138" i="14"/>
  <c r="H139" i="14"/>
  <c r="H140" i="14"/>
  <c r="H151" i="14"/>
  <c r="H148" i="14"/>
  <c r="H142" i="14"/>
  <c r="H136" i="14"/>
  <c r="H143" i="14"/>
  <c r="H141" i="14"/>
  <c r="H144" i="14"/>
  <c r="H150" i="14"/>
  <c r="H146" i="14"/>
  <c r="H147" i="14"/>
  <c r="H149" i="14"/>
  <c r="H137" i="14"/>
  <c r="H153" i="14"/>
  <c r="H154" i="14"/>
  <c r="H163" i="14"/>
  <c r="H161" i="14"/>
  <c r="H157" i="14"/>
  <c r="H159" i="14"/>
  <c r="H156" i="14"/>
  <c r="H164" i="14"/>
  <c r="H171" i="14"/>
  <c r="H177" i="14"/>
  <c r="H165" i="14"/>
  <c r="H168" i="14"/>
  <c r="H169" i="14"/>
  <c r="H172" i="14"/>
  <c r="H167" i="14"/>
  <c r="H166" i="14"/>
  <c r="H185" i="14"/>
  <c r="H178" i="14"/>
  <c r="H191" i="14"/>
  <c r="H179" i="14"/>
  <c r="H180" i="14"/>
  <c r="H183" i="14"/>
  <c r="H181" i="14"/>
  <c r="H188" i="14"/>
  <c r="H184" i="14"/>
  <c r="H187" i="14"/>
  <c r="H182" i="14"/>
  <c r="H189" i="14"/>
  <c r="H186" i="14"/>
  <c r="H190" i="14"/>
  <c r="H192" i="14"/>
  <c r="H160" i="14"/>
  <c r="H202" i="14"/>
  <c r="H197" i="14"/>
  <c r="H194" i="14"/>
  <c r="H195" i="14"/>
  <c r="H196" i="14"/>
  <c r="H200" i="14"/>
  <c r="H199" i="14"/>
  <c r="H201" i="14"/>
  <c r="H193" i="14"/>
  <c r="H203" i="14"/>
  <c r="H207" i="14"/>
  <c r="H209" i="14"/>
  <c r="H204" i="14"/>
  <c r="H208" i="14"/>
  <c r="H205" i="14"/>
  <c r="H214" i="14"/>
  <c r="H218" i="14"/>
  <c r="H210" i="14"/>
  <c r="H215" i="14"/>
  <c r="H212" i="14"/>
  <c r="H213" i="14"/>
  <c r="H211" i="14"/>
  <c r="H216" i="14"/>
  <c r="H217" i="14"/>
  <c r="N203" i="8"/>
  <c r="T203" i="8"/>
  <c r="X203" i="8"/>
  <c r="N83" i="8"/>
  <c r="T83" i="8"/>
  <c r="X142" i="8"/>
  <c r="X81" i="8"/>
  <c r="X5" i="8"/>
  <c r="X60" i="8"/>
  <c r="X141" i="8"/>
  <c r="X80" i="8"/>
  <c r="X143" i="8"/>
  <c r="X3" i="8"/>
  <c r="X4" i="8"/>
  <c r="X144" i="8"/>
  <c r="X82" i="8"/>
  <c r="X88" i="8"/>
  <c r="X87" i="8"/>
  <c r="X6" i="8"/>
  <c r="X84" i="8"/>
  <c r="X145" i="8"/>
  <c r="X86" i="8"/>
  <c r="X7" i="8"/>
  <c r="X61" i="8"/>
  <c r="X85" i="8"/>
  <c r="X150" i="8"/>
  <c r="X9" i="8"/>
  <c r="X146" i="8"/>
  <c r="X11" i="8"/>
  <c r="X62" i="8"/>
  <c r="X147" i="8"/>
  <c r="X91" i="8"/>
  <c r="X148" i="8"/>
  <c r="X90" i="8"/>
  <c r="X149" i="8"/>
  <c r="X89" i="8"/>
  <c r="X10" i="8"/>
  <c r="X15" i="8"/>
  <c r="X12" i="8"/>
  <c r="X13" i="8"/>
  <c r="X92" i="8"/>
  <c r="X93" i="8"/>
  <c r="X155" i="8"/>
  <c r="X154" i="8"/>
  <c r="X64" i="8"/>
  <c r="X152" i="8"/>
  <c r="X153" i="8"/>
  <c r="X14" i="8"/>
  <c r="X65" i="8"/>
  <c r="X159" i="8"/>
  <c r="X94" i="8"/>
  <c r="X19" i="8"/>
  <c r="X158" i="8"/>
  <c r="X17" i="8"/>
  <c r="X157" i="8"/>
  <c r="X95" i="8"/>
  <c r="X96" i="8"/>
  <c r="X156" i="8"/>
  <c r="X18" i="8"/>
  <c r="X16" i="8"/>
  <c r="X66" i="8"/>
  <c r="X160" i="8"/>
  <c r="X162" i="8"/>
  <c r="X21" i="8"/>
  <c r="X99" i="8"/>
  <c r="X163" i="8"/>
  <c r="X161" i="8"/>
  <c r="X22" i="8"/>
  <c r="X20" i="8"/>
  <c r="X97" i="8"/>
  <c r="X67" i="8"/>
  <c r="X164" i="8"/>
  <c r="X98" i="8"/>
  <c r="X165" i="8"/>
  <c r="X167" i="8"/>
  <c r="X24" i="8"/>
  <c r="X68" i="8"/>
  <c r="X166" i="8"/>
  <c r="X100" i="8"/>
  <c r="X101" i="8"/>
  <c r="X23" i="8"/>
  <c r="X25" i="8"/>
  <c r="X168" i="8"/>
  <c r="X172" i="8"/>
  <c r="X104" i="8"/>
  <c r="X27" i="8"/>
  <c r="X105" i="8"/>
  <c r="X169" i="8"/>
  <c r="X170" i="8"/>
  <c r="X28" i="8"/>
  <c r="X69" i="8"/>
  <c r="X102" i="8"/>
  <c r="X103" i="8"/>
  <c r="X26" i="8"/>
  <c r="X171" i="8"/>
  <c r="X29" i="8"/>
  <c r="X30" i="8"/>
  <c r="X70" i="8"/>
  <c r="X106" i="8"/>
  <c r="X32" i="8"/>
  <c r="X107" i="8"/>
  <c r="X31" i="8"/>
  <c r="X173" i="8"/>
  <c r="X174" i="8"/>
  <c r="X71" i="8"/>
  <c r="X176" i="8"/>
  <c r="X177" i="8"/>
  <c r="X33" i="8"/>
  <c r="X175" i="8"/>
  <c r="X34" i="8"/>
  <c r="X178" i="8"/>
  <c r="X109" i="8"/>
  <c r="X108" i="8"/>
  <c r="X110" i="8"/>
  <c r="X35" i="8"/>
  <c r="X114" i="8"/>
  <c r="X36" i="8"/>
  <c r="X180" i="8"/>
  <c r="X112" i="8"/>
  <c r="X181" i="8"/>
  <c r="X72" i="8"/>
  <c r="X179" i="8"/>
  <c r="X113" i="8"/>
  <c r="X111" i="8"/>
  <c r="X182" i="8"/>
  <c r="X184" i="8"/>
  <c r="X116" i="8"/>
  <c r="X115" i="8"/>
  <c r="X37" i="8"/>
  <c r="X117" i="8"/>
  <c r="X73" i="8"/>
  <c r="X118" i="8"/>
  <c r="X119" i="8"/>
  <c r="X183" i="8"/>
  <c r="X42" i="8"/>
  <c r="X185" i="8"/>
  <c r="X41" i="8"/>
  <c r="X38" i="8"/>
  <c r="X186" i="8"/>
  <c r="X39" i="8"/>
  <c r="X40" i="8"/>
  <c r="X120" i="8"/>
  <c r="X46" i="8"/>
  <c r="X190" i="8"/>
  <c r="X74" i="8"/>
  <c r="X188" i="8"/>
  <c r="X187" i="8"/>
  <c r="X43" i="8"/>
  <c r="X189" i="8"/>
  <c r="X121" i="8"/>
  <c r="X45" i="8"/>
  <c r="X44" i="8"/>
  <c r="X123" i="8"/>
  <c r="X48" i="8"/>
  <c r="X194" i="8"/>
  <c r="X49" i="8"/>
  <c r="X192" i="8"/>
  <c r="X122" i="8"/>
  <c r="X124" i="8"/>
  <c r="X193" i="8"/>
  <c r="X75" i="8"/>
  <c r="X191" i="8"/>
  <c r="X125" i="8"/>
  <c r="X47" i="8"/>
  <c r="X199" i="8"/>
  <c r="X197" i="8"/>
  <c r="X50" i="8"/>
  <c r="X127" i="8"/>
  <c r="X51" i="8"/>
  <c r="X52" i="8"/>
  <c r="X126" i="8"/>
  <c r="X128" i="8"/>
  <c r="X131" i="8"/>
  <c r="X130" i="8"/>
  <c r="X76" i="8"/>
  <c r="X129" i="8"/>
  <c r="X196" i="8"/>
  <c r="X198" i="8"/>
  <c r="X195" i="8"/>
  <c r="X135" i="8"/>
  <c r="X134" i="8"/>
  <c r="X202" i="8"/>
  <c r="X201" i="8"/>
  <c r="X133" i="8"/>
  <c r="X77" i="8"/>
  <c r="X132" i="8"/>
  <c r="X200" i="8"/>
  <c r="X53" i="8"/>
  <c r="X204" i="8"/>
  <c r="X55" i="8"/>
  <c r="X56" i="8"/>
  <c r="X78" i="8"/>
  <c r="X137" i="8"/>
  <c r="X136" i="8"/>
  <c r="X138" i="8"/>
  <c r="X205" i="8"/>
  <c r="X57" i="8"/>
  <c r="X58" i="8"/>
  <c r="X139" i="8"/>
  <c r="X207" i="8"/>
  <c r="X59" i="8"/>
  <c r="X79" i="8"/>
  <c r="X140" i="8"/>
  <c r="X206" i="8"/>
  <c r="W142" i="8"/>
  <c r="W81" i="8"/>
  <c r="W5" i="8"/>
  <c r="W60" i="8"/>
  <c r="W141" i="8"/>
  <c r="W80" i="8"/>
  <c r="W143" i="8"/>
  <c r="W3" i="8"/>
  <c r="W4" i="8"/>
  <c r="W144" i="8"/>
  <c r="W82" i="8"/>
  <c r="W88" i="8"/>
  <c r="W87" i="8"/>
  <c r="W6" i="8"/>
  <c r="W84" i="8"/>
  <c r="W145" i="8"/>
  <c r="W86" i="8"/>
  <c r="W7" i="8"/>
  <c r="W61" i="8"/>
  <c r="W85" i="8"/>
  <c r="W150" i="8"/>
  <c r="W9" i="8"/>
  <c r="W146" i="8"/>
  <c r="W11" i="8"/>
  <c r="W62" i="8"/>
  <c r="W147" i="8"/>
  <c r="W91" i="8"/>
  <c r="W148" i="8"/>
  <c r="W90" i="8"/>
  <c r="W149" i="8"/>
  <c r="W89" i="8"/>
  <c r="W10" i="8"/>
  <c r="W15" i="8"/>
  <c r="W12" i="8"/>
  <c r="W13" i="8"/>
  <c r="W92" i="8"/>
  <c r="W93" i="8"/>
  <c r="W155" i="8"/>
  <c r="W154" i="8"/>
  <c r="W64" i="8"/>
  <c r="W152" i="8"/>
  <c r="W153" i="8"/>
  <c r="W14" i="8"/>
  <c r="W65" i="8"/>
  <c r="W159" i="8"/>
  <c r="W94" i="8"/>
  <c r="W19" i="8"/>
  <c r="W158" i="8"/>
  <c r="W17" i="8"/>
  <c r="W157" i="8"/>
  <c r="W95" i="8"/>
  <c r="W96" i="8"/>
  <c r="W156" i="8"/>
  <c r="W18" i="8"/>
  <c r="W16" i="8"/>
  <c r="W66" i="8"/>
  <c r="W160" i="8"/>
  <c r="W162" i="8"/>
  <c r="W21" i="8"/>
  <c r="W99" i="8"/>
  <c r="W163" i="8"/>
  <c r="W161" i="8"/>
  <c r="W22" i="8"/>
  <c r="W20" i="8"/>
  <c r="W97" i="8"/>
  <c r="W67" i="8"/>
  <c r="W164" i="8"/>
  <c r="W98" i="8"/>
  <c r="W165" i="8"/>
  <c r="W167" i="8"/>
  <c r="W24" i="8"/>
  <c r="W68" i="8"/>
  <c r="W166" i="8"/>
  <c r="W100" i="8"/>
  <c r="W101" i="8"/>
  <c r="W23" i="8"/>
  <c r="W25" i="8"/>
  <c r="W168" i="8"/>
  <c r="W172" i="8"/>
  <c r="W104" i="8"/>
  <c r="W27" i="8"/>
  <c r="W105" i="8"/>
  <c r="W169" i="8"/>
  <c r="W170" i="8"/>
  <c r="W28" i="8"/>
  <c r="W69" i="8"/>
  <c r="W102" i="8"/>
  <c r="W103" i="8"/>
  <c r="W26" i="8"/>
  <c r="W171" i="8"/>
  <c r="W29" i="8"/>
  <c r="W30" i="8"/>
  <c r="W70" i="8"/>
  <c r="W106" i="8"/>
  <c r="W32" i="8"/>
  <c r="W107" i="8"/>
  <c r="W31" i="8"/>
  <c r="W173" i="8"/>
  <c r="W174" i="8"/>
  <c r="W71" i="8"/>
  <c r="W176" i="8"/>
  <c r="W177" i="8"/>
  <c r="W33" i="8"/>
  <c r="W175" i="8"/>
  <c r="W34" i="8"/>
  <c r="W178" i="8"/>
  <c r="W109" i="8"/>
  <c r="W108" i="8"/>
  <c r="W110" i="8"/>
  <c r="W35" i="8"/>
  <c r="W114" i="8"/>
  <c r="W36" i="8"/>
  <c r="W180" i="8"/>
  <c r="W112" i="8"/>
  <c r="W181" i="8"/>
  <c r="W72" i="8"/>
  <c r="W179" i="8"/>
  <c r="W113" i="8"/>
  <c r="W111" i="8"/>
  <c r="W182" i="8"/>
  <c r="W184" i="8"/>
  <c r="W116" i="8"/>
  <c r="W115" i="8"/>
  <c r="W37" i="8"/>
  <c r="W117" i="8"/>
  <c r="W73" i="8"/>
  <c r="W118" i="8"/>
  <c r="W119" i="8"/>
  <c r="W183" i="8"/>
  <c r="W42" i="8"/>
  <c r="W185" i="8"/>
  <c r="W41" i="8"/>
  <c r="W38" i="8"/>
  <c r="W186" i="8"/>
  <c r="W39" i="8"/>
  <c r="W40" i="8"/>
  <c r="W120" i="8"/>
  <c r="W46" i="8"/>
  <c r="W190" i="8"/>
  <c r="W74" i="8"/>
  <c r="W188" i="8"/>
  <c r="W187" i="8"/>
  <c r="W43" i="8"/>
  <c r="W189" i="8"/>
  <c r="W121" i="8"/>
  <c r="W45" i="8"/>
  <c r="W44" i="8"/>
  <c r="W123" i="8"/>
  <c r="W48" i="8"/>
  <c r="W194" i="8"/>
  <c r="W49" i="8"/>
  <c r="W192" i="8"/>
  <c r="W122" i="8"/>
  <c r="W124" i="8"/>
  <c r="W193" i="8"/>
  <c r="W75" i="8"/>
  <c r="W191" i="8"/>
  <c r="W125" i="8"/>
  <c r="W47" i="8"/>
  <c r="W199" i="8"/>
  <c r="W197" i="8"/>
  <c r="W50" i="8"/>
  <c r="W127" i="8"/>
  <c r="W51" i="8"/>
  <c r="W52" i="8"/>
  <c r="W126" i="8"/>
  <c r="W128" i="8"/>
  <c r="W131" i="8"/>
  <c r="W130" i="8"/>
  <c r="W76" i="8"/>
  <c r="W129" i="8"/>
  <c r="W196" i="8"/>
  <c r="W198" i="8"/>
  <c r="W195" i="8"/>
  <c r="W135" i="8"/>
  <c r="W134" i="8"/>
  <c r="W202" i="8"/>
  <c r="W201" i="8"/>
  <c r="W133" i="8"/>
  <c r="W77" i="8"/>
  <c r="W132" i="8"/>
  <c r="W200" i="8"/>
  <c r="W53" i="8"/>
  <c r="W204" i="8"/>
  <c r="W55" i="8"/>
  <c r="W56" i="8"/>
  <c r="W78" i="8"/>
  <c r="W137" i="8"/>
  <c r="W136" i="8"/>
  <c r="W138" i="8"/>
  <c r="W205" i="8"/>
  <c r="W57" i="8"/>
  <c r="W58" i="8"/>
  <c r="W139" i="8"/>
  <c r="W207" i="8"/>
  <c r="W59" i="8"/>
  <c r="W79" i="8"/>
  <c r="W140" i="8"/>
  <c r="W206" i="8"/>
  <c r="X12" i="1"/>
  <c r="W12" i="1"/>
  <c r="U142" i="8"/>
  <c r="V142" i="8" s="1"/>
  <c r="U81" i="8"/>
  <c r="V81" i="8" s="1"/>
  <c r="U5" i="8"/>
  <c r="V5" i="8" s="1"/>
  <c r="U60" i="8"/>
  <c r="V60" i="8" s="1"/>
  <c r="U141" i="8"/>
  <c r="V141" i="8" s="1"/>
  <c r="U80" i="8"/>
  <c r="V80" i="8" s="1"/>
  <c r="U2" i="8"/>
  <c r="V2" i="8" s="1"/>
  <c r="U143" i="8"/>
  <c r="V143" i="8" s="1"/>
  <c r="U3" i="8"/>
  <c r="V3" i="8" s="1"/>
  <c r="U4" i="8"/>
  <c r="V4" i="8" s="1"/>
  <c r="U144" i="8"/>
  <c r="V144" i="8" s="1"/>
  <c r="U82" i="8"/>
  <c r="V82" i="8" s="1"/>
  <c r="U88" i="8"/>
  <c r="V88" i="8" s="1"/>
  <c r="U87" i="8"/>
  <c r="V87" i="8" s="1"/>
  <c r="U6" i="8"/>
  <c r="V6" i="8" s="1"/>
  <c r="U84" i="8"/>
  <c r="V84" i="8" s="1"/>
  <c r="U145" i="8"/>
  <c r="V145" i="8" s="1"/>
  <c r="U86" i="8"/>
  <c r="V86" i="8" s="1"/>
  <c r="U7" i="8"/>
  <c r="V7" i="8" s="1"/>
  <c r="U61" i="8"/>
  <c r="V61" i="8" s="1"/>
  <c r="U85" i="8"/>
  <c r="V85" i="8" s="1"/>
  <c r="U150" i="8"/>
  <c r="V150" i="8" s="1"/>
  <c r="U9" i="8"/>
  <c r="V9" i="8" s="1"/>
  <c r="U146" i="8"/>
  <c r="V146" i="8" s="1"/>
  <c r="U11" i="8"/>
  <c r="V11" i="8" s="1"/>
  <c r="U62" i="8"/>
  <c r="V62" i="8" s="1"/>
  <c r="U147" i="8"/>
  <c r="V147" i="8" s="1"/>
  <c r="U91" i="8"/>
  <c r="V91" i="8" s="1"/>
  <c r="U148" i="8"/>
  <c r="V148" i="8" s="1"/>
  <c r="U90" i="8"/>
  <c r="V90" i="8" s="1"/>
  <c r="U149" i="8"/>
  <c r="V149" i="8" s="1"/>
  <c r="U89" i="8"/>
  <c r="V89" i="8" s="1"/>
  <c r="U10" i="8"/>
  <c r="V10" i="8" s="1"/>
  <c r="U15" i="8"/>
  <c r="V15" i="8" s="1"/>
  <c r="U12" i="8"/>
  <c r="V12" i="8" s="1"/>
  <c r="U13" i="8"/>
  <c r="V13" i="8" s="1"/>
  <c r="U92" i="8"/>
  <c r="V92" i="8" s="1"/>
  <c r="U93" i="8"/>
  <c r="V93" i="8" s="1"/>
  <c r="U155" i="8"/>
  <c r="V155" i="8" s="1"/>
  <c r="U154" i="8"/>
  <c r="V154" i="8" s="1"/>
  <c r="U64" i="8"/>
  <c r="V64" i="8" s="1"/>
  <c r="U152" i="8"/>
  <c r="V152" i="8" s="1"/>
  <c r="U153" i="8"/>
  <c r="V153" i="8" s="1"/>
  <c r="U14" i="8"/>
  <c r="V14" i="8" s="1"/>
  <c r="U65" i="8"/>
  <c r="V65" i="8" s="1"/>
  <c r="U159" i="8"/>
  <c r="V159" i="8" s="1"/>
  <c r="U94" i="8"/>
  <c r="V94" i="8" s="1"/>
  <c r="U19" i="8"/>
  <c r="V19" i="8" s="1"/>
  <c r="U158" i="8"/>
  <c r="V158" i="8" s="1"/>
  <c r="U17" i="8"/>
  <c r="V17" i="8" s="1"/>
  <c r="U157" i="8"/>
  <c r="V157" i="8" s="1"/>
  <c r="U95" i="8"/>
  <c r="V95" i="8" s="1"/>
  <c r="U96" i="8"/>
  <c r="V96" i="8" s="1"/>
  <c r="U156" i="8"/>
  <c r="V156" i="8" s="1"/>
  <c r="U18" i="8"/>
  <c r="V18" i="8" s="1"/>
  <c r="U16" i="8"/>
  <c r="V16" i="8" s="1"/>
  <c r="U66" i="8"/>
  <c r="V66" i="8" s="1"/>
  <c r="U160" i="8"/>
  <c r="V160" i="8" s="1"/>
  <c r="U162" i="8"/>
  <c r="V162" i="8" s="1"/>
  <c r="U21" i="8"/>
  <c r="V21" i="8" s="1"/>
  <c r="U99" i="8"/>
  <c r="V99" i="8" s="1"/>
  <c r="U163" i="8"/>
  <c r="V163" i="8" s="1"/>
  <c r="U161" i="8"/>
  <c r="V161" i="8" s="1"/>
  <c r="U22" i="8"/>
  <c r="V22" i="8" s="1"/>
  <c r="U20" i="8"/>
  <c r="V20" i="8" s="1"/>
  <c r="U97" i="8"/>
  <c r="V97" i="8" s="1"/>
  <c r="U67" i="8"/>
  <c r="V67" i="8" s="1"/>
  <c r="U164" i="8"/>
  <c r="V164" i="8" s="1"/>
  <c r="U98" i="8"/>
  <c r="V98" i="8" s="1"/>
  <c r="U165" i="8"/>
  <c r="V165" i="8" s="1"/>
  <c r="U167" i="8"/>
  <c r="V167" i="8" s="1"/>
  <c r="U24" i="8"/>
  <c r="V24" i="8" s="1"/>
  <c r="U68" i="8"/>
  <c r="V68" i="8" s="1"/>
  <c r="U166" i="8"/>
  <c r="V166" i="8" s="1"/>
  <c r="U100" i="8"/>
  <c r="V100" i="8" s="1"/>
  <c r="U101" i="8"/>
  <c r="V101" i="8" s="1"/>
  <c r="U23" i="8"/>
  <c r="V23" i="8" s="1"/>
  <c r="U25" i="8"/>
  <c r="V25" i="8" s="1"/>
  <c r="U168" i="8"/>
  <c r="V168" i="8" s="1"/>
  <c r="U172" i="8"/>
  <c r="V172" i="8" s="1"/>
  <c r="U104" i="8"/>
  <c r="V104" i="8" s="1"/>
  <c r="U27" i="8"/>
  <c r="V27" i="8" s="1"/>
  <c r="U105" i="8"/>
  <c r="V105" i="8" s="1"/>
  <c r="U169" i="8"/>
  <c r="V169" i="8" s="1"/>
  <c r="U170" i="8"/>
  <c r="V170" i="8" s="1"/>
  <c r="U28" i="8"/>
  <c r="V28" i="8" s="1"/>
  <c r="U69" i="8"/>
  <c r="V69" i="8" s="1"/>
  <c r="U102" i="8"/>
  <c r="V102" i="8" s="1"/>
  <c r="U103" i="8"/>
  <c r="V103" i="8" s="1"/>
  <c r="U26" i="8"/>
  <c r="V26" i="8" s="1"/>
  <c r="U171" i="8"/>
  <c r="V171" i="8" s="1"/>
  <c r="U29" i="8"/>
  <c r="V29" i="8" s="1"/>
  <c r="U30" i="8"/>
  <c r="V30" i="8" s="1"/>
  <c r="U70" i="8"/>
  <c r="V70" i="8" s="1"/>
  <c r="U106" i="8"/>
  <c r="V106" i="8" s="1"/>
  <c r="U32" i="8"/>
  <c r="V32" i="8" s="1"/>
  <c r="U107" i="8"/>
  <c r="V107" i="8" s="1"/>
  <c r="U31" i="8"/>
  <c r="V31" i="8" s="1"/>
  <c r="U173" i="8"/>
  <c r="V173" i="8" s="1"/>
  <c r="U174" i="8"/>
  <c r="V174" i="8" s="1"/>
  <c r="U71" i="8"/>
  <c r="V71" i="8" s="1"/>
  <c r="U176" i="8"/>
  <c r="V176" i="8" s="1"/>
  <c r="U177" i="8"/>
  <c r="V177" i="8" s="1"/>
  <c r="U33" i="8"/>
  <c r="V33" i="8" s="1"/>
  <c r="U175" i="8"/>
  <c r="V175" i="8" s="1"/>
  <c r="U34" i="8"/>
  <c r="V34" i="8" s="1"/>
  <c r="U178" i="8"/>
  <c r="V178" i="8" s="1"/>
  <c r="U109" i="8"/>
  <c r="V109" i="8" s="1"/>
  <c r="U108" i="8"/>
  <c r="V108" i="8" s="1"/>
  <c r="U110" i="8"/>
  <c r="V110" i="8" s="1"/>
  <c r="U35" i="8"/>
  <c r="V35" i="8" s="1"/>
  <c r="U114" i="8"/>
  <c r="V114" i="8" s="1"/>
  <c r="U36" i="8"/>
  <c r="V36" i="8" s="1"/>
  <c r="U180" i="8"/>
  <c r="V180" i="8" s="1"/>
  <c r="U112" i="8"/>
  <c r="V112" i="8" s="1"/>
  <c r="U181" i="8"/>
  <c r="V181" i="8" s="1"/>
  <c r="U72" i="8"/>
  <c r="V72" i="8" s="1"/>
  <c r="U179" i="8"/>
  <c r="V179" i="8" s="1"/>
  <c r="U113" i="8"/>
  <c r="V113" i="8" s="1"/>
  <c r="U111" i="8"/>
  <c r="V111" i="8" s="1"/>
  <c r="U182" i="8"/>
  <c r="V182" i="8" s="1"/>
  <c r="U184" i="8"/>
  <c r="V184" i="8" s="1"/>
  <c r="U116" i="8"/>
  <c r="V116" i="8" s="1"/>
  <c r="U115" i="8"/>
  <c r="V115" i="8" s="1"/>
  <c r="U37" i="8"/>
  <c r="V37" i="8" s="1"/>
  <c r="U117" i="8"/>
  <c r="V117" i="8" s="1"/>
  <c r="U73" i="8"/>
  <c r="V73" i="8" s="1"/>
  <c r="U118" i="8"/>
  <c r="V118" i="8" s="1"/>
  <c r="U119" i="8"/>
  <c r="V119" i="8" s="1"/>
  <c r="U183" i="8"/>
  <c r="V183" i="8" s="1"/>
  <c r="U42" i="8"/>
  <c r="V42" i="8" s="1"/>
  <c r="U185" i="8"/>
  <c r="V185" i="8" s="1"/>
  <c r="U41" i="8"/>
  <c r="V41" i="8" s="1"/>
  <c r="U38" i="8"/>
  <c r="V38" i="8" s="1"/>
  <c r="U186" i="8"/>
  <c r="V186" i="8" s="1"/>
  <c r="U39" i="8"/>
  <c r="V39" i="8" s="1"/>
  <c r="U40" i="8"/>
  <c r="V40" i="8" s="1"/>
  <c r="U120" i="8"/>
  <c r="V120" i="8" s="1"/>
  <c r="U46" i="8"/>
  <c r="V46" i="8" s="1"/>
  <c r="U190" i="8"/>
  <c r="V190" i="8" s="1"/>
  <c r="U74" i="8"/>
  <c r="V74" i="8" s="1"/>
  <c r="U188" i="8"/>
  <c r="V188" i="8" s="1"/>
  <c r="U187" i="8"/>
  <c r="V187" i="8" s="1"/>
  <c r="U43" i="8"/>
  <c r="V43" i="8" s="1"/>
  <c r="U189" i="8"/>
  <c r="V189" i="8" s="1"/>
  <c r="U121" i="8"/>
  <c r="V121" i="8" s="1"/>
  <c r="U45" i="8"/>
  <c r="V45" i="8" s="1"/>
  <c r="U44" i="8"/>
  <c r="V44" i="8" s="1"/>
  <c r="U123" i="8"/>
  <c r="V123" i="8" s="1"/>
  <c r="U48" i="8"/>
  <c r="V48" i="8" s="1"/>
  <c r="U194" i="8"/>
  <c r="V194" i="8" s="1"/>
  <c r="U49" i="8"/>
  <c r="V49" i="8" s="1"/>
  <c r="U192" i="8"/>
  <c r="V192" i="8" s="1"/>
  <c r="U122" i="8"/>
  <c r="V122" i="8" s="1"/>
  <c r="U124" i="8"/>
  <c r="V124" i="8" s="1"/>
  <c r="U193" i="8"/>
  <c r="V193" i="8" s="1"/>
  <c r="U75" i="8"/>
  <c r="V75" i="8" s="1"/>
  <c r="U191" i="8"/>
  <c r="V191" i="8" s="1"/>
  <c r="U125" i="8"/>
  <c r="V125" i="8" s="1"/>
  <c r="U47" i="8"/>
  <c r="V47" i="8" s="1"/>
  <c r="U199" i="8"/>
  <c r="V199" i="8" s="1"/>
  <c r="U197" i="8"/>
  <c r="V197" i="8" s="1"/>
  <c r="U50" i="8"/>
  <c r="V50" i="8" s="1"/>
  <c r="U127" i="8"/>
  <c r="V127" i="8" s="1"/>
  <c r="U51" i="8"/>
  <c r="V51" i="8" s="1"/>
  <c r="U52" i="8"/>
  <c r="V52" i="8" s="1"/>
  <c r="U126" i="8"/>
  <c r="V126" i="8" s="1"/>
  <c r="U128" i="8"/>
  <c r="V128" i="8" s="1"/>
  <c r="U131" i="8"/>
  <c r="V131" i="8" s="1"/>
  <c r="U130" i="8"/>
  <c r="V130" i="8" s="1"/>
  <c r="U76" i="8"/>
  <c r="V76" i="8" s="1"/>
  <c r="U129" i="8"/>
  <c r="V129" i="8" s="1"/>
  <c r="U196" i="8"/>
  <c r="V196" i="8" s="1"/>
  <c r="U198" i="8"/>
  <c r="V198" i="8" s="1"/>
  <c r="U195" i="8"/>
  <c r="V195" i="8" s="1"/>
  <c r="U135" i="8"/>
  <c r="V135" i="8" s="1"/>
  <c r="U134" i="8"/>
  <c r="V134" i="8" s="1"/>
  <c r="U202" i="8"/>
  <c r="V202" i="8" s="1"/>
  <c r="U201" i="8"/>
  <c r="V201" i="8" s="1"/>
  <c r="U133" i="8"/>
  <c r="V133" i="8" s="1"/>
  <c r="U77" i="8"/>
  <c r="V77" i="8" s="1"/>
  <c r="U132" i="8"/>
  <c r="V132" i="8" s="1"/>
  <c r="U200" i="8"/>
  <c r="V200" i="8" s="1"/>
  <c r="U53" i="8"/>
  <c r="V53" i="8" s="1"/>
  <c r="U204" i="8"/>
  <c r="V204" i="8" s="1"/>
  <c r="U55" i="8"/>
  <c r="V55" i="8" s="1"/>
  <c r="U56" i="8"/>
  <c r="V56" i="8" s="1"/>
  <c r="U78" i="8"/>
  <c r="V78" i="8" s="1"/>
  <c r="U137" i="8"/>
  <c r="V137" i="8" s="1"/>
  <c r="U136" i="8"/>
  <c r="V136" i="8" s="1"/>
  <c r="U138" i="8"/>
  <c r="V138" i="8" s="1"/>
  <c r="U205" i="8"/>
  <c r="V205" i="8" s="1"/>
  <c r="U57" i="8"/>
  <c r="V57" i="8" s="1"/>
  <c r="U58" i="8"/>
  <c r="V58" i="8" s="1"/>
  <c r="U139" i="8"/>
  <c r="V139" i="8" s="1"/>
  <c r="U207" i="8"/>
  <c r="V207" i="8" s="1"/>
  <c r="U59" i="8"/>
  <c r="V59" i="8" s="1"/>
  <c r="U79" i="8"/>
  <c r="V79" i="8" s="1"/>
  <c r="U140" i="8"/>
  <c r="V140" i="8" s="1"/>
  <c r="U206" i="8"/>
  <c r="V206" i="8" s="1"/>
  <c r="T142" i="8"/>
  <c r="T81" i="8"/>
  <c r="T5" i="8"/>
  <c r="T60" i="8"/>
  <c r="T141" i="8"/>
  <c r="T80" i="8"/>
  <c r="T143" i="8"/>
  <c r="T3" i="8"/>
  <c r="T4" i="8"/>
  <c r="T144" i="8"/>
  <c r="T82" i="8"/>
  <c r="T88" i="8"/>
  <c r="T87" i="8"/>
  <c r="T6" i="8"/>
  <c r="T84" i="8"/>
  <c r="T145" i="8"/>
  <c r="T86" i="8"/>
  <c r="T7" i="8"/>
  <c r="T61" i="8"/>
  <c r="T85" i="8"/>
  <c r="T150" i="8"/>
  <c r="T9" i="8"/>
  <c r="T146" i="8"/>
  <c r="T11" i="8"/>
  <c r="T62" i="8"/>
  <c r="T147" i="8"/>
  <c r="T91" i="8"/>
  <c r="T148" i="8"/>
  <c r="T90" i="8"/>
  <c r="T149" i="8"/>
  <c r="T89" i="8"/>
  <c r="T10" i="8"/>
  <c r="T15" i="8"/>
  <c r="T12" i="8"/>
  <c r="T13" i="8"/>
  <c r="T92" i="8"/>
  <c r="T93" i="8"/>
  <c r="T155" i="8"/>
  <c r="T154" i="8"/>
  <c r="T64" i="8"/>
  <c r="T152" i="8"/>
  <c r="T153" i="8"/>
  <c r="T14" i="8"/>
  <c r="T65" i="8"/>
  <c r="T159" i="8"/>
  <c r="T94" i="8"/>
  <c r="T19" i="8"/>
  <c r="T158" i="8"/>
  <c r="T17" i="8"/>
  <c r="T157" i="8"/>
  <c r="T95" i="8"/>
  <c r="T96" i="8"/>
  <c r="T156" i="8"/>
  <c r="T18" i="8"/>
  <c r="T16" i="8"/>
  <c r="T66" i="8"/>
  <c r="T160" i="8"/>
  <c r="T162" i="8"/>
  <c r="T21" i="8"/>
  <c r="T99" i="8"/>
  <c r="T163" i="8"/>
  <c r="T161" i="8"/>
  <c r="T22" i="8"/>
  <c r="T20" i="8"/>
  <c r="T97" i="8"/>
  <c r="T67" i="8"/>
  <c r="T164" i="8"/>
  <c r="T98" i="8"/>
  <c r="T165" i="8"/>
  <c r="T167" i="8"/>
  <c r="T24" i="8"/>
  <c r="T68" i="8"/>
  <c r="T166" i="8"/>
  <c r="T100" i="8"/>
  <c r="T101" i="8"/>
  <c r="T23" i="8"/>
  <c r="T25" i="8"/>
  <c r="T168" i="8"/>
  <c r="T172" i="8"/>
  <c r="T104" i="8"/>
  <c r="T27" i="8"/>
  <c r="T105" i="8"/>
  <c r="T169" i="8"/>
  <c r="T170" i="8"/>
  <c r="T28" i="8"/>
  <c r="T69" i="8"/>
  <c r="T102" i="8"/>
  <c r="T103" i="8"/>
  <c r="T26" i="8"/>
  <c r="T171" i="8"/>
  <c r="T29" i="8"/>
  <c r="T30" i="8"/>
  <c r="T70" i="8"/>
  <c r="T106" i="8"/>
  <c r="T32" i="8"/>
  <c r="T107" i="8"/>
  <c r="T31" i="8"/>
  <c r="T173" i="8"/>
  <c r="T174" i="8"/>
  <c r="T71" i="8"/>
  <c r="T176" i="8"/>
  <c r="T177" i="8"/>
  <c r="T33" i="8"/>
  <c r="T175" i="8"/>
  <c r="T34" i="8"/>
  <c r="T178" i="8"/>
  <c r="T109" i="8"/>
  <c r="T108" i="8"/>
  <c r="T110" i="8"/>
  <c r="T35" i="8"/>
  <c r="T114" i="8"/>
  <c r="T36" i="8"/>
  <c r="T180" i="8"/>
  <c r="T112" i="8"/>
  <c r="T181" i="8"/>
  <c r="T72" i="8"/>
  <c r="T179" i="8"/>
  <c r="T113" i="8"/>
  <c r="T111" i="8"/>
  <c r="T182" i="8"/>
  <c r="T184" i="8"/>
  <c r="T116" i="8"/>
  <c r="T115" i="8"/>
  <c r="T37" i="8"/>
  <c r="T117" i="8"/>
  <c r="T73" i="8"/>
  <c r="T118" i="8"/>
  <c r="T119" i="8"/>
  <c r="T183" i="8"/>
  <c r="T42" i="8"/>
  <c r="T185" i="8"/>
  <c r="T41" i="8"/>
  <c r="T38" i="8"/>
  <c r="T186" i="8"/>
  <c r="T39" i="8"/>
  <c r="T40" i="8"/>
  <c r="T120" i="8"/>
  <c r="T46" i="8"/>
  <c r="T190" i="8"/>
  <c r="T74" i="8"/>
  <c r="T188" i="8"/>
  <c r="T187" i="8"/>
  <c r="T43" i="8"/>
  <c r="T189" i="8"/>
  <c r="T121" i="8"/>
  <c r="T45" i="8"/>
  <c r="T44" i="8"/>
  <c r="T123" i="8"/>
  <c r="T48" i="8"/>
  <c r="T194" i="8"/>
  <c r="T49" i="8"/>
  <c r="T192" i="8"/>
  <c r="T122" i="8"/>
  <c r="T124" i="8"/>
  <c r="T193" i="8"/>
  <c r="T75" i="8"/>
  <c r="T191" i="8"/>
  <c r="T125" i="8"/>
  <c r="T47" i="8"/>
  <c r="T199" i="8"/>
  <c r="T197" i="8"/>
  <c r="T50" i="8"/>
  <c r="T127" i="8"/>
  <c r="T51" i="8"/>
  <c r="T52" i="8"/>
  <c r="T126" i="8"/>
  <c r="T128" i="8"/>
  <c r="T131" i="8"/>
  <c r="T130" i="8"/>
  <c r="T76" i="8"/>
  <c r="T129" i="8"/>
  <c r="T196" i="8"/>
  <c r="T198" i="8"/>
  <c r="T195" i="8"/>
  <c r="T135" i="8"/>
  <c r="T134" i="8"/>
  <c r="T202" i="8"/>
  <c r="T201" i="8"/>
  <c r="T133" i="8"/>
  <c r="T77" i="8"/>
  <c r="T132" i="8"/>
  <c r="T200" i="8"/>
  <c r="T53" i="8"/>
  <c r="T204" i="8"/>
  <c r="T55" i="8"/>
  <c r="T56" i="8"/>
  <c r="T78" i="8"/>
  <c r="T137" i="8"/>
  <c r="T136" i="8"/>
  <c r="T138" i="8"/>
  <c r="T205" i="8"/>
  <c r="T57" i="8"/>
  <c r="T58" i="8"/>
  <c r="T139" i="8"/>
  <c r="T207" i="8"/>
  <c r="T59" i="8"/>
  <c r="T79" i="8"/>
  <c r="T140" i="8"/>
  <c r="T206" i="8"/>
  <c r="N142" i="8"/>
  <c r="N81" i="8"/>
  <c r="N5" i="8"/>
  <c r="N60" i="8"/>
  <c r="N141" i="8"/>
  <c r="N80" i="8"/>
  <c r="N2" i="8"/>
  <c r="N143" i="8"/>
  <c r="N3" i="8"/>
  <c r="N4" i="8"/>
  <c r="N144" i="8"/>
  <c r="N82" i="8"/>
  <c r="N88" i="8"/>
  <c r="N87" i="8"/>
  <c r="N6" i="8"/>
  <c r="N84" i="8"/>
  <c r="N145" i="8"/>
  <c r="N86" i="8"/>
  <c r="N7" i="8"/>
  <c r="N61" i="8"/>
  <c r="N85" i="8"/>
  <c r="N150" i="8"/>
  <c r="N9" i="8"/>
  <c r="N146" i="8"/>
  <c r="N11" i="8"/>
  <c r="N62" i="8"/>
  <c r="N147" i="8"/>
  <c r="N91" i="8"/>
  <c r="N148" i="8"/>
  <c r="N90" i="8"/>
  <c r="N149" i="8"/>
  <c r="N89" i="8"/>
  <c r="N10" i="8"/>
  <c r="N15" i="8"/>
  <c r="N12" i="8"/>
  <c r="N13" i="8"/>
  <c r="N92" i="8"/>
  <c r="N93" i="8"/>
  <c r="N155" i="8"/>
  <c r="N154" i="8"/>
  <c r="N64" i="8"/>
  <c r="N152" i="8"/>
  <c r="N153" i="8"/>
  <c r="N14" i="8"/>
  <c r="N65" i="8"/>
  <c r="N159" i="8"/>
  <c r="N94" i="8"/>
  <c r="N19" i="8"/>
  <c r="N158" i="8"/>
  <c r="N17" i="8"/>
  <c r="N157" i="8"/>
  <c r="N95" i="8"/>
  <c r="N96" i="8"/>
  <c r="N156" i="8"/>
  <c r="N18" i="8"/>
  <c r="N16" i="8"/>
  <c r="N66" i="8"/>
  <c r="N160" i="8"/>
  <c r="N162" i="8"/>
  <c r="N21" i="8"/>
  <c r="N99" i="8"/>
  <c r="N163" i="8"/>
  <c r="N161" i="8"/>
  <c r="N22" i="8"/>
  <c r="N20" i="8"/>
  <c r="N97" i="8"/>
  <c r="N67" i="8"/>
  <c r="N164" i="8"/>
  <c r="N98" i="8"/>
  <c r="N165" i="8"/>
  <c r="N167" i="8"/>
  <c r="N24" i="8"/>
  <c r="N68" i="8"/>
  <c r="N166" i="8"/>
  <c r="N100" i="8"/>
  <c r="N101" i="8"/>
  <c r="N23" i="8"/>
  <c r="N25" i="8"/>
  <c r="N168" i="8"/>
  <c r="N172" i="8"/>
  <c r="N104" i="8"/>
  <c r="N27" i="8"/>
  <c r="N105" i="8"/>
  <c r="N169" i="8"/>
  <c r="N170" i="8"/>
  <c r="N28" i="8"/>
  <c r="N69" i="8"/>
  <c r="N102" i="8"/>
  <c r="N103" i="8"/>
  <c r="N26" i="8"/>
  <c r="N171" i="8"/>
  <c r="N29" i="8"/>
  <c r="N30" i="8"/>
  <c r="N70" i="8"/>
  <c r="N106" i="8"/>
  <c r="N32" i="8"/>
  <c r="N107" i="8"/>
  <c r="N31" i="8"/>
  <c r="N173" i="8"/>
  <c r="N174" i="8"/>
  <c r="N71" i="8"/>
  <c r="N176" i="8"/>
  <c r="N177" i="8"/>
  <c r="N33" i="8"/>
  <c r="N175" i="8"/>
  <c r="N34" i="8"/>
  <c r="N178" i="8"/>
  <c r="N109" i="8"/>
  <c r="N108" i="8"/>
  <c r="N110" i="8"/>
  <c r="N35" i="8"/>
  <c r="N114" i="8"/>
  <c r="N36" i="8"/>
  <c r="N180" i="8"/>
  <c r="N112" i="8"/>
  <c r="N181" i="8"/>
  <c r="N72" i="8"/>
  <c r="N179" i="8"/>
  <c r="N113" i="8"/>
  <c r="N111" i="8"/>
  <c r="N182" i="8"/>
  <c r="N184" i="8"/>
  <c r="N116" i="8"/>
  <c r="N115" i="8"/>
  <c r="N37" i="8"/>
  <c r="N117" i="8"/>
  <c r="N73" i="8"/>
  <c r="N118" i="8"/>
  <c r="N119" i="8"/>
  <c r="N183" i="8"/>
  <c r="N42" i="8"/>
  <c r="N185" i="8"/>
  <c r="N41" i="8"/>
  <c r="N38" i="8"/>
  <c r="N186" i="8"/>
  <c r="N39" i="8"/>
  <c r="N40" i="8"/>
  <c r="N120" i="8"/>
  <c r="N46" i="8"/>
  <c r="N190" i="8"/>
  <c r="N74" i="8"/>
  <c r="N188" i="8"/>
  <c r="N187" i="8"/>
  <c r="N43" i="8"/>
  <c r="N189" i="8"/>
  <c r="N121" i="8"/>
  <c r="N45" i="8"/>
  <c r="N44" i="8"/>
  <c r="N123" i="8"/>
  <c r="N48" i="8"/>
  <c r="N194" i="8"/>
  <c r="N49" i="8"/>
  <c r="N192" i="8"/>
  <c r="N122" i="8"/>
  <c r="N124" i="8"/>
  <c r="N193" i="8"/>
  <c r="N75" i="8"/>
  <c r="N191" i="8"/>
  <c r="N125" i="8"/>
  <c r="N47" i="8"/>
  <c r="N199" i="8"/>
  <c r="N197" i="8"/>
  <c r="N50" i="8"/>
  <c r="N127" i="8"/>
  <c r="N51" i="8"/>
  <c r="N52" i="8"/>
  <c r="N126" i="8"/>
  <c r="N128" i="8"/>
  <c r="N131" i="8"/>
  <c r="N130" i="8"/>
  <c r="N76" i="8"/>
  <c r="N129" i="8"/>
  <c r="N196" i="8"/>
  <c r="N198" i="8"/>
  <c r="N195" i="8"/>
  <c r="N135" i="8"/>
  <c r="N134" i="8"/>
  <c r="N202" i="8"/>
  <c r="N201" i="8"/>
  <c r="N133" i="8"/>
  <c r="N77" i="8"/>
  <c r="N132" i="8"/>
  <c r="N200" i="8"/>
  <c r="N53" i="8"/>
  <c r="N204" i="8"/>
  <c r="N55" i="8"/>
  <c r="N56" i="8"/>
  <c r="N78" i="8"/>
  <c r="N137" i="8"/>
  <c r="N136" i="8"/>
  <c r="N138" i="8"/>
  <c r="N205" i="8"/>
  <c r="N57" i="8"/>
  <c r="N58" i="8"/>
  <c r="N139" i="8"/>
  <c r="N207" i="8"/>
  <c r="N59" i="8"/>
  <c r="N79" i="8"/>
  <c r="N140" i="8"/>
  <c r="N206" i="8"/>
  <c r="I3" i="8"/>
  <c r="I2" i="8"/>
  <c r="I4" i="8"/>
  <c r="I5" i="8"/>
  <c r="I60" i="8"/>
  <c r="I82" i="8"/>
  <c r="I81" i="8"/>
  <c r="I80" i="8"/>
  <c r="I144" i="8"/>
  <c r="I141" i="8"/>
  <c r="I142" i="8"/>
  <c r="I143" i="8"/>
  <c r="I7" i="8"/>
  <c r="I6" i="8"/>
  <c r="I61" i="8"/>
  <c r="I145" i="8"/>
  <c r="I87" i="8"/>
  <c r="I88" i="8"/>
  <c r="I86" i="8"/>
  <c r="I84" i="8"/>
  <c r="I85" i="8"/>
  <c r="I11" i="8"/>
  <c r="I9" i="8"/>
  <c r="I10" i="8"/>
  <c r="I62" i="8"/>
  <c r="I90" i="8"/>
  <c r="I89" i="8"/>
  <c r="I91" i="8"/>
  <c r="I148" i="8"/>
  <c r="I149" i="8"/>
  <c r="I146" i="8"/>
  <c r="I150" i="8"/>
  <c r="I147" i="8"/>
  <c r="I15" i="8"/>
  <c r="I13" i="8"/>
  <c r="I12" i="8"/>
  <c r="I14" i="8"/>
  <c r="I64" i="8"/>
  <c r="I92" i="8"/>
  <c r="I93" i="8"/>
  <c r="I154" i="8"/>
  <c r="I155" i="8"/>
  <c r="I152" i="8"/>
  <c r="I153" i="8"/>
  <c r="I17" i="8"/>
  <c r="I18" i="8"/>
  <c r="I19" i="8"/>
  <c r="I16" i="8"/>
  <c r="I66" i="8"/>
  <c r="I65" i="8"/>
  <c r="I96" i="8"/>
  <c r="I94" i="8"/>
  <c r="I95" i="8"/>
  <c r="I156" i="8"/>
  <c r="I157" i="8"/>
  <c r="I158" i="8"/>
  <c r="I159" i="8"/>
  <c r="I22" i="8"/>
  <c r="I21" i="8"/>
  <c r="I20" i="8"/>
  <c r="I67" i="8"/>
  <c r="I99" i="8"/>
  <c r="I97" i="8"/>
  <c r="I98" i="8"/>
  <c r="I163" i="8"/>
  <c r="I161" i="8"/>
  <c r="I164" i="8"/>
  <c r="I160" i="8"/>
  <c r="I162" i="8"/>
  <c r="I25" i="8"/>
  <c r="I24" i="8"/>
  <c r="I23" i="8"/>
  <c r="I68" i="8"/>
  <c r="I100" i="8"/>
  <c r="I101" i="8"/>
  <c r="I168" i="8"/>
  <c r="I166" i="8"/>
  <c r="I167" i="8"/>
  <c r="I165" i="8"/>
  <c r="I27" i="8"/>
  <c r="I26" i="8"/>
  <c r="I28" i="8"/>
  <c r="I69" i="8"/>
  <c r="I105" i="8"/>
  <c r="I102" i="8"/>
  <c r="I103" i="8"/>
  <c r="I104" i="8"/>
  <c r="I171" i="8"/>
  <c r="I170" i="8"/>
  <c r="I172" i="8"/>
  <c r="I169" i="8"/>
  <c r="I31" i="8"/>
  <c r="I32" i="8"/>
  <c r="I29" i="8"/>
  <c r="I30" i="8"/>
  <c r="I70" i="8"/>
  <c r="I107" i="8"/>
  <c r="I106" i="8"/>
  <c r="I173" i="8"/>
  <c r="I34" i="8"/>
  <c r="I109" i="8"/>
  <c r="I33" i="8"/>
  <c r="I71" i="8"/>
  <c r="I108" i="8"/>
  <c r="I110" i="8"/>
  <c r="I178" i="8"/>
  <c r="I174" i="8"/>
  <c r="I175" i="8"/>
  <c r="I177" i="8"/>
  <c r="I176" i="8"/>
  <c r="I36" i="8"/>
  <c r="I35" i="8"/>
  <c r="I72" i="8"/>
  <c r="I114" i="8"/>
  <c r="I112" i="8"/>
  <c r="I113" i="8"/>
  <c r="I111" i="8"/>
  <c r="I181" i="8"/>
  <c r="I180" i="8"/>
  <c r="I179" i="8"/>
  <c r="I42" i="8"/>
  <c r="I40" i="8"/>
  <c r="I37" i="8"/>
  <c r="I41" i="8"/>
  <c r="I38" i="8"/>
  <c r="I39" i="8"/>
  <c r="I73" i="8"/>
  <c r="I118" i="8"/>
  <c r="I115" i="8"/>
  <c r="I117" i="8"/>
  <c r="I116" i="8"/>
  <c r="I119" i="8"/>
  <c r="I186" i="8"/>
  <c r="I182" i="8"/>
  <c r="I184" i="8"/>
  <c r="I183" i="8"/>
  <c r="I185" i="8"/>
  <c r="I46" i="8"/>
  <c r="I43" i="8"/>
  <c r="I45" i="8"/>
  <c r="I44" i="8"/>
  <c r="I74" i="8"/>
  <c r="I121" i="8"/>
  <c r="I120" i="8"/>
  <c r="I188" i="8"/>
  <c r="I187" i="8"/>
  <c r="I189" i="8"/>
  <c r="I190" i="8"/>
  <c r="I49" i="8"/>
  <c r="I47" i="8"/>
  <c r="I48" i="8"/>
  <c r="I75" i="8"/>
  <c r="I124" i="8"/>
  <c r="I122" i="8"/>
  <c r="I125" i="8"/>
  <c r="I123" i="8"/>
  <c r="I194" i="8"/>
  <c r="I192" i="8"/>
  <c r="I193" i="8"/>
  <c r="I191" i="8"/>
  <c r="I50" i="8"/>
  <c r="I52" i="8"/>
  <c r="I51" i="8"/>
  <c r="I76" i="8"/>
  <c r="I131" i="8"/>
  <c r="I127" i="8"/>
  <c r="I130" i="8"/>
  <c r="I129" i="8"/>
  <c r="I128" i="8"/>
  <c r="I126" i="8"/>
  <c r="I197" i="8"/>
  <c r="I199" i="8"/>
  <c r="I196" i="8"/>
  <c r="I198" i="8"/>
  <c r="I195" i="8"/>
  <c r="I53" i="8"/>
  <c r="I77" i="8"/>
  <c r="I133" i="8"/>
  <c r="I135" i="8"/>
  <c r="I132" i="8"/>
  <c r="I134" i="8"/>
  <c r="I200" i="8"/>
  <c r="I201" i="8"/>
  <c r="I202" i="8"/>
  <c r="I55" i="8"/>
  <c r="I56" i="8"/>
  <c r="I78" i="8"/>
  <c r="I138" i="8"/>
  <c r="I136" i="8"/>
  <c r="I137" i="8"/>
  <c r="I204" i="8"/>
  <c r="I59" i="8"/>
  <c r="I58" i="8"/>
  <c r="I57" i="8"/>
  <c r="I79" i="8"/>
  <c r="I140" i="8"/>
  <c r="I139" i="8"/>
  <c r="I205" i="8"/>
  <c r="I207" i="8"/>
  <c r="I206" i="8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" i="11"/>
  <c r="X20" i="11"/>
  <c r="Y20" i="11" s="1"/>
  <c r="W20" i="11"/>
  <c r="I72" i="14" l="1"/>
  <c r="H86" i="14"/>
  <c r="I108" i="14"/>
  <c r="I170" i="14"/>
  <c r="H206" i="14"/>
  <c r="I132" i="14"/>
  <c r="I174" i="14"/>
  <c r="I102" i="14"/>
  <c r="I76" i="14"/>
  <c r="H111" i="14"/>
  <c r="I123" i="14"/>
  <c r="I105" i="14"/>
  <c r="H118" i="14"/>
  <c r="H114" i="14"/>
  <c r="I129" i="14"/>
  <c r="H152" i="14"/>
  <c r="I127" i="14"/>
  <c r="I122" i="14"/>
  <c r="I176" i="14"/>
  <c r="I155" i="14"/>
  <c r="H106" i="14"/>
  <c r="H64" i="14"/>
  <c r="H107" i="14"/>
  <c r="I39" i="14"/>
  <c r="H158" i="14"/>
  <c r="H130" i="14"/>
  <c r="I162" i="14"/>
  <c r="H94" i="14"/>
  <c r="I110" i="14"/>
  <c r="H88" i="14"/>
  <c r="H133" i="14"/>
  <c r="I10" i="14"/>
  <c r="H63" i="14"/>
  <c r="P41" i="11"/>
  <c r="O10" i="11"/>
  <c r="M38" i="11"/>
  <c r="M26" i="11"/>
  <c r="S26" i="11" s="1"/>
  <c r="M25" i="11"/>
  <c r="S25" i="11" s="1"/>
  <c r="M61" i="11"/>
  <c r="M6" i="11"/>
  <c r="Q43" i="11"/>
  <c r="S43" i="11"/>
  <c r="C43" i="11"/>
  <c r="S11" i="11"/>
  <c r="S32" i="11"/>
  <c r="Q30" i="11"/>
  <c r="Q29" i="11"/>
  <c r="Q28" i="11"/>
  <c r="Q27" i="11"/>
  <c r="Q25" i="11"/>
  <c r="Q24" i="11"/>
  <c r="Q17" i="11"/>
  <c r="Q14" i="11"/>
  <c r="Q12" i="11"/>
  <c r="Q11" i="11"/>
  <c r="Q10" i="11"/>
  <c r="Q9" i="11"/>
  <c r="Q7" i="11"/>
  <c r="Q6" i="11"/>
  <c r="Q5" i="11"/>
  <c r="Q4" i="11"/>
  <c r="Q2" i="11"/>
  <c r="S7" i="11"/>
  <c r="S6" i="11"/>
  <c r="S5" i="11"/>
  <c r="S4" i="11"/>
  <c r="C15" i="11"/>
  <c r="I32" i="11"/>
  <c r="Q32" i="11" s="1"/>
  <c r="S44" i="11"/>
  <c r="K63" i="11"/>
  <c r="K48" i="11"/>
  <c r="Q48" i="11" s="1"/>
  <c r="K33" i="11"/>
  <c r="S33" i="11" s="1"/>
  <c r="K49" i="11"/>
  <c r="Q49" i="11" s="1"/>
  <c r="L23" i="11"/>
  <c r="S23" i="11" s="1"/>
  <c r="K41" i="11"/>
  <c r="S41" i="11" s="1"/>
  <c r="K24" i="11"/>
  <c r="S24" i="11" s="1"/>
  <c r="K62" i="11"/>
  <c r="L62" i="11"/>
  <c r="K15" i="11"/>
  <c r="K9" i="11"/>
  <c r="L19" i="11"/>
  <c r="L3" i="11"/>
  <c r="S3" i="11" s="1"/>
  <c r="J54" i="11"/>
  <c r="J31" i="11"/>
  <c r="Q31" i="11" s="1"/>
  <c r="J22" i="11"/>
  <c r="S22" i="11" s="1"/>
  <c r="Q51" i="11"/>
  <c r="I63" i="11"/>
  <c r="S63" i="11" s="1"/>
  <c r="I49" i="11"/>
  <c r="I61" i="11"/>
  <c r="I55" i="11"/>
  <c r="Q55" i="11" s="1"/>
  <c r="I13" i="11"/>
  <c r="S13" i="11" s="1"/>
  <c r="H38" i="11"/>
  <c r="Q38" i="11" s="1"/>
  <c r="H61" i="11"/>
  <c r="H15" i="11"/>
  <c r="S15" i="11" s="1"/>
  <c r="Q50" i="11"/>
  <c r="S66" i="11"/>
  <c r="S50" i="11"/>
  <c r="S29" i="11"/>
  <c r="G46" i="11"/>
  <c r="S46" i="11" s="1"/>
  <c r="G54" i="11"/>
  <c r="G62" i="11"/>
  <c r="G18" i="11"/>
  <c r="S18" i="11" s="1"/>
  <c r="G8" i="11"/>
  <c r="Q8" i="11" s="1"/>
  <c r="E39" i="11"/>
  <c r="Q39" i="11" s="1"/>
  <c r="E58" i="11"/>
  <c r="Q58" i="11" s="1"/>
  <c r="E19" i="11"/>
  <c r="Q19" i="11" s="1"/>
  <c r="E16" i="11"/>
  <c r="S16" i="11" s="1"/>
  <c r="S42" i="11"/>
  <c r="S47" i="11"/>
  <c r="S52" i="11"/>
  <c r="S53" i="11"/>
  <c r="S56" i="11"/>
  <c r="S57" i="11"/>
  <c r="S59" i="11"/>
  <c r="S60" i="11"/>
  <c r="S64" i="11"/>
  <c r="S35" i="11"/>
  <c r="S36" i="11"/>
  <c r="S37" i="11"/>
  <c r="S40" i="11"/>
  <c r="S9" i="11"/>
  <c r="S10" i="11"/>
  <c r="S12" i="11"/>
  <c r="S14" i="11"/>
  <c r="S17" i="11"/>
  <c r="S27" i="11"/>
  <c r="S28" i="11"/>
  <c r="S30" i="11"/>
  <c r="S31" i="11"/>
  <c r="S34" i="11"/>
  <c r="Q56" i="11"/>
  <c r="Q57" i="11"/>
  <c r="Q59" i="11"/>
  <c r="Q60" i="11"/>
  <c r="Q64" i="11"/>
  <c r="Q36" i="11"/>
  <c r="Q37" i="11"/>
  <c r="Q40" i="11"/>
  <c r="Q42" i="11"/>
  <c r="Q44" i="11"/>
  <c r="Q47" i="11"/>
  <c r="Q52" i="11"/>
  <c r="Q53" i="11"/>
  <c r="Q34" i="11"/>
  <c r="Q35" i="11"/>
  <c r="D45" i="11"/>
  <c r="S45" i="11" s="1"/>
  <c r="D11" i="11"/>
  <c r="Q15" i="11" l="1"/>
  <c r="Q16" i="11"/>
  <c r="S48" i="11"/>
  <c r="S8" i="11"/>
  <c r="Q18" i="11"/>
  <c r="Q33" i="11"/>
  <c r="Q63" i="11"/>
  <c r="Q46" i="11"/>
  <c r="S38" i="11"/>
  <c r="Q22" i="11"/>
  <c r="Q13" i="11"/>
  <c r="Q23" i="11"/>
  <c r="S49" i="11"/>
  <c r="Q54" i="11"/>
  <c r="Q61" i="11"/>
  <c r="S62" i="11"/>
  <c r="S55" i="11"/>
  <c r="Q45" i="11"/>
  <c r="S54" i="11"/>
  <c r="S19" i="11"/>
  <c r="S61" i="11"/>
  <c r="Q41" i="11"/>
  <c r="Q62" i="11"/>
  <c r="S51" i="11"/>
  <c r="S39" i="11"/>
  <c r="S58" i="11"/>
  <c r="S31" i="7"/>
  <c r="T31" i="7"/>
  <c r="M31" i="7"/>
  <c r="N31" i="7"/>
  <c r="O31" i="7"/>
  <c r="P31" i="7"/>
  <c r="Q31" i="7"/>
  <c r="R31" i="7"/>
  <c r="D31" i="7"/>
  <c r="E31" i="7"/>
  <c r="F31" i="7"/>
  <c r="G31" i="7"/>
  <c r="H31" i="7"/>
  <c r="I31" i="7"/>
  <c r="J31" i="7"/>
  <c r="K31" i="7"/>
  <c r="L31" i="7"/>
  <c r="C31" i="7"/>
  <c r="U18" i="1"/>
  <c r="W23" i="1"/>
  <c r="X70" i="1"/>
  <c r="X165" i="1"/>
  <c r="X16" i="1"/>
  <c r="X160" i="1"/>
  <c r="X38" i="1"/>
  <c r="X106" i="1"/>
  <c r="X180" i="1"/>
  <c r="X122" i="1"/>
  <c r="X26" i="1"/>
  <c r="X182" i="1"/>
  <c r="X189" i="1"/>
  <c r="X125" i="1"/>
  <c r="X48" i="1"/>
  <c r="X47" i="1"/>
  <c r="X184" i="1"/>
  <c r="X45" i="1"/>
  <c r="X97" i="1"/>
  <c r="X43" i="1"/>
  <c r="X63" i="1"/>
  <c r="X111" i="1"/>
  <c r="X149" i="1"/>
  <c r="X155" i="1"/>
  <c r="X152" i="1"/>
  <c r="X86" i="1"/>
  <c r="X3" i="1"/>
  <c r="X92" i="1"/>
  <c r="X166" i="1"/>
  <c r="X71" i="1"/>
  <c r="X194" i="1"/>
  <c r="X5" i="1"/>
  <c r="X102" i="1"/>
  <c r="X191" i="1"/>
  <c r="X10" i="1"/>
  <c r="X123" i="1"/>
  <c r="X197" i="1"/>
  <c r="X50" i="1"/>
  <c r="X127" i="1"/>
  <c r="X8" i="1"/>
  <c r="X19" i="1"/>
  <c r="X170" i="1"/>
  <c r="X173" i="1"/>
  <c r="X162" i="1"/>
  <c r="X232" i="1"/>
  <c r="X80" i="1"/>
  <c r="X145" i="1"/>
  <c r="X153" i="1"/>
  <c r="X239" i="1"/>
  <c r="X238" i="1"/>
  <c r="X90" i="1"/>
  <c r="X171" i="1"/>
  <c r="X101" i="1"/>
  <c r="X172" i="1"/>
  <c r="X30" i="1"/>
  <c r="X118" i="1"/>
  <c r="X175" i="1"/>
  <c r="X25" i="1"/>
  <c r="X159" i="1"/>
  <c r="X20" i="1"/>
  <c r="X77" i="1"/>
  <c r="X196" i="1"/>
  <c r="X78" i="1"/>
  <c r="X87" i="1"/>
  <c r="X17" i="1"/>
  <c r="X176" i="1"/>
  <c r="X69" i="1"/>
  <c r="X120" i="1"/>
  <c r="X224" i="1"/>
  <c r="X215" i="1"/>
  <c r="X119" i="1"/>
  <c r="X216" i="1"/>
  <c r="X138" i="1"/>
  <c r="X56" i="1"/>
  <c r="X217" i="1"/>
  <c r="X46" i="1"/>
  <c r="X233" i="1"/>
  <c r="X57" i="1"/>
  <c r="X89" i="1"/>
  <c r="X157" i="1"/>
  <c r="X32" i="1"/>
  <c r="X109" i="1"/>
  <c r="X40" i="1"/>
  <c r="X167" i="1"/>
  <c r="X82" i="1"/>
  <c r="X222" i="1"/>
  <c r="X13" i="1"/>
  <c r="X161" i="1"/>
  <c r="X44" i="1"/>
  <c r="X73" i="1"/>
  <c r="X113" i="1"/>
  <c r="X117" i="1"/>
  <c r="X195" i="1"/>
  <c r="X225" i="1"/>
  <c r="X207" i="1"/>
  <c r="X58" i="1"/>
  <c r="X110" i="1"/>
  <c r="X142" i="1"/>
  <c r="X136" i="1"/>
  <c r="X15" i="1"/>
  <c r="X24" i="1"/>
  <c r="X168" i="1"/>
  <c r="X105" i="1"/>
  <c r="X112" i="1"/>
  <c r="X79" i="1"/>
  <c r="X230" i="1"/>
  <c r="X231" i="1"/>
  <c r="X21" i="1"/>
  <c r="X219" i="1"/>
  <c r="X18" i="1"/>
  <c r="X31" i="1"/>
  <c r="X100" i="1"/>
  <c r="X39" i="1"/>
  <c r="X98" i="1"/>
  <c r="X76" i="1"/>
  <c r="X218" i="1"/>
  <c r="X62" i="1"/>
  <c r="X209" i="1"/>
  <c r="X169" i="1"/>
  <c r="X104" i="1"/>
  <c r="X158" i="1"/>
  <c r="X212" i="1"/>
  <c r="X54" i="1"/>
  <c r="X34" i="1"/>
  <c r="X41" i="1"/>
  <c r="X114" i="1"/>
  <c r="X75" i="1"/>
  <c r="X227" i="1"/>
  <c r="X139" i="1"/>
  <c r="X150" i="1"/>
  <c r="X174" i="1"/>
  <c r="X228" i="1"/>
  <c r="X148" i="1"/>
  <c r="X229" i="1"/>
  <c r="X6" i="1"/>
  <c r="X93" i="1"/>
  <c r="X91" i="1"/>
  <c r="X68" i="1"/>
  <c r="X179" i="1"/>
  <c r="X11" i="1"/>
  <c r="X190" i="1"/>
  <c r="X14" i="1"/>
  <c r="X36" i="1"/>
  <c r="X88" i="1"/>
  <c r="X187" i="1"/>
  <c r="X188" i="1"/>
  <c r="X124" i="1"/>
  <c r="X129" i="1"/>
  <c r="X181" i="1"/>
  <c r="X130" i="1"/>
  <c r="X33" i="1"/>
  <c r="X65" i="1"/>
  <c r="X64" i="1"/>
  <c r="X66" i="1"/>
  <c r="X220" i="1"/>
  <c r="X151" i="1"/>
  <c r="X84" i="1"/>
  <c r="X221" i="1"/>
  <c r="X234" i="1"/>
  <c r="X213" i="1"/>
  <c r="X147" i="1"/>
  <c r="X143" i="1"/>
  <c r="X23" i="1"/>
  <c r="X22" i="1"/>
  <c r="X116" i="1"/>
  <c r="X74" i="1"/>
  <c r="X202" i="1"/>
  <c r="X226" i="1"/>
  <c r="X115" i="1"/>
  <c r="X107" i="1"/>
  <c r="X9" i="1"/>
  <c r="X208" i="1"/>
  <c r="X203" i="1"/>
  <c r="X42" i="1"/>
  <c r="X144" i="1"/>
  <c r="X7" i="1"/>
  <c r="X96" i="1"/>
  <c r="X163" i="1"/>
  <c r="X99" i="1"/>
  <c r="X94" i="1"/>
  <c r="X186" i="1"/>
  <c r="X72" i="1"/>
  <c r="X27" i="1"/>
  <c r="X37" i="1"/>
  <c r="X2" i="1"/>
  <c r="X134" i="1"/>
  <c r="X210" i="1"/>
  <c r="X192" i="1"/>
  <c r="X135" i="1"/>
  <c r="X183" i="1"/>
  <c r="X59" i="1"/>
  <c r="X156" i="1"/>
  <c r="X29" i="1"/>
  <c r="X51" i="1"/>
  <c r="X60" i="1"/>
  <c r="X132" i="1"/>
  <c r="X83" i="1"/>
  <c r="X199" i="1"/>
  <c r="X133" i="1"/>
  <c r="X140" i="1"/>
  <c r="X141" i="1"/>
  <c r="X200" i="1"/>
  <c r="X214" i="1"/>
  <c r="X55" i="1"/>
  <c r="X137" i="1"/>
  <c r="X128" i="1"/>
  <c r="X193" i="1"/>
  <c r="X95" i="1"/>
  <c r="X35" i="1"/>
  <c r="X108" i="1"/>
  <c r="X52" i="1"/>
  <c r="X164" i="1"/>
  <c r="X103" i="1"/>
  <c r="X81" i="1"/>
  <c r="X211" i="1"/>
  <c r="X198" i="1"/>
  <c r="X53" i="1"/>
  <c r="X204" i="1"/>
  <c r="X201" i="1"/>
  <c r="X205" i="1"/>
  <c r="X28" i="1"/>
  <c r="X67" i="1"/>
  <c r="X4" i="1"/>
  <c r="X146" i="1"/>
  <c r="X154" i="1"/>
  <c r="X236" i="1"/>
  <c r="X223" i="1"/>
  <c r="X206" i="1"/>
  <c r="X85" i="1"/>
  <c r="X235" i="1"/>
  <c r="X237" i="1"/>
  <c r="W70" i="1"/>
  <c r="W165" i="1"/>
  <c r="W16" i="1"/>
  <c r="W160" i="1"/>
  <c r="W38" i="1"/>
  <c r="W106" i="1"/>
  <c r="W180" i="1"/>
  <c r="W122" i="1"/>
  <c r="W26" i="1"/>
  <c r="W182" i="1"/>
  <c r="W189" i="1"/>
  <c r="W125" i="1"/>
  <c r="W48" i="1"/>
  <c r="W45" i="1"/>
  <c r="W97" i="1"/>
  <c r="W43" i="1"/>
  <c r="W63" i="1"/>
  <c r="W111" i="1"/>
  <c r="W149" i="1"/>
  <c r="W155" i="1"/>
  <c r="W152" i="1"/>
  <c r="W86" i="1"/>
  <c r="W3" i="1"/>
  <c r="W92" i="1"/>
  <c r="W166" i="1"/>
  <c r="W71" i="1"/>
  <c r="W194" i="1"/>
  <c r="W5" i="1"/>
  <c r="W102" i="1"/>
  <c r="W191" i="1"/>
  <c r="W10" i="1"/>
  <c r="W123" i="1"/>
  <c r="W197" i="1"/>
  <c r="W50" i="1"/>
  <c r="W8" i="1"/>
  <c r="W19" i="1"/>
  <c r="W170" i="1"/>
  <c r="W173" i="1"/>
  <c r="W162" i="1"/>
  <c r="W232" i="1"/>
  <c r="W80" i="1"/>
  <c r="W145" i="1"/>
  <c r="W153" i="1"/>
  <c r="W239" i="1"/>
  <c r="W238" i="1"/>
  <c r="W90" i="1"/>
  <c r="W171" i="1"/>
  <c r="W101" i="1"/>
  <c r="W172" i="1"/>
  <c r="W30" i="1"/>
  <c r="W118" i="1"/>
  <c r="W175" i="1"/>
  <c r="W25" i="1"/>
  <c r="W159" i="1"/>
  <c r="W20" i="1"/>
  <c r="W77" i="1"/>
  <c r="W196" i="1"/>
  <c r="W78" i="1"/>
  <c r="W87" i="1"/>
  <c r="W17" i="1"/>
  <c r="W176" i="1"/>
  <c r="W69" i="1"/>
  <c r="W120" i="1"/>
  <c r="W224" i="1"/>
  <c r="W215" i="1"/>
  <c r="W119" i="1"/>
  <c r="W216" i="1"/>
  <c r="W138" i="1"/>
  <c r="W56" i="1"/>
  <c r="W217" i="1"/>
  <c r="W46" i="1"/>
  <c r="W233" i="1"/>
  <c r="W57" i="1"/>
  <c r="W89" i="1"/>
  <c r="W157" i="1"/>
  <c r="W32" i="1"/>
  <c r="W109" i="1"/>
  <c r="W40" i="1"/>
  <c r="W167" i="1"/>
  <c r="W82" i="1"/>
  <c r="W222" i="1"/>
  <c r="W13" i="1"/>
  <c r="W161" i="1"/>
  <c r="W44" i="1"/>
  <c r="W73" i="1"/>
  <c r="W113" i="1"/>
  <c r="W117" i="1"/>
  <c r="W195" i="1"/>
  <c r="W225" i="1"/>
  <c r="W207" i="1"/>
  <c r="W58" i="1"/>
  <c r="W110" i="1"/>
  <c r="W142" i="1"/>
  <c r="W136" i="1"/>
  <c r="W15" i="1"/>
  <c r="W24" i="1"/>
  <c r="W168" i="1"/>
  <c r="W105" i="1"/>
  <c r="W112" i="1"/>
  <c r="W79" i="1"/>
  <c r="W230" i="1"/>
  <c r="W231" i="1"/>
  <c r="W21" i="1"/>
  <c r="W219" i="1"/>
  <c r="W18" i="1"/>
  <c r="W31" i="1"/>
  <c r="W100" i="1"/>
  <c r="W39" i="1"/>
  <c r="W98" i="1"/>
  <c r="W76" i="1"/>
  <c r="W218" i="1"/>
  <c r="W62" i="1"/>
  <c r="W209" i="1"/>
  <c r="W169" i="1"/>
  <c r="W104" i="1"/>
  <c r="W158" i="1"/>
  <c r="W212" i="1"/>
  <c r="W34" i="1"/>
  <c r="W41" i="1"/>
  <c r="W114" i="1"/>
  <c r="W75" i="1"/>
  <c r="W227" i="1"/>
  <c r="W139" i="1"/>
  <c r="W150" i="1"/>
  <c r="W174" i="1"/>
  <c r="W228" i="1"/>
  <c r="W148" i="1"/>
  <c r="W229" i="1"/>
  <c r="W6" i="1"/>
  <c r="W93" i="1"/>
  <c r="W91" i="1"/>
  <c r="W68" i="1"/>
  <c r="W179" i="1"/>
  <c r="W11" i="1"/>
  <c r="W190" i="1"/>
  <c r="W14" i="1"/>
  <c r="W36" i="1"/>
  <c r="W88" i="1"/>
  <c r="W187" i="1"/>
  <c r="W188" i="1"/>
  <c r="W124" i="1"/>
  <c r="W129" i="1"/>
  <c r="W181" i="1"/>
  <c r="W130" i="1"/>
  <c r="W33" i="1"/>
  <c r="W65" i="1"/>
  <c r="W64" i="1"/>
  <c r="W66" i="1"/>
  <c r="W220" i="1"/>
  <c r="W151" i="1"/>
  <c r="W84" i="1"/>
  <c r="W221" i="1"/>
  <c r="W234" i="1"/>
  <c r="W213" i="1"/>
  <c r="W147" i="1"/>
  <c r="W22" i="1"/>
  <c r="W116" i="1"/>
  <c r="W74" i="1"/>
  <c r="W202" i="1"/>
  <c r="W226" i="1"/>
  <c r="W115" i="1"/>
  <c r="W107" i="1"/>
  <c r="W9" i="1"/>
  <c r="W208" i="1"/>
  <c r="W203" i="1"/>
  <c r="W42" i="1"/>
  <c r="W144" i="1"/>
  <c r="W7" i="1"/>
  <c r="W96" i="1"/>
  <c r="W163" i="1"/>
  <c r="W99" i="1"/>
  <c r="W94" i="1"/>
  <c r="W186" i="1"/>
  <c r="W72" i="1"/>
  <c r="W27" i="1"/>
  <c r="W37" i="1"/>
  <c r="W2" i="1"/>
  <c r="W134" i="1"/>
  <c r="W210" i="1"/>
  <c r="W192" i="1"/>
  <c r="W135" i="1"/>
  <c r="W183" i="1"/>
  <c r="W156" i="1"/>
  <c r="W29" i="1"/>
  <c r="W51" i="1"/>
  <c r="W60" i="1"/>
  <c r="W132" i="1"/>
  <c r="W83" i="1"/>
  <c r="W199" i="1"/>
  <c r="W133" i="1"/>
  <c r="W140" i="1"/>
  <c r="W141" i="1"/>
  <c r="W200" i="1"/>
  <c r="W214" i="1"/>
  <c r="W95" i="1"/>
  <c r="W35" i="1"/>
  <c r="W108" i="1"/>
  <c r="W52" i="1"/>
  <c r="W164" i="1"/>
  <c r="W103" i="1"/>
  <c r="W81" i="1"/>
  <c r="W211" i="1"/>
  <c r="W198" i="1"/>
  <c r="W53" i="1"/>
  <c r="W204" i="1"/>
  <c r="W201" i="1"/>
  <c r="W28" i="1"/>
  <c r="W67" i="1"/>
  <c r="W4" i="1"/>
  <c r="W146" i="1"/>
  <c r="W154" i="1"/>
  <c r="W236" i="1"/>
  <c r="W223" i="1"/>
  <c r="W85" i="1"/>
  <c r="W235" i="1"/>
  <c r="W237" i="1"/>
  <c r="V70" i="1"/>
  <c r="V165" i="1"/>
  <c r="V16" i="1"/>
  <c r="V160" i="1"/>
  <c r="V38" i="1"/>
  <c r="V106" i="1"/>
  <c r="V180" i="1"/>
  <c r="V122" i="1"/>
  <c r="V26" i="1"/>
  <c r="V182" i="1"/>
  <c r="V189" i="1"/>
  <c r="V125" i="1"/>
  <c r="V48" i="1"/>
  <c r="V47" i="1"/>
  <c r="V184" i="1"/>
  <c r="V45" i="1"/>
  <c r="V97" i="1"/>
  <c r="V43" i="1"/>
  <c r="V63" i="1"/>
  <c r="V111" i="1"/>
  <c r="V149" i="1"/>
  <c r="V155" i="1"/>
  <c r="V152" i="1"/>
  <c r="V86" i="1"/>
  <c r="V3" i="1"/>
  <c r="V92" i="1"/>
  <c r="V166" i="1"/>
  <c r="V71" i="1"/>
  <c r="V194" i="1"/>
  <c r="V5" i="1"/>
  <c r="V102" i="1"/>
  <c r="V191" i="1"/>
  <c r="V10" i="1"/>
  <c r="V123" i="1"/>
  <c r="V197" i="1"/>
  <c r="V50" i="1"/>
  <c r="V127" i="1"/>
  <c r="V8" i="1"/>
  <c r="V19" i="1"/>
  <c r="V170" i="1"/>
  <c r="V173" i="1"/>
  <c r="V162" i="1"/>
  <c r="V232" i="1"/>
  <c r="V80" i="1"/>
  <c r="V145" i="1"/>
  <c r="V153" i="1"/>
  <c r="V239" i="1"/>
  <c r="V238" i="1"/>
  <c r="V12" i="1"/>
  <c r="V90" i="1"/>
  <c r="V171" i="1"/>
  <c r="V101" i="1"/>
  <c r="V172" i="1"/>
  <c r="V30" i="1"/>
  <c r="V118" i="1"/>
  <c r="V175" i="1"/>
  <c r="V25" i="1"/>
  <c r="V159" i="1"/>
  <c r="V20" i="1"/>
  <c r="V77" i="1"/>
  <c r="V196" i="1"/>
  <c r="V78" i="1"/>
  <c r="V87" i="1"/>
  <c r="V17" i="1"/>
  <c r="V176" i="1"/>
  <c r="V69" i="1"/>
  <c r="V120" i="1"/>
  <c r="V224" i="1"/>
  <c r="V215" i="1"/>
  <c r="V119" i="1"/>
  <c r="V216" i="1"/>
  <c r="V138" i="1"/>
  <c r="V56" i="1"/>
  <c r="V217" i="1"/>
  <c r="V46" i="1"/>
  <c r="V233" i="1"/>
  <c r="V57" i="1"/>
  <c r="V89" i="1"/>
  <c r="V157" i="1"/>
  <c r="V32" i="1"/>
  <c r="V109" i="1"/>
  <c r="V40" i="1"/>
  <c r="V167" i="1"/>
  <c r="V82" i="1"/>
  <c r="V222" i="1"/>
  <c r="V13" i="1"/>
  <c r="V161" i="1"/>
  <c r="V44" i="1"/>
  <c r="V73" i="1"/>
  <c r="V113" i="1"/>
  <c r="V117" i="1"/>
  <c r="V195" i="1"/>
  <c r="V225" i="1"/>
  <c r="V207" i="1"/>
  <c r="V58" i="1"/>
  <c r="V110" i="1"/>
  <c r="V142" i="1"/>
  <c r="V136" i="1"/>
  <c r="V15" i="1"/>
  <c r="V24" i="1"/>
  <c r="V168" i="1"/>
  <c r="V105" i="1"/>
  <c r="V112" i="1"/>
  <c r="V79" i="1"/>
  <c r="V230" i="1"/>
  <c r="V231" i="1"/>
  <c r="V21" i="1"/>
  <c r="V219" i="1"/>
  <c r="V18" i="1"/>
  <c r="V31" i="1"/>
  <c r="V100" i="1"/>
  <c r="V39" i="1"/>
  <c r="V98" i="1"/>
  <c r="V76" i="1"/>
  <c r="V218" i="1"/>
  <c r="V62" i="1"/>
  <c r="V209" i="1"/>
  <c r="V169" i="1"/>
  <c r="V104" i="1"/>
  <c r="V158" i="1"/>
  <c r="V212" i="1"/>
  <c r="V54" i="1"/>
  <c r="V34" i="1"/>
  <c r="V41" i="1"/>
  <c r="V114" i="1"/>
  <c r="V75" i="1"/>
  <c r="V227" i="1"/>
  <c r="V139" i="1"/>
  <c r="V150" i="1"/>
  <c r="V174" i="1"/>
  <c r="V228" i="1"/>
  <c r="V148" i="1"/>
  <c r="V229" i="1"/>
  <c r="V6" i="1"/>
  <c r="V93" i="1"/>
  <c r="V91" i="1"/>
  <c r="V68" i="1"/>
  <c r="V179" i="1"/>
  <c r="V11" i="1"/>
  <c r="V190" i="1"/>
  <c r="V14" i="1"/>
  <c r="V36" i="1"/>
  <c r="V88" i="1"/>
  <c r="V187" i="1"/>
  <c r="V188" i="1"/>
  <c r="V124" i="1"/>
  <c r="V129" i="1"/>
  <c r="V181" i="1"/>
  <c r="V130" i="1"/>
  <c r="V33" i="1"/>
  <c r="V65" i="1"/>
  <c r="V64" i="1"/>
  <c r="V66" i="1"/>
  <c r="V220" i="1"/>
  <c r="V151" i="1"/>
  <c r="V84" i="1"/>
  <c r="V221" i="1"/>
  <c r="V234" i="1"/>
  <c r="V213" i="1"/>
  <c r="V147" i="1"/>
  <c r="V143" i="1"/>
  <c r="V23" i="1"/>
  <c r="V22" i="1"/>
  <c r="V116" i="1"/>
  <c r="V74" i="1"/>
  <c r="V202" i="1"/>
  <c r="V226" i="1"/>
  <c r="V115" i="1"/>
  <c r="V107" i="1"/>
  <c r="V9" i="1"/>
  <c r="V208" i="1"/>
  <c r="V203" i="1"/>
  <c r="V42" i="1"/>
  <c r="V144" i="1"/>
  <c r="V7" i="1"/>
  <c r="V96" i="1"/>
  <c r="V163" i="1"/>
  <c r="V99" i="1"/>
  <c r="V94" i="1"/>
  <c r="V186" i="1"/>
  <c r="V72" i="1"/>
  <c r="V27" i="1"/>
  <c r="V37" i="1"/>
  <c r="V2" i="1"/>
  <c r="V134" i="1"/>
  <c r="V210" i="1"/>
  <c r="V192" i="1"/>
  <c r="V135" i="1"/>
  <c r="V183" i="1"/>
  <c r="V59" i="1"/>
  <c r="V156" i="1"/>
  <c r="V29" i="1"/>
  <c r="V51" i="1"/>
  <c r="V60" i="1"/>
  <c r="V132" i="1"/>
  <c r="V83" i="1"/>
  <c r="V199" i="1"/>
  <c r="V133" i="1"/>
  <c r="V140" i="1"/>
  <c r="V141" i="1"/>
  <c r="V200" i="1"/>
  <c r="V214" i="1"/>
  <c r="V55" i="1"/>
  <c r="V137" i="1"/>
  <c r="V128" i="1"/>
  <c r="V193" i="1"/>
  <c r="V95" i="1"/>
  <c r="V35" i="1"/>
  <c r="V108" i="1"/>
  <c r="V52" i="1"/>
  <c r="V164" i="1"/>
  <c r="V103" i="1"/>
  <c r="V81" i="1"/>
  <c r="V211" i="1"/>
  <c r="V198" i="1"/>
  <c r="V53" i="1"/>
  <c r="V204" i="1"/>
  <c r="V201" i="1"/>
  <c r="V205" i="1"/>
  <c r="V28" i="1"/>
  <c r="V67" i="1"/>
  <c r="V4" i="1"/>
  <c r="V146" i="1"/>
  <c r="V154" i="1"/>
  <c r="V236" i="1"/>
  <c r="V223" i="1"/>
  <c r="V206" i="1"/>
  <c r="V85" i="1"/>
  <c r="V235" i="1"/>
  <c r="V237" i="1"/>
  <c r="U70" i="1"/>
  <c r="U165" i="1"/>
  <c r="U16" i="1"/>
  <c r="U160" i="1"/>
  <c r="U38" i="1"/>
  <c r="U106" i="1"/>
  <c r="U180" i="1"/>
  <c r="U122" i="1"/>
  <c r="U26" i="1"/>
  <c r="U182" i="1"/>
  <c r="U189" i="1"/>
  <c r="U125" i="1"/>
  <c r="U48" i="1"/>
  <c r="U47" i="1"/>
  <c r="U184" i="1"/>
  <c r="U45" i="1"/>
  <c r="U97" i="1"/>
  <c r="U43" i="1"/>
  <c r="U63" i="1"/>
  <c r="U111" i="1"/>
  <c r="U149" i="1"/>
  <c r="U155" i="1"/>
  <c r="U152" i="1"/>
  <c r="U86" i="1"/>
  <c r="U3" i="1"/>
  <c r="U92" i="1"/>
  <c r="U166" i="1"/>
  <c r="U71" i="1"/>
  <c r="U194" i="1"/>
  <c r="U5" i="1"/>
  <c r="U102" i="1"/>
  <c r="U191" i="1"/>
  <c r="U10" i="1"/>
  <c r="U123" i="1"/>
  <c r="U197" i="1"/>
  <c r="U50" i="1"/>
  <c r="U127" i="1"/>
  <c r="U8" i="1"/>
  <c r="U19" i="1"/>
  <c r="U170" i="1"/>
  <c r="U173" i="1"/>
  <c r="U162" i="1"/>
  <c r="U232" i="1"/>
  <c r="U80" i="1"/>
  <c r="U145" i="1"/>
  <c r="U153" i="1"/>
  <c r="U239" i="1"/>
  <c r="U238" i="1"/>
  <c r="U12" i="1"/>
  <c r="U90" i="1"/>
  <c r="U171" i="1"/>
  <c r="U101" i="1"/>
  <c r="U172" i="1"/>
  <c r="U30" i="1"/>
  <c r="U118" i="1"/>
  <c r="U175" i="1"/>
  <c r="U25" i="1"/>
  <c r="U159" i="1"/>
  <c r="U20" i="1"/>
  <c r="U77" i="1"/>
  <c r="U196" i="1"/>
  <c r="U78" i="1"/>
  <c r="U87" i="1"/>
  <c r="U17" i="1"/>
  <c r="U176" i="1"/>
  <c r="U69" i="1"/>
  <c r="U120" i="1"/>
  <c r="U224" i="1"/>
  <c r="U215" i="1"/>
  <c r="U119" i="1"/>
  <c r="U216" i="1"/>
  <c r="U138" i="1"/>
  <c r="U56" i="1"/>
  <c r="U217" i="1"/>
  <c r="U46" i="1"/>
  <c r="U233" i="1"/>
  <c r="U57" i="1"/>
  <c r="U89" i="1"/>
  <c r="U157" i="1"/>
  <c r="U32" i="1"/>
  <c r="U109" i="1"/>
  <c r="U40" i="1"/>
  <c r="U167" i="1"/>
  <c r="U82" i="1"/>
  <c r="U222" i="1"/>
  <c r="U13" i="1"/>
  <c r="U161" i="1"/>
  <c r="U44" i="1"/>
  <c r="U73" i="1"/>
  <c r="U113" i="1"/>
  <c r="U117" i="1"/>
  <c r="U195" i="1"/>
  <c r="U225" i="1"/>
  <c r="U207" i="1"/>
  <c r="U58" i="1"/>
  <c r="U110" i="1"/>
  <c r="U142" i="1"/>
  <c r="U136" i="1"/>
  <c r="U15" i="1"/>
  <c r="U24" i="1"/>
  <c r="U168" i="1"/>
  <c r="U105" i="1"/>
  <c r="U112" i="1"/>
  <c r="U79" i="1"/>
  <c r="U230" i="1"/>
  <c r="U231" i="1"/>
  <c r="U21" i="1"/>
  <c r="U219" i="1"/>
  <c r="U31" i="1"/>
  <c r="U100" i="1"/>
  <c r="U39" i="1"/>
  <c r="U98" i="1"/>
  <c r="U76" i="1"/>
  <c r="U218" i="1"/>
  <c r="U62" i="1"/>
  <c r="U209" i="1"/>
  <c r="U169" i="1"/>
  <c r="U104" i="1"/>
  <c r="U158" i="1"/>
  <c r="U212" i="1"/>
  <c r="U54" i="1"/>
  <c r="U34" i="1"/>
  <c r="U41" i="1"/>
  <c r="U114" i="1"/>
  <c r="U75" i="1"/>
  <c r="U227" i="1"/>
  <c r="U139" i="1"/>
  <c r="U150" i="1"/>
  <c r="U174" i="1"/>
  <c r="U228" i="1"/>
  <c r="U148" i="1"/>
  <c r="U229" i="1"/>
  <c r="U6" i="1"/>
  <c r="U93" i="1"/>
  <c r="U91" i="1"/>
  <c r="U68" i="1"/>
  <c r="U179" i="1"/>
  <c r="U11" i="1"/>
  <c r="U190" i="1"/>
  <c r="U14" i="1"/>
  <c r="U36" i="1"/>
  <c r="U88" i="1"/>
  <c r="U187" i="1"/>
  <c r="U188" i="1"/>
  <c r="U124" i="1"/>
  <c r="U129" i="1"/>
  <c r="U181" i="1"/>
  <c r="U130" i="1"/>
  <c r="U33" i="1"/>
  <c r="U65" i="1"/>
  <c r="U64" i="1"/>
  <c r="U66" i="1"/>
  <c r="U220" i="1"/>
  <c r="U151" i="1"/>
  <c r="U84" i="1"/>
  <c r="U221" i="1"/>
  <c r="U234" i="1"/>
  <c r="U213" i="1"/>
  <c r="U147" i="1"/>
  <c r="U143" i="1"/>
  <c r="U23" i="1"/>
  <c r="U22" i="1"/>
  <c r="U116" i="1"/>
  <c r="U74" i="1"/>
  <c r="U202" i="1"/>
  <c r="U226" i="1"/>
  <c r="U115" i="1"/>
  <c r="U107" i="1"/>
  <c r="U9" i="1"/>
  <c r="U208" i="1"/>
  <c r="U203" i="1"/>
  <c r="U42" i="1"/>
  <c r="U144" i="1"/>
  <c r="U7" i="1"/>
  <c r="U96" i="1"/>
  <c r="U163" i="1"/>
  <c r="U99" i="1"/>
  <c r="U94" i="1"/>
  <c r="U186" i="1"/>
  <c r="U72" i="1"/>
  <c r="U27" i="1"/>
  <c r="U37" i="1"/>
  <c r="U2" i="1"/>
  <c r="U134" i="1"/>
  <c r="U210" i="1"/>
  <c r="U192" i="1"/>
  <c r="U135" i="1"/>
  <c r="U183" i="1"/>
  <c r="U59" i="1"/>
  <c r="U156" i="1"/>
  <c r="U29" i="1"/>
  <c r="U51" i="1"/>
  <c r="U60" i="1"/>
  <c r="U132" i="1"/>
  <c r="U83" i="1"/>
  <c r="U199" i="1"/>
  <c r="U133" i="1"/>
  <c r="U140" i="1"/>
  <c r="U141" i="1"/>
  <c r="U200" i="1"/>
  <c r="U214" i="1"/>
  <c r="U55" i="1"/>
  <c r="U137" i="1"/>
  <c r="U128" i="1"/>
  <c r="U193" i="1"/>
  <c r="U95" i="1"/>
  <c r="U35" i="1"/>
  <c r="U108" i="1"/>
  <c r="U52" i="1"/>
  <c r="U164" i="1"/>
  <c r="U103" i="1"/>
  <c r="U81" i="1"/>
  <c r="U211" i="1"/>
  <c r="U198" i="1"/>
  <c r="U53" i="1"/>
  <c r="U204" i="1"/>
  <c r="U201" i="1"/>
  <c r="U205" i="1"/>
  <c r="U28" i="1"/>
  <c r="U67" i="1"/>
  <c r="U4" i="1"/>
  <c r="U146" i="1"/>
  <c r="U154" i="1"/>
  <c r="U236" i="1"/>
  <c r="U223" i="1"/>
  <c r="U206" i="1"/>
  <c r="U85" i="1"/>
  <c r="U235" i="1"/>
  <c r="U237" i="1"/>
  <c r="T70" i="1"/>
  <c r="T165" i="1"/>
  <c r="T16" i="1"/>
  <c r="T160" i="1"/>
  <c r="T38" i="1"/>
  <c r="T106" i="1"/>
  <c r="T180" i="1"/>
  <c r="T122" i="1"/>
  <c r="T26" i="1"/>
  <c r="T125" i="1"/>
  <c r="T48" i="1"/>
  <c r="T47" i="1"/>
  <c r="T184" i="1"/>
  <c r="T45" i="1"/>
  <c r="T97" i="1"/>
  <c r="T43" i="1"/>
  <c r="T63" i="1"/>
  <c r="T111" i="1"/>
  <c r="T149" i="1"/>
  <c r="T155" i="1"/>
  <c r="T152" i="1"/>
  <c r="T86" i="1"/>
  <c r="T3" i="1"/>
  <c r="T92" i="1"/>
  <c r="T166" i="1"/>
  <c r="T71" i="1"/>
  <c r="T194" i="1"/>
  <c r="T5" i="1"/>
  <c r="T102" i="1"/>
  <c r="T191" i="1"/>
  <c r="T10" i="1"/>
  <c r="T123" i="1"/>
  <c r="T197" i="1"/>
  <c r="T50" i="1"/>
  <c r="T127" i="1"/>
  <c r="T8" i="1"/>
  <c r="T19" i="1"/>
  <c r="T170" i="1"/>
  <c r="T173" i="1"/>
  <c r="T162" i="1"/>
  <c r="T232" i="1"/>
  <c r="T80" i="1"/>
  <c r="T145" i="1"/>
  <c r="T153" i="1"/>
  <c r="T239" i="1"/>
  <c r="T238" i="1"/>
  <c r="T12" i="1"/>
  <c r="T90" i="1"/>
  <c r="T171" i="1"/>
  <c r="T101" i="1"/>
  <c r="T172" i="1"/>
  <c r="T30" i="1"/>
  <c r="T118" i="1"/>
  <c r="T175" i="1"/>
  <c r="T25" i="1"/>
  <c r="T159" i="1"/>
  <c r="T20" i="1"/>
  <c r="T77" i="1"/>
  <c r="T196" i="1"/>
  <c r="T78" i="1"/>
  <c r="T87" i="1"/>
  <c r="T17" i="1"/>
  <c r="T176" i="1"/>
  <c r="T69" i="1"/>
  <c r="T120" i="1"/>
  <c r="T224" i="1"/>
  <c r="T215" i="1"/>
  <c r="T119" i="1"/>
  <c r="T216" i="1"/>
  <c r="T138" i="1"/>
  <c r="T56" i="1"/>
  <c r="T217" i="1"/>
  <c r="T46" i="1"/>
  <c r="T233" i="1"/>
  <c r="T57" i="1"/>
  <c r="T89" i="1"/>
  <c r="T157" i="1"/>
  <c r="T32" i="1"/>
  <c r="T109" i="1"/>
  <c r="T40" i="1"/>
  <c r="T167" i="1"/>
  <c r="T82" i="1"/>
  <c r="T222" i="1"/>
  <c r="T13" i="1"/>
  <c r="T161" i="1"/>
  <c r="T44" i="1"/>
  <c r="T73" i="1"/>
  <c r="T113" i="1"/>
  <c r="T117" i="1"/>
  <c r="T195" i="1"/>
  <c r="T225" i="1"/>
  <c r="T207" i="1"/>
  <c r="T58" i="1"/>
  <c r="T110" i="1"/>
  <c r="T142" i="1"/>
  <c r="T136" i="1"/>
  <c r="T15" i="1"/>
  <c r="T24" i="1"/>
  <c r="T168" i="1"/>
  <c r="T105" i="1"/>
  <c r="T112" i="1"/>
  <c r="T79" i="1"/>
  <c r="T230" i="1"/>
  <c r="T231" i="1"/>
  <c r="T21" i="1"/>
  <c r="T219" i="1"/>
  <c r="T18" i="1"/>
  <c r="T31" i="1"/>
  <c r="T100" i="1"/>
  <c r="T39" i="1"/>
  <c r="T98" i="1"/>
  <c r="T76" i="1"/>
  <c r="T218" i="1"/>
  <c r="T62" i="1"/>
  <c r="T209" i="1"/>
  <c r="T169" i="1"/>
  <c r="T104" i="1"/>
  <c r="T158" i="1"/>
  <c r="T212" i="1"/>
  <c r="T54" i="1"/>
  <c r="T34" i="1"/>
  <c r="T41" i="1"/>
  <c r="T114" i="1"/>
  <c r="T75" i="1"/>
  <c r="T227" i="1"/>
  <c r="T139" i="1"/>
  <c r="T150" i="1"/>
  <c r="T174" i="1"/>
  <c r="T228" i="1"/>
  <c r="T148" i="1"/>
  <c r="T229" i="1"/>
  <c r="T6" i="1"/>
  <c r="T93" i="1"/>
  <c r="T91" i="1"/>
  <c r="T68" i="1"/>
  <c r="T179" i="1"/>
  <c r="T11" i="1"/>
  <c r="T190" i="1"/>
  <c r="T14" i="1"/>
  <c r="T36" i="1"/>
  <c r="T88" i="1"/>
  <c r="T187" i="1"/>
  <c r="T188" i="1"/>
  <c r="T124" i="1"/>
  <c r="T129" i="1"/>
  <c r="T181" i="1"/>
  <c r="T130" i="1"/>
  <c r="T33" i="1"/>
  <c r="T65" i="1"/>
  <c r="T64" i="1"/>
  <c r="T66" i="1"/>
  <c r="T220" i="1"/>
  <c r="T151" i="1"/>
  <c r="T84" i="1"/>
  <c r="T221" i="1"/>
  <c r="T234" i="1"/>
  <c r="T213" i="1"/>
  <c r="T147" i="1"/>
  <c r="T143" i="1"/>
  <c r="T23" i="1"/>
  <c r="T22" i="1"/>
  <c r="T116" i="1"/>
  <c r="T74" i="1"/>
  <c r="T202" i="1"/>
  <c r="T226" i="1"/>
  <c r="T115" i="1"/>
  <c r="T107" i="1"/>
  <c r="T9" i="1"/>
  <c r="T208" i="1"/>
  <c r="T203" i="1"/>
  <c r="T42" i="1"/>
  <c r="T144" i="1"/>
  <c r="T7" i="1"/>
  <c r="T96" i="1"/>
  <c r="T163" i="1"/>
  <c r="T99" i="1"/>
  <c r="T94" i="1"/>
  <c r="T186" i="1"/>
  <c r="T72" i="1"/>
  <c r="T27" i="1"/>
  <c r="T37" i="1"/>
  <c r="T2" i="1"/>
  <c r="T134" i="1"/>
  <c r="T210" i="1"/>
  <c r="T192" i="1"/>
  <c r="T135" i="1"/>
  <c r="T183" i="1"/>
  <c r="T59" i="1"/>
  <c r="T156" i="1"/>
  <c r="T29" i="1"/>
  <c r="T51" i="1"/>
  <c r="T60" i="1"/>
  <c r="T132" i="1"/>
  <c r="T83" i="1"/>
  <c r="T199" i="1"/>
  <c r="T133" i="1"/>
  <c r="T140" i="1"/>
  <c r="T141" i="1"/>
  <c r="T200" i="1"/>
  <c r="T214" i="1"/>
  <c r="T55" i="1"/>
  <c r="T137" i="1"/>
  <c r="T128" i="1"/>
  <c r="T193" i="1"/>
  <c r="T95" i="1"/>
  <c r="T35" i="1"/>
  <c r="T108" i="1"/>
  <c r="T52" i="1"/>
  <c r="T164" i="1"/>
  <c r="T103" i="1"/>
  <c r="T81" i="1"/>
  <c r="T211" i="1"/>
  <c r="T198" i="1"/>
  <c r="T53" i="1"/>
  <c r="T204" i="1"/>
  <c r="T201" i="1"/>
  <c r="T205" i="1"/>
  <c r="T28" i="1"/>
  <c r="T67" i="1"/>
  <c r="T4" i="1"/>
  <c r="T146" i="1"/>
  <c r="T154" i="1"/>
  <c r="T236" i="1"/>
  <c r="T223" i="1"/>
  <c r="T206" i="1"/>
  <c r="T85" i="1"/>
  <c r="T235" i="1"/>
  <c r="T237" i="1"/>
  <c r="N70" i="1"/>
  <c r="N165" i="1"/>
  <c r="N16" i="1"/>
  <c r="N160" i="1"/>
  <c r="N38" i="1"/>
  <c r="N106" i="1"/>
  <c r="N180" i="1"/>
  <c r="N122" i="1"/>
  <c r="N26" i="1"/>
  <c r="N182" i="1"/>
  <c r="N189" i="1"/>
  <c r="N125" i="1"/>
  <c r="N48" i="1"/>
  <c r="N47" i="1"/>
  <c r="N184" i="1"/>
  <c r="N45" i="1"/>
  <c r="N97" i="1"/>
  <c r="N43" i="1"/>
  <c r="N63" i="1"/>
  <c r="N111" i="1"/>
  <c r="N149" i="1"/>
  <c r="N155" i="1"/>
  <c r="N152" i="1"/>
  <c r="N86" i="1"/>
  <c r="N3" i="1"/>
  <c r="N92" i="1"/>
  <c r="N166" i="1"/>
  <c r="N71" i="1"/>
  <c r="N194" i="1"/>
  <c r="N5" i="1"/>
  <c r="N102" i="1"/>
  <c r="N191" i="1"/>
  <c r="N10" i="1"/>
  <c r="N123" i="1"/>
  <c r="N197" i="1"/>
  <c r="N50" i="1"/>
  <c r="N127" i="1"/>
  <c r="N8" i="1"/>
  <c r="N19" i="1"/>
  <c r="N170" i="1"/>
  <c r="N173" i="1"/>
  <c r="N162" i="1"/>
  <c r="N232" i="1"/>
  <c r="N80" i="1"/>
  <c r="N145" i="1"/>
  <c r="N153" i="1"/>
  <c r="N239" i="1"/>
  <c r="N238" i="1"/>
  <c r="N12" i="1"/>
  <c r="N90" i="1"/>
  <c r="N171" i="1"/>
  <c r="N101" i="1"/>
  <c r="N172" i="1"/>
  <c r="N30" i="1"/>
  <c r="N118" i="1"/>
  <c r="N175" i="1"/>
  <c r="N25" i="1"/>
  <c r="N159" i="1"/>
  <c r="N20" i="1"/>
  <c r="N77" i="1"/>
  <c r="N196" i="1"/>
  <c r="N78" i="1"/>
  <c r="N87" i="1"/>
  <c r="N17" i="1"/>
  <c r="N176" i="1"/>
  <c r="N69" i="1"/>
  <c r="N120" i="1"/>
  <c r="N224" i="1"/>
  <c r="N215" i="1"/>
  <c r="N119" i="1"/>
  <c r="N216" i="1"/>
  <c r="N138" i="1"/>
  <c r="N56" i="1"/>
  <c r="N217" i="1"/>
  <c r="N46" i="1"/>
  <c r="N233" i="1"/>
  <c r="N57" i="1"/>
  <c r="N89" i="1"/>
  <c r="N157" i="1"/>
  <c r="N32" i="1"/>
  <c r="N109" i="1"/>
  <c r="N40" i="1"/>
  <c r="N167" i="1"/>
  <c r="N82" i="1"/>
  <c r="N222" i="1"/>
  <c r="N13" i="1"/>
  <c r="N161" i="1"/>
  <c r="N44" i="1"/>
  <c r="N73" i="1"/>
  <c r="N113" i="1"/>
  <c r="N117" i="1"/>
  <c r="N195" i="1"/>
  <c r="N225" i="1"/>
  <c r="N207" i="1"/>
  <c r="N58" i="1"/>
  <c r="N110" i="1"/>
  <c r="N142" i="1"/>
  <c r="N136" i="1"/>
  <c r="N15" i="1"/>
  <c r="N24" i="1"/>
  <c r="N168" i="1"/>
  <c r="N105" i="1"/>
  <c r="N112" i="1"/>
  <c r="N79" i="1"/>
  <c r="N230" i="1"/>
  <c r="N231" i="1"/>
  <c r="N21" i="1"/>
  <c r="N219" i="1"/>
  <c r="N18" i="1"/>
  <c r="N31" i="1"/>
  <c r="N100" i="1"/>
  <c r="N39" i="1"/>
  <c r="N98" i="1"/>
  <c r="N76" i="1"/>
  <c r="N218" i="1"/>
  <c r="N62" i="1"/>
  <c r="N209" i="1"/>
  <c r="N169" i="1"/>
  <c r="N104" i="1"/>
  <c r="N158" i="1"/>
  <c r="N212" i="1"/>
  <c r="N54" i="1"/>
  <c r="N34" i="1"/>
  <c r="N41" i="1"/>
  <c r="N114" i="1"/>
  <c r="N75" i="1"/>
  <c r="N227" i="1"/>
  <c r="N139" i="1"/>
  <c r="N150" i="1"/>
  <c r="N174" i="1"/>
  <c r="N228" i="1"/>
  <c r="N148" i="1"/>
  <c r="N229" i="1"/>
  <c r="N6" i="1"/>
  <c r="N93" i="1"/>
  <c r="N91" i="1"/>
  <c r="N68" i="1"/>
  <c r="N179" i="1"/>
  <c r="N11" i="1"/>
  <c r="N190" i="1"/>
  <c r="N14" i="1"/>
  <c r="N36" i="1"/>
  <c r="N88" i="1"/>
  <c r="N187" i="1"/>
  <c r="N188" i="1"/>
  <c r="N124" i="1"/>
  <c r="N129" i="1"/>
  <c r="N181" i="1"/>
  <c r="N130" i="1"/>
  <c r="N33" i="1"/>
  <c r="N65" i="1"/>
  <c r="N64" i="1"/>
  <c r="N66" i="1"/>
  <c r="N220" i="1"/>
  <c r="N151" i="1"/>
  <c r="N84" i="1"/>
  <c r="N221" i="1"/>
  <c r="N234" i="1"/>
  <c r="N213" i="1"/>
  <c r="N147" i="1"/>
  <c r="N143" i="1"/>
  <c r="N23" i="1"/>
  <c r="N22" i="1"/>
  <c r="N116" i="1"/>
  <c r="N74" i="1"/>
  <c r="N202" i="1"/>
  <c r="N226" i="1"/>
  <c r="N115" i="1"/>
  <c r="N107" i="1"/>
  <c r="N9" i="1"/>
  <c r="N208" i="1"/>
  <c r="N203" i="1"/>
  <c r="N42" i="1"/>
  <c r="N144" i="1"/>
  <c r="N7" i="1"/>
  <c r="N96" i="1"/>
  <c r="N163" i="1"/>
  <c r="N99" i="1"/>
  <c r="N94" i="1"/>
  <c r="N186" i="1"/>
  <c r="N72" i="1"/>
  <c r="N27" i="1"/>
  <c r="N37" i="1"/>
  <c r="N2" i="1"/>
  <c r="N134" i="1"/>
  <c r="N210" i="1"/>
  <c r="N192" i="1"/>
  <c r="N135" i="1"/>
  <c r="N183" i="1"/>
  <c r="N59" i="1"/>
  <c r="N156" i="1"/>
  <c r="N29" i="1"/>
  <c r="N51" i="1"/>
  <c r="N60" i="1"/>
  <c r="N132" i="1"/>
  <c r="N83" i="1"/>
  <c r="N199" i="1"/>
  <c r="N133" i="1"/>
  <c r="N140" i="1"/>
  <c r="N141" i="1"/>
  <c r="N200" i="1"/>
  <c r="N214" i="1"/>
  <c r="N55" i="1"/>
  <c r="N137" i="1"/>
  <c r="N128" i="1"/>
  <c r="N193" i="1"/>
  <c r="N95" i="1"/>
  <c r="N35" i="1"/>
  <c r="N108" i="1"/>
  <c r="N52" i="1"/>
  <c r="N164" i="1"/>
  <c r="N103" i="1"/>
  <c r="N81" i="1"/>
  <c r="N211" i="1"/>
  <c r="N198" i="1"/>
  <c r="N53" i="1"/>
  <c r="N204" i="1"/>
  <c r="N201" i="1"/>
  <c r="N205" i="1"/>
  <c r="N28" i="1"/>
  <c r="N67" i="1"/>
  <c r="N4" i="1"/>
  <c r="N146" i="1"/>
  <c r="N154" i="1"/>
  <c r="N236" i="1"/>
  <c r="N223" i="1"/>
  <c r="N206" i="1"/>
  <c r="N85" i="1"/>
  <c r="N235" i="1"/>
  <c r="N237" i="1"/>
  <c r="I70" i="1"/>
  <c r="I165" i="1"/>
  <c r="I16" i="1"/>
  <c r="I160" i="1"/>
  <c r="I38" i="1"/>
  <c r="I106" i="1"/>
  <c r="I180" i="1"/>
  <c r="I122" i="1"/>
  <c r="I26" i="1"/>
  <c r="I182" i="1"/>
  <c r="I189" i="1"/>
  <c r="I125" i="1"/>
  <c r="I48" i="1"/>
  <c r="I45" i="1"/>
  <c r="I97" i="1"/>
  <c r="I43" i="1"/>
  <c r="I63" i="1"/>
  <c r="I111" i="1"/>
  <c r="I149" i="1"/>
  <c r="I155" i="1"/>
  <c r="I152" i="1"/>
  <c r="I86" i="1"/>
  <c r="I3" i="1"/>
  <c r="I92" i="1"/>
  <c r="I166" i="1"/>
  <c r="I71" i="1"/>
  <c r="I194" i="1"/>
  <c r="I5" i="1"/>
  <c r="I102" i="1"/>
  <c r="I191" i="1"/>
  <c r="I10" i="1"/>
  <c r="I123" i="1"/>
  <c r="I197" i="1"/>
  <c r="I50" i="1"/>
  <c r="I8" i="1"/>
  <c r="I19" i="1"/>
  <c r="I170" i="1"/>
  <c r="I173" i="1"/>
  <c r="I162" i="1"/>
  <c r="I232" i="1"/>
  <c r="I80" i="1"/>
  <c r="I145" i="1"/>
  <c r="I153" i="1"/>
  <c r="I239" i="1"/>
  <c r="I238" i="1"/>
  <c r="I12" i="1"/>
  <c r="I90" i="1"/>
  <c r="I171" i="1"/>
  <c r="I101" i="1"/>
  <c r="I172" i="1"/>
  <c r="I30" i="1"/>
  <c r="I118" i="1"/>
  <c r="I175" i="1"/>
  <c r="I25" i="1"/>
  <c r="I159" i="1"/>
  <c r="I20" i="1"/>
  <c r="I77" i="1"/>
  <c r="I196" i="1"/>
  <c r="I78" i="1"/>
  <c r="I87" i="1"/>
  <c r="I17" i="1"/>
  <c r="I176" i="1"/>
  <c r="I69" i="1"/>
  <c r="I120" i="1"/>
  <c r="I224" i="1"/>
  <c r="I215" i="1"/>
  <c r="I119" i="1"/>
  <c r="I216" i="1"/>
  <c r="I138" i="1"/>
  <c r="I56" i="1"/>
  <c r="I217" i="1"/>
  <c r="I46" i="1"/>
  <c r="I233" i="1"/>
  <c r="I57" i="1"/>
  <c r="I89" i="1"/>
  <c r="I157" i="1"/>
  <c r="I32" i="1"/>
  <c r="I109" i="1"/>
  <c r="I40" i="1"/>
  <c r="I167" i="1"/>
  <c r="I82" i="1"/>
  <c r="I222" i="1"/>
  <c r="I13" i="1"/>
  <c r="I161" i="1"/>
  <c r="I44" i="1"/>
  <c r="I73" i="1"/>
  <c r="I113" i="1"/>
  <c r="I117" i="1"/>
  <c r="I195" i="1"/>
  <c r="I225" i="1"/>
  <c r="I207" i="1"/>
  <c r="I58" i="1"/>
  <c r="I110" i="1"/>
  <c r="I142" i="1"/>
  <c r="I136" i="1"/>
  <c r="I15" i="1"/>
  <c r="I24" i="1"/>
  <c r="I168" i="1"/>
  <c r="I105" i="1"/>
  <c r="I112" i="1"/>
  <c r="I79" i="1"/>
  <c r="I230" i="1"/>
  <c r="I231" i="1"/>
  <c r="I21" i="1"/>
  <c r="I219" i="1"/>
  <c r="I18" i="1"/>
  <c r="I31" i="1"/>
  <c r="I100" i="1"/>
  <c r="I39" i="1"/>
  <c r="I98" i="1"/>
  <c r="I76" i="1"/>
  <c r="I218" i="1"/>
  <c r="I62" i="1"/>
  <c r="I209" i="1"/>
  <c r="I169" i="1"/>
  <c r="I104" i="1"/>
  <c r="I158" i="1"/>
  <c r="I212" i="1"/>
  <c r="I34" i="1"/>
  <c r="I41" i="1"/>
  <c r="I114" i="1"/>
  <c r="I75" i="1"/>
  <c r="I227" i="1"/>
  <c r="I139" i="1"/>
  <c r="I150" i="1"/>
  <c r="I174" i="1"/>
  <c r="I228" i="1"/>
  <c r="I148" i="1"/>
  <c r="I229" i="1"/>
  <c r="I6" i="1"/>
  <c r="I93" i="1"/>
  <c r="I91" i="1"/>
  <c r="I68" i="1"/>
  <c r="I179" i="1"/>
  <c r="I11" i="1"/>
  <c r="I190" i="1"/>
  <c r="I14" i="1"/>
  <c r="I36" i="1"/>
  <c r="I88" i="1"/>
  <c r="I187" i="1"/>
  <c r="I188" i="1"/>
  <c r="I124" i="1"/>
  <c r="I129" i="1"/>
  <c r="I181" i="1"/>
  <c r="I130" i="1"/>
  <c r="I33" i="1"/>
  <c r="I65" i="1"/>
  <c r="I64" i="1"/>
  <c r="I66" i="1"/>
  <c r="I220" i="1"/>
  <c r="I151" i="1"/>
  <c r="I84" i="1"/>
  <c r="I221" i="1"/>
  <c r="I234" i="1"/>
  <c r="I213" i="1"/>
  <c r="I147" i="1"/>
  <c r="I23" i="1"/>
  <c r="I22" i="1"/>
  <c r="I116" i="1"/>
  <c r="I74" i="1"/>
  <c r="I202" i="1"/>
  <c r="I226" i="1"/>
  <c r="I115" i="1"/>
  <c r="I107" i="1"/>
  <c r="I9" i="1"/>
  <c r="I208" i="1"/>
  <c r="I203" i="1"/>
  <c r="I42" i="1"/>
  <c r="I144" i="1"/>
  <c r="I7" i="1"/>
  <c r="I96" i="1"/>
  <c r="I163" i="1"/>
  <c r="I99" i="1"/>
  <c r="I94" i="1"/>
  <c r="I186" i="1"/>
  <c r="I72" i="1"/>
  <c r="I27" i="1"/>
  <c r="I37" i="1"/>
  <c r="I2" i="1"/>
  <c r="I134" i="1"/>
  <c r="I210" i="1"/>
  <c r="I192" i="1"/>
  <c r="I135" i="1"/>
  <c r="I183" i="1"/>
  <c r="I156" i="1"/>
  <c r="I29" i="1"/>
  <c r="I51" i="1"/>
  <c r="I60" i="1"/>
  <c r="I132" i="1"/>
  <c r="I83" i="1"/>
  <c r="I199" i="1"/>
  <c r="I133" i="1"/>
  <c r="I140" i="1"/>
  <c r="I141" i="1"/>
  <c r="I200" i="1"/>
  <c r="I214" i="1"/>
  <c r="I95" i="1"/>
  <c r="I35" i="1"/>
  <c r="I108" i="1"/>
  <c r="I52" i="1"/>
  <c r="I164" i="1"/>
  <c r="I103" i="1"/>
  <c r="I81" i="1"/>
  <c r="I211" i="1"/>
  <c r="I198" i="1"/>
  <c r="I53" i="1"/>
  <c r="I204" i="1"/>
  <c r="I201" i="1"/>
  <c r="I28" i="1"/>
  <c r="I67" i="1"/>
  <c r="I4" i="1"/>
  <c r="I146" i="1"/>
  <c r="I154" i="1"/>
  <c r="I236" i="1"/>
  <c r="I223" i="1"/>
  <c r="I85" i="1"/>
  <c r="I235" i="1"/>
  <c r="I237" i="1"/>
</calcChain>
</file>

<file path=xl/sharedStrings.xml><?xml version="1.0" encoding="utf-8"?>
<sst xmlns="http://schemas.openxmlformats.org/spreadsheetml/2006/main" count="5365" uniqueCount="704">
  <si>
    <t>Speler</t>
  </si>
  <si>
    <t>Strafschop</t>
  </si>
  <si>
    <t>Gescoord</t>
  </si>
  <si>
    <t>Gemist</t>
  </si>
  <si>
    <t>Scoringspercentage</t>
  </si>
  <si>
    <t>Ajax</t>
  </si>
  <si>
    <t>AZ</t>
  </si>
  <si>
    <t>Feyenoord</t>
  </si>
  <si>
    <t>Fortuna Sittard</t>
  </si>
  <si>
    <t>Go Ahead Eagles</t>
  </si>
  <si>
    <t>NEC</t>
  </si>
  <si>
    <t>PSV</t>
  </si>
  <si>
    <t>RKC Waalwijk</t>
  </si>
  <si>
    <t>Sparta Rotterdam</t>
  </si>
  <si>
    <t>FC Twente</t>
  </si>
  <si>
    <t>FC Utrecht</t>
  </si>
  <si>
    <t>Vitesse</t>
  </si>
  <si>
    <t>Keepers</t>
  </si>
  <si>
    <t>J. Bijlow</t>
  </si>
  <si>
    <t>Verdedigers</t>
  </si>
  <si>
    <t>G. Smal</t>
  </si>
  <si>
    <t>D. Hancko</t>
  </si>
  <si>
    <t>B. van Rooij</t>
  </si>
  <si>
    <t>Middenvelders</t>
  </si>
  <si>
    <t>S. Steijn</t>
  </si>
  <si>
    <t>Aanval</t>
  </si>
  <si>
    <t xml:space="preserve">Mogelijke teams 1e seizoenshelft: </t>
  </si>
  <si>
    <t>E. Vaessen</t>
  </si>
  <si>
    <t>J. Willems</t>
  </si>
  <si>
    <t>N. Naujoks</t>
  </si>
  <si>
    <t>P. Koopmeiners</t>
  </si>
  <si>
    <t>D. de Wit</t>
  </si>
  <si>
    <t>M. Wieffer</t>
  </si>
  <si>
    <t>S. Gimenez</t>
  </si>
  <si>
    <t>N. Lang</t>
  </si>
  <si>
    <t>M. Ugalde</t>
  </si>
  <si>
    <t>O. Romeny</t>
  </si>
  <si>
    <t>Sparta</t>
  </si>
  <si>
    <t>Heerenveen</t>
  </si>
  <si>
    <t>GAE</t>
  </si>
  <si>
    <t>RKC</t>
  </si>
  <si>
    <t>Excelsior</t>
  </si>
  <si>
    <t>FC Volendam</t>
  </si>
  <si>
    <t>AJA</t>
  </si>
  <si>
    <t>EXC</t>
  </si>
  <si>
    <t>FEY</t>
  </si>
  <si>
    <t>FOR</t>
  </si>
  <si>
    <t>SPA</t>
  </si>
  <si>
    <t>HEE</t>
  </si>
  <si>
    <t>TWE</t>
  </si>
  <si>
    <t>VIT</t>
  </si>
  <si>
    <t>VOL</t>
  </si>
  <si>
    <t>Club</t>
  </si>
  <si>
    <t>Prijs</t>
  </si>
  <si>
    <t>POS</t>
  </si>
  <si>
    <t>Age</t>
  </si>
  <si>
    <t>Land</t>
  </si>
  <si>
    <t>#punten</t>
  </si>
  <si>
    <t>laatste 5 wed.</t>
  </si>
  <si>
    <t>%laatste 5</t>
  </si>
  <si>
    <t>#Wed</t>
  </si>
  <si>
    <t>#basis</t>
  </si>
  <si>
    <t>#minuten</t>
  </si>
  <si>
    <t>Min laatste 5</t>
  </si>
  <si>
    <t>%min laatste 5</t>
  </si>
  <si>
    <t>Goals</t>
  </si>
  <si>
    <t>Asissts</t>
  </si>
  <si>
    <t>#geel</t>
  </si>
  <si>
    <t>#Rood</t>
  </si>
  <si>
    <t>#de nul</t>
  </si>
  <si>
    <t>Pt/wedstrijd</t>
  </si>
  <si>
    <t>Pt/minuut</t>
  </si>
  <si>
    <t>Pt/90 min</t>
  </si>
  <si>
    <t>Geld/pt</t>
  </si>
  <si>
    <t>G/A per 90 min</t>
  </si>
  <si>
    <t>PSV - T</t>
  </si>
  <si>
    <t>VOL - U</t>
  </si>
  <si>
    <t>FEY - U</t>
  </si>
  <si>
    <t>FOR - U</t>
  </si>
  <si>
    <t>HEE - T</t>
  </si>
  <si>
    <t>EXC - U</t>
  </si>
  <si>
    <t>GAE - U</t>
  </si>
  <si>
    <t>NEC - T</t>
  </si>
  <si>
    <t>RKC - T</t>
  </si>
  <si>
    <t>AZ - T</t>
  </si>
  <si>
    <t>VIT - T</t>
  </si>
  <si>
    <t>AJA - T</t>
  </si>
  <si>
    <t>TWE - T</t>
  </si>
  <si>
    <t>HEE - U</t>
  </si>
  <si>
    <t>EXC - T</t>
  </si>
  <si>
    <t>VOL - T</t>
  </si>
  <si>
    <t>GAE - T</t>
  </si>
  <si>
    <t>VIT - U</t>
  </si>
  <si>
    <t>AJA - U</t>
  </si>
  <si>
    <t>SPA - U</t>
  </si>
  <si>
    <t>AZ - U</t>
  </si>
  <si>
    <t>TWE - U</t>
  </si>
  <si>
    <t>FOR - T</t>
  </si>
  <si>
    <t>NEC - U</t>
  </si>
  <si>
    <t>PSV - U</t>
  </si>
  <si>
    <t>SPA - T</t>
  </si>
  <si>
    <t>RKC - U</t>
  </si>
  <si>
    <t>FEY - T</t>
  </si>
  <si>
    <t>UTR - T</t>
  </si>
  <si>
    <t>UTR - U</t>
  </si>
  <si>
    <t>Mijn Team</t>
  </si>
  <si>
    <t>Jubarn</t>
  </si>
  <si>
    <t>Haaz</t>
  </si>
  <si>
    <t>BesteRaad</t>
  </si>
  <si>
    <t>BartLager</t>
  </si>
  <si>
    <t>Maartendf</t>
  </si>
  <si>
    <t>#dezelfde</t>
  </si>
  <si>
    <t>Pt eerste seizoenshelft</t>
  </si>
  <si>
    <t>TOTAAL einde seizoen</t>
  </si>
  <si>
    <t>Mijn team</t>
  </si>
  <si>
    <t>Keuzes</t>
  </si>
  <si>
    <t>Wedstrijd van de week</t>
  </si>
  <si>
    <t>Tegengoals/wed</t>
  </si>
  <si>
    <t>Bijzonderheden</t>
  </si>
  <si>
    <t>B. Vriends</t>
  </si>
  <si>
    <t>J. Veerman</t>
  </si>
  <si>
    <t>C. Stengs</t>
  </si>
  <si>
    <t>Y. Namli</t>
  </si>
  <si>
    <t>L. Unnerstall</t>
  </si>
  <si>
    <t>I. Pandur</t>
  </si>
  <si>
    <t>J. Brenet</t>
  </si>
  <si>
    <t>Y. Sugawara</t>
  </si>
  <si>
    <t>R. Guth</t>
  </si>
  <si>
    <t>D. Payne</t>
  </si>
  <si>
    <t>Y. Tahiri</t>
  </si>
  <si>
    <t>M. van Ginkel</t>
  </si>
  <si>
    <t>P. Clement</t>
  </si>
  <si>
    <t>S. Bergwijn</t>
  </si>
  <si>
    <t>O. Sahraoui</t>
  </si>
  <si>
    <t>B. Ould-Chikh</t>
  </si>
  <si>
    <t>AAN</t>
  </si>
  <si>
    <t>B. Brobbey</t>
  </si>
  <si>
    <t>C. Akpom</t>
  </si>
  <si>
    <t>C. Forbs</t>
  </si>
  <si>
    <t>S. Berghuis</t>
  </si>
  <si>
    <t>MID</t>
  </si>
  <si>
    <t>NED</t>
  </si>
  <si>
    <t>ENG</t>
  </si>
  <si>
    <t>POR</t>
  </si>
  <si>
    <t>BOS</t>
  </si>
  <si>
    <t>B. van den Boomen</t>
  </si>
  <si>
    <t>K. Taylor</t>
  </si>
  <si>
    <t>B. Tahirovic</t>
  </si>
  <si>
    <t>J. Gorter</t>
  </si>
  <si>
    <t>GK</t>
  </si>
  <si>
    <t>D. Rensch</t>
  </si>
  <si>
    <t>J. Hato</t>
  </si>
  <si>
    <t>J. Sutalo</t>
  </si>
  <si>
    <t>KRO</t>
  </si>
  <si>
    <t>A. Gaaei</t>
  </si>
  <si>
    <t>J. Medic</t>
  </si>
  <si>
    <t>DEN</t>
  </si>
  <si>
    <t>G. Avila</t>
  </si>
  <si>
    <t>ARG</t>
  </si>
  <si>
    <t>ALM</t>
  </si>
  <si>
    <t>FRA</t>
  </si>
  <si>
    <t>N. Bakker</t>
  </si>
  <si>
    <t>L. Duijvestijn</t>
  </si>
  <si>
    <t>A. Peña</t>
  </si>
  <si>
    <t>R. Van La Parra</t>
  </si>
  <si>
    <t>T. Robinet</t>
  </si>
  <si>
    <t>A. Limbombe</t>
  </si>
  <si>
    <t>BEL</t>
  </si>
  <si>
    <t>V. Pavlidis</t>
  </si>
  <si>
    <t>GRI</t>
  </si>
  <si>
    <t>J. Odgaard</t>
  </si>
  <si>
    <t>R. van Bommel</t>
  </si>
  <si>
    <t>E. Poku</t>
  </si>
  <si>
    <t>S. Mijnans</t>
  </si>
  <si>
    <t>D. Mihailovic</t>
  </si>
  <si>
    <t>VS</t>
  </si>
  <si>
    <t>J. Clasie</t>
  </si>
  <si>
    <t>JAP</t>
  </si>
  <si>
    <t>D. Wolfe</t>
  </si>
  <si>
    <t>NOO</t>
  </si>
  <si>
    <t>R. Bazoer</t>
  </si>
  <si>
    <t>M. Ryan</t>
  </si>
  <si>
    <t>AUS</t>
  </si>
  <si>
    <t>S. van Gassel</t>
  </si>
  <si>
    <t>A. Zagre</t>
  </si>
  <si>
    <t>S. Seymor</t>
  </si>
  <si>
    <t>C. Widell</t>
  </si>
  <si>
    <t>ZWE</t>
  </si>
  <si>
    <t>I. Smeulers</t>
  </si>
  <si>
    <t>J. Baas</t>
  </si>
  <si>
    <t>N. Agrafiotis</t>
  </si>
  <si>
    <t>L. Lamprou</t>
  </si>
  <si>
    <t>MEX</t>
  </si>
  <si>
    <t>A. Ueda</t>
  </si>
  <si>
    <t>L. Ivanusec</t>
  </si>
  <si>
    <t>I. Paixão</t>
  </si>
  <si>
    <t>BRA</t>
  </si>
  <si>
    <t>Y. Minteh</t>
  </si>
  <si>
    <t>GAM</t>
  </si>
  <si>
    <t>T. Wellenreuther</t>
  </si>
  <si>
    <t>DUI</t>
  </si>
  <si>
    <t>Q. Timber</t>
  </si>
  <si>
    <t>Q. Hartman</t>
  </si>
  <si>
    <t>VER</t>
  </si>
  <si>
    <t>L. Geertruida</t>
  </si>
  <si>
    <t>SLW</t>
  </si>
  <si>
    <t>B. Nieuwkoop</t>
  </si>
  <si>
    <t>G. Trauner</t>
  </si>
  <si>
    <t>T. Beelen</t>
  </si>
  <si>
    <t>I. Pinto</t>
  </si>
  <si>
    <t>R. Vita</t>
  </si>
  <si>
    <t>D. Siovas</t>
  </si>
  <si>
    <t>A. Halilovic</t>
  </si>
  <si>
    <t>D. Duarte</t>
  </si>
  <si>
    <t>L. Rosier</t>
  </si>
  <si>
    <t>I. Cordoba</t>
  </si>
  <si>
    <t>T. Noslin</t>
  </si>
  <si>
    <t>W. Willumsson</t>
  </si>
  <si>
    <t>IJS</t>
  </si>
  <si>
    <t>P. Rommens</t>
  </si>
  <si>
    <t>M. Deijl</t>
  </si>
  <si>
    <t>B. Kuipers</t>
  </si>
  <si>
    <t>J. Amofa</t>
  </si>
  <si>
    <t>J. de Lange</t>
  </si>
  <si>
    <t>A. Noppert</t>
  </si>
  <si>
    <t>P. Bochniewicz</t>
  </si>
  <si>
    <t>POL</t>
  </si>
  <si>
    <t>M. Köhlert</t>
  </si>
  <si>
    <t>S. van Ottele</t>
  </si>
  <si>
    <t>H. Ali</t>
  </si>
  <si>
    <t>IRA</t>
  </si>
  <si>
    <t>A. Tahiri</t>
  </si>
  <si>
    <t>T. Haye</t>
  </si>
  <si>
    <t>L. Brouwers</t>
  </si>
  <si>
    <t>P. van Amersfoort</t>
  </si>
  <si>
    <t>S. Olsson</t>
  </si>
  <si>
    <t>I. Nicolaescu</t>
  </si>
  <si>
    <t>MOL</t>
  </si>
  <si>
    <t>C. Nunnely</t>
  </si>
  <si>
    <t>HER</t>
  </si>
  <si>
    <t>N. Laursen</t>
  </si>
  <si>
    <t>E. Hansson</t>
  </si>
  <si>
    <t>M. Engels</t>
  </si>
  <si>
    <t>A. Ouahim</t>
  </si>
  <si>
    <t>B. de Keersmaecker</t>
  </si>
  <si>
    <t>S. Sonnenberg</t>
  </si>
  <si>
    <t>N. Bakboord</t>
  </si>
  <si>
    <t>J. Hoogma</t>
  </si>
  <si>
    <t>M. Brouwer</t>
  </si>
  <si>
    <t>J. Cillessen</t>
  </si>
  <si>
    <t>Y. Baas</t>
  </si>
  <si>
    <t>B. Nuytinck</t>
  </si>
  <si>
    <t>C. Verdonk</t>
  </si>
  <si>
    <t>D. Proper</t>
  </si>
  <si>
    <t>L. Schöne</t>
  </si>
  <si>
    <t>K. Ogawa</t>
  </si>
  <si>
    <t>L. Olden Larsen</t>
  </si>
  <si>
    <t>M. Mattsson</t>
  </si>
  <si>
    <t>S. Hansen</t>
  </si>
  <si>
    <t>F. Druijf</t>
  </si>
  <si>
    <t>PEC</t>
  </si>
  <si>
    <t>L. Thy</t>
  </si>
  <si>
    <t>D. van den Berg</t>
  </si>
  <si>
    <t>Z. Buurmeester</t>
  </si>
  <si>
    <t>E. Reijnders</t>
  </si>
  <si>
    <t>B. van Polen</t>
  </si>
  <si>
    <t>T. Lam</t>
  </si>
  <si>
    <t>FIN</t>
  </si>
  <si>
    <t>J. Schendelaar</t>
  </si>
  <si>
    <t>L. de Jong</t>
  </si>
  <si>
    <t>J. Bakayoko</t>
  </si>
  <si>
    <t>M. Tillman</t>
  </si>
  <si>
    <t>G. Til</t>
  </si>
  <si>
    <t>I. Saibari</t>
  </si>
  <si>
    <t>I. Babadi</t>
  </si>
  <si>
    <t>J. Schouten</t>
  </si>
  <si>
    <t>A. Ramalho</t>
  </si>
  <si>
    <t>O. Lingr</t>
  </si>
  <si>
    <t>TSJ</t>
  </si>
  <si>
    <t>O. Boscagli</t>
  </si>
  <si>
    <t>J. Teze</t>
  </si>
  <si>
    <t>S. Dest</t>
  </si>
  <si>
    <t>P. van Aanholt</t>
  </si>
  <si>
    <t>W. Benitez</t>
  </si>
  <si>
    <t>J. Gaari</t>
  </si>
  <si>
    <t>CUR</t>
  </si>
  <si>
    <t>D. van den Buijs</t>
  </si>
  <si>
    <t>T. Lutonda</t>
  </si>
  <si>
    <t>J. Lelieveld</t>
  </si>
  <si>
    <t>K. Felida</t>
  </si>
  <si>
    <t>Y. Oukili</t>
  </si>
  <si>
    <t>M. Kramer</t>
  </si>
  <si>
    <t>Z. Bakkali</t>
  </si>
  <si>
    <t>D. Cleonise</t>
  </si>
  <si>
    <t>D. Min</t>
  </si>
  <si>
    <t>T. Lauritsen</t>
  </si>
  <si>
    <t>V. van Crooij</t>
  </si>
  <si>
    <t>K. Saito</t>
  </si>
  <si>
    <t>C. Brym</t>
  </si>
  <si>
    <t>CAN</t>
  </si>
  <si>
    <t>A. Verschueren</t>
  </si>
  <si>
    <t>J. Kitolano</t>
  </si>
  <si>
    <t>J. de Guzman</t>
  </si>
  <si>
    <t>R. Niemeijer</t>
  </si>
  <si>
    <t>D. Warmerdam</t>
  </si>
  <si>
    <t>S. Bakari</t>
  </si>
  <si>
    <t>COM</t>
  </si>
  <si>
    <t>T. Velthuis</t>
  </si>
  <si>
    <t>N. Olij</t>
  </si>
  <si>
    <t>R. Pröpper</t>
  </si>
  <si>
    <t>M. Hilgers</t>
  </si>
  <si>
    <t>M. Vlap</t>
  </si>
  <si>
    <t>M. Sadilek</t>
  </si>
  <si>
    <t>R. van Wolfswinkel</t>
  </si>
  <si>
    <t>N. Ünuvar</t>
  </si>
  <si>
    <t>CRC</t>
  </si>
  <si>
    <t>D. Rots</t>
  </si>
  <si>
    <t>UTR</t>
  </si>
  <si>
    <t>M. Seuntjens</t>
  </si>
  <si>
    <t>M. Azarkan</t>
  </si>
  <si>
    <t>T. Booth</t>
  </si>
  <si>
    <t>J. Toornstra</t>
  </si>
  <si>
    <t>C. Bozdogan</t>
  </si>
  <si>
    <t>V. Jensen</t>
  </si>
  <si>
    <t>S. El Karouani</t>
  </si>
  <si>
    <t>M. van der Hoorn</t>
  </si>
  <si>
    <t>M. Sagnan</t>
  </si>
  <si>
    <t>H. ter Avest</t>
  </si>
  <si>
    <t>V. Barkas</t>
  </si>
  <si>
    <t>E. Room</t>
  </si>
  <si>
    <t>M. Pinto</t>
  </si>
  <si>
    <t>M. Meulensteen</t>
  </si>
  <si>
    <t>C. Arcus</t>
  </si>
  <si>
    <t>HAI</t>
  </si>
  <si>
    <t>N. Isimat-Mirin</t>
  </si>
  <si>
    <t>D. Oroz</t>
  </si>
  <si>
    <t>K. Kozlowski</t>
  </si>
  <si>
    <t>M. Tielemans</t>
  </si>
  <si>
    <t>M. Manhoef</t>
  </si>
  <si>
    <t>A. Boutrah</t>
  </si>
  <si>
    <t>S. Hamulic</t>
  </si>
  <si>
    <t>R. Mühren</t>
  </si>
  <si>
    <t>D. Johnson</t>
  </si>
  <si>
    <t>C. Eiting</t>
  </si>
  <si>
    <t>C. Twigt</t>
  </si>
  <si>
    <t>M. Backhaus</t>
  </si>
  <si>
    <t>B. Plat</t>
  </si>
  <si>
    <t>D. Mirani</t>
  </si>
  <si>
    <t>X. Mbuyamba</t>
  </si>
  <si>
    <t>B. Dost</t>
  </si>
  <si>
    <t>O. Fraulo</t>
  </si>
  <si>
    <t>K. Sierhuis</t>
  </si>
  <si>
    <t>H. Lozano</t>
  </si>
  <si>
    <t>O. Sahrauoi</t>
  </si>
  <si>
    <t>G. Mikautadze</t>
  </si>
  <si>
    <t>GEO</t>
  </si>
  <si>
    <t>S. Mannsverk</t>
  </si>
  <si>
    <t>B. Sosa</t>
  </si>
  <si>
    <t>J. Ritmeester van de Kamp</t>
  </si>
  <si>
    <t>S. Resink</t>
  </si>
  <si>
    <t>A. Penetra</t>
  </si>
  <si>
    <t>S. Horemans</t>
  </si>
  <si>
    <t>R. El Yaakoubi</t>
  </si>
  <si>
    <t>M. Dijks</t>
  </si>
  <si>
    <t>O. Edvardsen</t>
  </si>
  <si>
    <t>V. Edvardsen</t>
  </si>
  <si>
    <t>B. Limbombe</t>
  </si>
  <si>
    <t>R. González</t>
  </si>
  <si>
    <t>P. Sandler</t>
  </si>
  <si>
    <t>L. Czyborra</t>
  </si>
  <si>
    <t>S. Kersten</t>
  </si>
  <si>
    <t>Y. Vertessen</t>
  </si>
  <si>
    <t>A. Bella-Kotchap</t>
  </si>
  <si>
    <t>#Geel</t>
  </si>
  <si>
    <t>M. van Bergen</t>
  </si>
  <si>
    <t>M. Kjølø</t>
  </si>
  <si>
    <t>Y. Regeer</t>
  </si>
  <si>
    <t>A. Sampsted</t>
  </si>
  <si>
    <t>M. Bruns</t>
  </si>
  <si>
    <t>I. Lidberg</t>
  </si>
  <si>
    <t>Z. Labyad</t>
  </si>
  <si>
    <t>MAR</t>
  </si>
  <si>
    <t>R. Flamingo</t>
  </si>
  <si>
    <t>R. Hendriks</t>
  </si>
  <si>
    <t>M. de Haan</t>
  </si>
  <si>
    <t>B. Benamar</t>
  </si>
  <si>
    <t>Steven Bergwijn</t>
  </si>
  <si>
    <t>Dani de Wit</t>
  </si>
  <si>
    <t>Santiago Giménez</t>
  </si>
  <si>
    <t>Philippe Rommens</t>
  </si>
  <si>
    <t>Tijjani Noslin</t>
  </si>
  <si>
    <t>PEC Zwolle</t>
  </si>
  <si>
    <t>Luuk de Jong</t>
  </si>
  <si>
    <t>Michiel Kramer</t>
  </si>
  <si>
    <t>Joshua Kitolano</t>
  </si>
  <si>
    <t>Penaltynemer, 1 uit 1</t>
  </si>
  <si>
    <t>Penaltynemer, 0 uit 1</t>
  </si>
  <si>
    <t>Penaltynemer, 2 uit 2</t>
  </si>
  <si>
    <t>Speelronde</t>
  </si>
  <si>
    <t>Go Ahead</t>
  </si>
  <si>
    <t>Heracles</t>
  </si>
  <si>
    <t>Fortuna</t>
  </si>
  <si>
    <t>Almere City</t>
  </si>
  <si>
    <t>Data</t>
  </si>
  <si>
    <t>16-17 sept</t>
  </si>
  <si>
    <t>22-24 sept</t>
  </si>
  <si>
    <t>6-8 okt</t>
  </si>
  <si>
    <t>21-22 okt</t>
  </si>
  <si>
    <t>Interlandbreak</t>
  </si>
  <si>
    <t>27-29 okt</t>
  </si>
  <si>
    <t>4-5 nov</t>
  </si>
  <si>
    <t>10-12 nov</t>
  </si>
  <si>
    <t>25-26 nov</t>
  </si>
  <si>
    <t>1-3 dec</t>
  </si>
  <si>
    <t>7-10 dec</t>
  </si>
  <si>
    <t>15-17 dec</t>
  </si>
  <si>
    <t>inhaalwedstrijden speelronde 3</t>
  </si>
  <si>
    <t>HER - T</t>
  </si>
  <si>
    <t>PEC - U</t>
  </si>
  <si>
    <t>HER - U</t>
  </si>
  <si>
    <t>ALM - T</t>
  </si>
  <si>
    <t>ALM - U</t>
  </si>
  <si>
    <t>PEC - T</t>
  </si>
  <si>
    <t>Europese speelronde</t>
  </si>
  <si>
    <t>CEL - T</t>
  </si>
  <si>
    <t>ARS - U</t>
  </si>
  <si>
    <t>ZRJ - U</t>
  </si>
  <si>
    <t>MAR - T</t>
  </si>
  <si>
    <t>30 sept-1 okt</t>
  </si>
  <si>
    <t>LEG - T</t>
  </si>
  <si>
    <t>SEV - T</t>
  </si>
  <si>
    <t>ATL - U</t>
  </si>
  <si>
    <t>AEK - U</t>
  </si>
  <si>
    <t>AST - U</t>
  </si>
  <si>
    <t>LENS - U</t>
  </si>
  <si>
    <t>LAZ - T</t>
  </si>
  <si>
    <t>BRI - U</t>
  </si>
  <si>
    <t>AST - T</t>
  </si>
  <si>
    <t>LENS - T</t>
  </si>
  <si>
    <t>LAZ - U</t>
  </si>
  <si>
    <t>BRI - T</t>
  </si>
  <si>
    <t>ATL - T</t>
  </si>
  <si>
    <t>ZRJ - T</t>
  </si>
  <si>
    <t>SEV - U</t>
  </si>
  <si>
    <t>MAR - U</t>
  </si>
  <si>
    <t>ARS - T</t>
  </si>
  <si>
    <t>LEG - U</t>
  </si>
  <si>
    <t>CEL - U</t>
  </si>
  <si>
    <t>AEK - T</t>
  </si>
  <si>
    <t>1e ronde KNVB Beker</t>
  </si>
  <si>
    <t>2e ronde KNVB Beker</t>
  </si>
  <si>
    <t>WINTERSTOP</t>
  </si>
  <si>
    <t xml:space="preserve">VIT - U </t>
  </si>
  <si>
    <t xml:space="preserve">TWE - U </t>
  </si>
  <si>
    <t xml:space="preserve">EXC - U </t>
  </si>
  <si>
    <t xml:space="preserve">HER - U </t>
  </si>
  <si>
    <t xml:space="preserve">PSV - U </t>
  </si>
  <si>
    <t xml:space="preserve">AZ - U </t>
  </si>
  <si>
    <t>(HER - T)</t>
  </si>
  <si>
    <t>(GAE - T)</t>
  </si>
  <si>
    <t>(VIT - T)</t>
  </si>
  <si>
    <t>(PSV - U)</t>
  </si>
  <si>
    <t>(AZ - U)</t>
  </si>
  <si>
    <t>(VOl - T)</t>
  </si>
  <si>
    <t>(TWE - U)</t>
  </si>
  <si>
    <t>(AJA - U)</t>
  </si>
  <si>
    <t>#Subtop/middenmoot</t>
  </si>
  <si>
    <t>#Degradatiekandidaten</t>
  </si>
  <si>
    <t>Pt na 4 wedstr</t>
  </si>
  <si>
    <t>TOTAAL tot 2e transfermarkt</t>
  </si>
  <si>
    <t>Raadje</t>
  </si>
  <si>
    <t>Ron Hans</t>
  </si>
  <si>
    <t>Tom Beenhakker</t>
  </si>
  <si>
    <t>Op t elastiek</t>
  </si>
  <si>
    <t>Inhlronde</t>
  </si>
  <si>
    <t>Radio Scorito</t>
  </si>
  <si>
    <t>Stijn</t>
  </si>
  <si>
    <t>Martijn</t>
  </si>
  <si>
    <t>Host</t>
  </si>
  <si>
    <t>C. Neghli</t>
  </si>
  <si>
    <t>-</t>
  </si>
  <si>
    <t>PT sinds ronde 4</t>
  </si>
  <si>
    <t>Column1</t>
  </si>
  <si>
    <t>Thomas Robinet</t>
  </si>
  <si>
    <t>Alen Halilovic</t>
  </si>
  <si>
    <t>Kaj Sierhuis</t>
  </si>
  <si>
    <t>SC Heerenveen</t>
  </si>
  <si>
    <t>Tom Haye</t>
  </si>
  <si>
    <t>Anas Tahiri</t>
  </si>
  <si>
    <t>Heracles Almelo</t>
  </si>
  <si>
    <t>Emil Hansson</t>
  </si>
  <si>
    <t xml:space="preserve">NEC </t>
  </si>
  <si>
    <t>Bas Dost</t>
  </si>
  <si>
    <t>Magnus Mattsson</t>
  </si>
  <si>
    <t>Ferdy Druijff</t>
  </si>
  <si>
    <t>Ricardo Pepi</t>
  </si>
  <si>
    <t>Tobias Lauritsen</t>
  </si>
  <si>
    <t>Ricky van Wolfswinkel</t>
  </si>
  <si>
    <t>Sem Steijn</t>
  </si>
  <si>
    <t>Calvin Twigt</t>
  </si>
  <si>
    <t>D. Ramaj</t>
  </si>
  <si>
    <t>M. Lahdo</t>
  </si>
  <si>
    <t>B. Martins Indi</t>
  </si>
  <si>
    <t>EERSTE SEIZOENSHELFT</t>
  </si>
  <si>
    <t>O. Uddenas</t>
  </si>
  <si>
    <t>S. Fofana</t>
  </si>
  <si>
    <t>Totaal</t>
  </si>
  <si>
    <t>Waarde begin spel</t>
  </si>
  <si>
    <t>Waarde winterstop</t>
  </si>
  <si>
    <t>Toe/Afname</t>
  </si>
  <si>
    <t>R. Pepi</t>
  </si>
  <si>
    <t>Y. Cathline</t>
  </si>
  <si>
    <t>L. Mbe Soh</t>
  </si>
  <si>
    <t>T. Parrott</t>
  </si>
  <si>
    <t>IER</t>
  </si>
  <si>
    <t>C. Driouech</t>
  </si>
  <si>
    <t>SEN</t>
  </si>
  <si>
    <t>J. Kramer</t>
  </si>
  <si>
    <t>S. Sow</t>
  </si>
  <si>
    <t>S. van Beek</t>
  </si>
  <si>
    <t>M. Sankoh</t>
  </si>
  <si>
    <t>A. Meijers</t>
  </si>
  <si>
    <t>S. Adewoye</t>
  </si>
  <si>
    <t>D. van der Kust</t>
  </si>
  <si>
    <t>B. Ramselaar</t>
  </si>
  <si>
    <t>G. de Regt</t>
  </si>
  <si>
    <t>G. van Zwam</t>
  </si>
  <si>
    <t>L. Zeefuik</t>
  </si>
  <si>
    <t>TWEEDE SEIZOENSHELFT</t>
  </si>
  <si>
    <t>K. Hlynsson</t>
  </si>
  <si>
    <t>J. van Duiven</t>
  </si>
  <si>
    <t>R. Owusu-Oduro</t>
  </si>
  <si>
    <t>Y. Leliendal</t>
  </si>
  <si>
    <t>G. Esteves</t>
  </si>
  <si>
    <t>2-4 feb</t>
  </si>
  <si>
    <t>9-11 feb</t>
  </si>
  <si>
    <t>16-18 feb</t>
  </si>
  <si>
    <t>23-25 feb</t>
  </si>
  <si>
    <t>1-3 maart</t>
  </si>
  <si>
    <t>8-10 maart</t>
  </si>
  <si>
    <t>15-17 maart</t>
  </si>
  <si>
    <t>30-31 maart</t>
  </si>
  <si>
    <t>2-4 april</t>
  </si>
  <si>
    <t>6-7 april</t>
  </si>
  <si>
    <t>12-14 april</t>
  </si>
  <si>
    <t>24-28 april</t>
  </si>
  <si>
    <t>3-6 mei</t>
  </si>
  <si>
    <t>12 mei</t>
  </si>
  <si>
    <t>19 mei</t>
  </si>
  <si>
    <t>ROMA - T</t>
  </si>
  <si>
    <t>ROMA - U</t>
  </si>
  <si>
    <t>BODO - T</t>
  </si>
  <si>
    <t>BODO - U</t>
  </si>
  <si>
    <t>CL + EL/Conl Tussenronde</t>
  </si>
  <si>
    <t>DORT - T</t>
  </si>
  <si>
    <t>DORT - U</t>
  </si>
  <si>
    <t>KNVB Beker kwartfinales</t>
  </si>
  <si>
    <t>KNVB Beker 1/2 Finale</t>
  </si>
  <si>
    <t>KNVB Beker Finaleweekend</t>
  </si>
  <si>
    <t>CL + EL/Conl 8e finales</t>
  </si>
  <si>
    <t>CL + EL/Conl kwartfinales</t>
  </si>
  <si>
    <t>CL + EL/Conl 1/2e finales</t>
  </si>
  <si>
    <t>17</t>
  </si>
  <si>
    <t>18</t>
  </si>
  <si>
    <t>19</t>
  </si>
  <si>
    <t>Totaal 17-19</t>
  </si>
  <si>
    <t>TOTAAL alles</t>
  </si>
  <si>
    <t>Speeltijd</t>
  </si>
  <si>
    <t>Keeper</t>
  </si>
  <si>
    <t>Verdediger</t>
  </si>
  <si>
    <t>Middenvelder</t>
  </si>
  <si>
    <t>Aanvaller</t>
  </si>
  <si>
    <t>Winst</t>
  </si>
  <si>
    <t>Gelijk</t>
  </si>
  <si>
    <t>Prestatie team</t>
  </si>
  <si>
    <t>Doelpunt</t>
  </si>
  <si>
    <t>Assist</t>
  </si>
  <si>
    <t>DE 0</t>
  </si>
  <si>
    <t>Per 2 tegengoals</t>
  </si>
  <si>
    <t>K. Goudmijn</t>
  </si>
  <si>
    <t>S. Lammers</t>
  </si>
  <si>
    <t>O. Velanas</t>
  </si>
  <si>
    <t>R. Meissen</t>
  </si>
  <si>
    <t>P. Walemark</t>
  </si>
  <si>
    <t>O. Braude</t>
  </si>
  <si>
    <t>S. Floranus</t>
  </si>
  <si>
    <t>J. Jacobs</t>
  </si>
  <si>
    <t>R. Gonzalez</t>
  </si>
  <si>
    <t>M. Verrips</t>
  </si>
  <si>
    <t>K. Belic</t>
  </si>
  <si>
    <t>J. Henderson</t>
  </si>
  <si>
    <t>T. Domgjoni</t>
  </si>
  <si>
    <t>Zit pas sinds de winterstop in Scorito, dus zou eigenlijk meer punten moeten hebben</t>
  </si>
  <si>
    <t>D. van Bruggen</t>
  </si>
  <si>
    <t>R. van La Parra</t>
  </si>
  <si>
    <t>K, Hansen</t>
  </si>
  <si>
    <t>M. van Brederode</t>
  </si>
  <si>
    <t>D. Kasius</t>
  </si>
  <si>
    <t>D. Sanches Fernandes</t>
  </si>
  <si>
    <t>S. Nieuwpoort</t>
  </si>
  <si>
    <t>K. Peterson</t>
  </si>
  <si>
    <t>A. Ferati</t>
  </si>
  <si>
    <t>R. Oratmangoen</t>
  </si>
  <si>
    <t>IND</t>
  </si>
  <si>
    <t>S. Voet</t>
  </si>
  <si>
    <t>B. Adekanye</t>
  </si>
  <si>
    <t>J. Breum</t>
  </si>
  <si>
    <t>T. Baeten</t>
  </si>
  <si>
    <t>E. Llansana</t>
  </si>
  <si>
    <t>X. Blomme</t>
  </si>
  <si>
    <t>M. van der Hart</t>
  </si>
  <si>
    <t>J. Hornkamp</t>
  </si>
  <si>
    <t>J. Bruijn</t>
  </si>
  <si>
    <t>T. Chery</t>
  </si>
  <si>
    <t>SUR</t>
  </si>
  <si>
    <t>M. Hoedemakers</t>
  </si>
  <si>
    <t>K. Sano</t>
  </si>
  <si>
    <t>N. Fichtinger</t>
  </si>
  <si>
    <t>A. Mac Nulty</t>
  </si>
  <si>
    <t>C. Lokesa</t>
  </si>
  <si>
    <t>G. Romeratoe</t>
  </si>
  <si>
    <t>S. Mito</t>
  </si>
  <si>
    <t>Metinho</t>
  </si>
  <si>
    <t>M. Eerdhuijzen</t>
  </si>
  <si>
    <t>N. Viergever</t>
  </si>
  <si>
    <t>M. Meerdink</t>
  </si>
  <si>
    <t>ZWI</t>
  </si>
  <si>
    <t>E. Cornelisse</t>
  </si>
  <si>
    <t>Z. Booth</t>
  </si>
  <si>
    <t>J. Flint</t>
  </si>
  <si>
    <t>Transfer gemaakt naar SV Wehen Wiesbaden</t>
  </si>
  <si>
    <t>Transfer gemaakt naar Union Berlin</t>
  </si>
  <si>
    <t>Overgekomen van FC Volendam</t>
  </si>
  <si>
    <t>Is nog op de Azie Cup</t>
  </si>
  <si>
    <t>1 Penalty genomen, 1 gemist</t>
  </si>
  <si>
    <t>Penaltynemer, 2 genomen 2 raak</t>
  </si>
  <si>
    <t>Penaltynemer, 1 genomen 1 raak</t>
  </si>
  <si>
    <t>1 penalty genomen, 1 geraakt</t>
  </si>
  <si>
    <t>Penaltynemer, 3 genomen 1 raak</t>
  </si>
  <si>
    <t>Penaltynemer, 2 genomen 1 raak</t>
  </si>
  <si>
    <t>2 penalty's genomen, 2 raak</t>
  </si>
  <si>
    <t>Penaltynemer, 3 genomen, 2 raak</t>
  </si>
  <si>
    <t>Transfer gemaakt naar FC Kopenhagen. Was penaltynemer, 2 genomen 2 raak</t>
  </si>
  <si>
    <t>Penaltynemer. 6 genomen 5 raak</t>
  </si>
  <si>
    <t>Penaltynemer 4 genomen, 4 raak</t>
  </si>
  <si>
    <t>Brian Brobbey</t>
  </si>
  <si>
    <t>Mouhamed Belkheir</t>
  </si>
  <si>
    <t>Victor Edvardsen</t>
  </si>
  <si>
    <t>2 penalty's genomen, 2 raak. Allebei bij afwezigheid van T. Lauritsen</t>
  </si>
  <si>
    <t>1 penalty gered</t>
  </si>
  <si>
    <t>2 penalty's gered</t>
  </si>
  <si>
    <t>Niet fit, twijfelgeval.</t>
  </si>
  <si>
    <t>Niet fit, twijfegeval. Penaltynemer. 4 genomen 4 raak</t>
  </si>
  <si>
    <t xml:space="preserve">Geblesseerd. </t>
  </si>
  <si>
    <t>Geblesseerd. 1 penalty genomen, 1 geraakt</t>
  </si>
  <si>
    <t>Geblesseerd. Penaltynemer, 2 genomen 2 raak</t>
  </si>
  <si>
    <t>Nog niet fit, twijfelgeval</t>
  </si>
  <si>
    <t>Geblesseerd. Penaltynemer, 3 genomen 3 raak</t>
  </si>
  <si>
    <t>Azie Cup</t>
  </si>
  <si>
    <t>Afrika Cup</t>
  </si>
  <si>
    <t xml:space="preserve"> </t>
  </si>
  <si>
    <t>3 mil</t>
  </si>
  <si>
    <t>2 mil</t>
  </si>
  <si>
    <t>2,5 mil</t>
  </si>
  <si>
    <t>1,75 mil</t>
  </si>
  <si>
    <t>4 mil</t>
  </si>
  <si>
    <t>1 mil</t>
  </si>
  <si>
    <t>Benitez X Bakker</t>
  </si>
  <si>
    <t>Unnerstall x de Lange</t>
  </si>
  <si>
    <t>Unnerstall x Olij</t>
  </si>
  <si>
    <t>Unnerstall x Barkas</t>
  </si>
  <si>
    <t>5 mil</t>
  </si>
  <si>
    <t>5,5 mil</t>
  </si>
  <si>
    <t>4,75 mil</t>
  </si>
  <si>
    <t>Olij x Barkas</t>
  </si>
  <si>
    <t>4,25 mil</t>
  </si>
  <si>
    <t>Unnerstall x Bakker</t>
  </si>
  <si>
    <t>Verschil</t>
  </si>
  <si>
    <t>Ideale allocatie</t>
  </si>
  <si>
    <t>Allocatie mijn budget</t>
  </si>
  <si>
    <t>Ideale bedrag allocatie</t>
  </si>
  <si>
    <t>Q. Timber of G. Til</t>
  </si>
  <si>
    <t>Parrott</t>
  </si>
  <si>
    <t>Thy</t>
  </si>
  <si>
    <t>Beide</t>
  </si>
  <si>
    <t>beide</t>
  </si>
  <si>
    <t>geen</t>
  </si>
  <si>
    <t>Ideaal qua bedrag</t>
  </si>
  <si>
    <t>Q. TImber</t>
  </si>
  <si>
    <t>A. Pena</t>
  </si>
  <si>
    <t>R. Propper</t>
  </si>
  <si>
    <t>M. Boadu</t>
  </si>
  <si>
    <t>Na deadline pas beseft:</t>
  </si>
  <si>
    <t>Na de deadline pas beseft</t>
  </si>
  <si>
    <t>Pt sinds winterstop deadline</t>
  </si>
  <si>
    <t>Kees K.</t>
  </si>
  <si>
    <t>L. Duijvestein</t>
  </si>
  <si>
    <t>J. Okkels</t>
  </si>
  <si>
    <t xml:space="preserve">I. Saibari </t>
  </si>
  <si>
    <t>Prijs (milj)</t>
  </si>
  <si>
    <t>Gekozen (%)</t>
  </si>
  <si>
    <t xml:space="preserve">J. Jacobs </t>
  </si>
  <si>
    <t>Perfect team</t>
  </si>
  <si>
    <t>TOTAAL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</si>
</sst>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FFFF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D9E1F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FFC7CE"/>
        <bgColor rgb="FF000000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3">
    <xf numFmtId="0" fontId="0" fillId="0" borderId="0" xfId="0"/>
    <xf numFmtId="0" fontId="5" fillId="0" borderId="0" xfId="0" applyFont="1"/>
    <xf numFmtId="0" fontId="1" fillId="2" borderId="0" xfId="1" applyAlignment="1">
      <alignment vertical="center"/>
    </xf>
    <xf numFmtId="0" fontId="1" fillId="0" borderId="0" xfId="1" applyFill="1" applyAlignment="1">
      <alignment vertical="center"/>
    </xf>
    <xf numFmtId="0" fontId="6" fillId="2" borderId="0" xfId="1" applyFont="1" applyAlignment="1">
      <alignment vertical="center"/>
    </xf>
    <xf numFmtId="0" fontId="7" fillId="0" borderId="0" xfId="0" applyFont="1"/>
    <xf numFmtId="0" fontId="3" fillId="4" borderId="0" xfId="3" applyAlignment="1">
      <alignment vertical="center"/>
    </xf>
    <xf numFmtId="0" fontId="3" fillId="0" borderId="0" xfId="3" applyFill="1" applyAlignment="1">
      <alignment vertical="center"/>
    </xf>
    <xf numFmtId="0" fontId="8" fillId="4" borderId="0" xfId="3" applyFont="1" applyAlignment="1">
      <alignment vertical="center"/>
    </xf>
    <xf numFmtId="0" fontId="9" fillId="5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2" fillId="3" borderId="0" xfId="2" applyAlignment="1">
      <alignment vertical="center"/>
    </xf>
    <xf numFmtId="0" fontId="2" fillId="0" borderId="0" xfId="2" applyFill="1" applyAlignment="1">
      <alignment vertical="center"/>
    </xf>
    <xf numFmtId="0" fontId="10" fillId="3" borderId="0" xfId="2" applyFont="1" applyAlignment="1">
      <alignment vertical="center"/>
    </xf>
    <xf numFmtId="0" fontId="11" fillId="0" borderId="0" xfId="2" applyFont="1" applyFill="1" applyAlignment="1">
      <alignment vertical="center"/>
    </xf>
    <xf numFmtId="3" fontId="0" fillId="0" borderId="0" xfId="0" applyNumberForma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4" fillId="0" borderId="0" xfId="0" applyFont="1"/>
    <xf numFmtId="0" fontId="2" fillId="3" borderId="1" xfId="2" applyBorder="1" applyAlignment="1">
      <alignment vertical="center"/>
    </xf>
    <xf numFmtId="49" fontId="0" fillId="6" borderId="2" xfId="0" applyNumberFormat="1" applyFill="1" applyBorder="1"/>
    <xf numFmtId="3" fontId="0" fillId="6" borderId="2" xfId="0" applyNumberFormat="1" applyFill="1" applyBorder="1"/>
    <xf numFmtId="0" fontId="0" fillId="6" borderId="2" xfId="0" applyFill="1" applyBorder="1"/>
    <xf numFmtId="0" fontId="14" fillId="6" borderId="2" xfId="0" applyFont="1" applyFill="1" applyBorder="1"/>
    <xf numFmtId="0" fontId="15" fillId="6" borderId="2" xfId="0" applyFont="1" applyFill="1" applyBorder="1"/>
    <xf numFmtId="0" fontId="16" fillId="6" borderId="2" xfId="0" applyFont="1" applyFill="1" applyBorder="1"/>
    <xf numFmtId="0" fontId="0" fillId="6" borderId="3" xfId="0" applyFill="1" applyBorder="1"/>
    <xf numFmtId="49" fontId="0" fillId="0" borderId="2" xfId="0" applyNumberFormat="1" applyBorder="1"/>
    <xf numFmtId="3" fontId="0" fillId="0" borderId="2" xfId="0" applyNumberFormat="1" applyBorder="1"/>
    <xf numFmtId="0" fontId="0" fillId="0" borderId="2" xfId="0" applyBorder="1"/>
    <xf numFmtId="0" fontId="14" fillId="0" borderId="2" xfId="0" applyFont="1" applyBorder="1"/>
    <xf numFmtId="0" fontId="15" fillId="0" borderId="2" xfId="0" applyFont="1" applyBorder="1"/>
    <xf numFmtId="0" fontId="16" fillId="0" borderId="2" xfId="0" applyFont="1" applyBorder="1"/>
    <xf numFmtId="0" fontId="0" fillId="0" borderId="3" xfId="0" applyBorder="1"/>
    <xf numFmtId="0" fontId="3" fillId="4" borderId="1" xfId="3" applyBorder="1" applyAlignment="1">
      <alignment vertical="center"/>
    </xf>
    <xf numFmtId="0" fontId="1" fillId="2" borderId="1" xfId="1" applyBorder="1" applyAlignment="1">
      <alignment vertical="center"/>
    </xf>
    <xf numFmtId="0" fontId="17" fillId="5" borderId="1" xfId="3" applyFont="1" applyFill="1" applyBorder="1" applyAlignment="1">
      <alignment vertical="center"/>
    </xf>
    <xf numFmtId="0" fontId="0" fillId="6" borderId="0" xfId="0" applyFill="1"/>
    <xf numFmtId="0" fontId="17" fillId="5" borderId="0" xfId="3" applyFont="1" applyFill="1" applyAlignment="1">
      <alignment vertical="center"/>
    </xf>
    <xf numFmtId="0" fontId="18" fillId="0" borderId="0" xfId="0" applyFont="1"/>
    <xf numFmtId="0" fontId="18" fillId="7" borderId="0" xfId="0" applyFont="1" applyFill="1"/>
    <xf numFmtId="0" fontId="19" fillId="0" borderId="0" xfId="2" applyFont="1" applyFill="1" applyBorder="1" applyAlignment="1">
      <alignment vertical="center"/>
    </xf>
    <xf numFmtId="0" fontId="2" fillId="3" borderId="4" xfId="2" applyBorder="1" applyAlignment="1">
      <alignment vertical="center"/>
    </xf>
    <xf numFmtId="0" fontId="13" fillId="6" borderId="2" xfId="0" applyFont="1" applyFill="1" applyBorder="1"/>
    <xf numFmtId="0" fontId="11" fillId="6" borderId="2" xfId="0" applyFont="1" applyFill="1" applyBorder="1"/>
    <xf numFmtId="0" fontId="12" fillId="6" borderId="2" xfId="0" applyFont="1" applyFill="1" applyBorder="1"/>
    <xf numFmtId="0" fontId="13" fillId="0" borderId="2" xfId="0" applyFont="1" applyBorder="1"/>
    <xf numFmtId="0" fontId="11" fillId="0" borderId="2" xfId="0" applyFont="1" applyBorder="1"/>
    <xf numFmtId="0" fontId="12" fillId="0" borderId="2" xfId="0" applyFont="1" applyBorder="1"/>
    <xf numFmtId="49" fontId="0" fillId="0" borderId="0" xfId="0" applyNumberFormat="1"/>
    <xf numFmtId="49" fontId="0" fillId="0" borderId="5" xfId="0" applyNumberFormat="1" applyBorder="1"/>
    <xf numFmtId="3" fontId="0" fillId="0" borderId="5" xfId="0" applyNumberFormat="1" applyBorder="1"/>
    <xf numFmtId="0" fontId="0" fillId="0" borderId="5" xfId="0" applyBorder="1"/>
    <xf numFmtId="0" fontId="14" fillId="0" borderId="5" xfId="0" applyFont="1" applyBorder="1"/>
    <xf numFmtId="0" fontId="15" fillId="0" borderId="5" xfId="0" applyFont="1" applyBorder="1"/>
    <xf numFmtId="0" fontId="16" fillId="0" borderId="5" xfId="0" applyFont="1" applyBorder="1"/>
    <xf numFmtId="0" fontId="0" fillId="0" borderId="6" xfId="0" applyBorder="1"/>
    <xf numFmtId="0" fontId="14" fillId="6" borderId="5" xfId="0" applyFont="1" applyFill="1" applyBorder="1"/>
    <xf numFmtId="0" fontId="16" fillId="6" borderId="5" xfId="0" applyFont="1" applyFill="1" applyBorder="1"/>
    <xf numFmtId="0" fontId="0" fillId="6" borderId="5" xfId="0" applyFill="1" applyBorder="1"/>
    <xf numFmtId="0" fontId="0" fillId="6" borderId="6" xfId="0" applyFill="1" applyBorder="1"/>
    <xf numFmtId="49" fontId="0" fillId="6" borderId="5" xfId="0" applyNumberFormat="1" applyFill="1" applyBorder="1"/>
    <xf numFmtId="3" fontId="0" fillId="6" borderId="5" xfId="0" applyNumberFormat="1" applyFill="1" applyBorder="1"/>
    <xf numFmtId="0" fontId="15" fillId="6" borderId="5" xfId="0" applyFont="1" applyFill="1" applyBorder="1"/>
    <xf numFmtId="0" fontId="20" fillId="0" borderId="0" xfId="0" applyFont="1"/>
    <xf numFmtId="9" fontId="0" fillId="0" borderId="0" xfId="0" applyNumberForma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1" fillId="7" borderId="0" xfId="0" applyFont="1" applyFill="1"/>
    <xf numFmtId="0" fontId="11" fillId="8" borderId="0" xfId="0" applyFont="1" applyFill="1"/>
    <xf numFmtId="0" fontId="0" fillId="9" borderId="0" xfId="0" applyFill="1"/>
    <xf numFmtId="0" fontId="11" fillId="9" borderId="0" xfId="0" applyFont="1" applyFill="1"/>
    <xf numFmtId="0" fontId="18" fillId="9" borderId="0" xfId="0" applyFont="1" applyFill="1"/>
    <xf numFmtId="0" fontId="12" fillId="7" borderId="0" xfId="0" applyFont="1" applyFill="1"/>
    <xf numFmtId="0" fontId="18" fillId="8" borderId="0" xfId="0" applyFont="1" applyFill="1"/>
    <xf numFmtId="0" fontId="12" fillId="8" borderId="0" xfId="0" applyFont="1" applyFill="1"/>
    <xf numFmtId="0" fontId="0" fillId="8" borderId="0" xfId="0" applyFill="1"/>
    <xf numFmtId="0" fontId="12" fillId="9" borderId="0" xfId="0" applyFont="1" applyFill="1"/>
    <xf numFmtId="49" fontId="0" fillId="8" borderId="0" xfId="0" applyNumberFormat="1" applyFill="1"/>
    <xf numFmtId="0" fontId="24" fillId="3" borderId="0" xfId="2" applyFont="1" applyAlignment="1">
      <alignment vertical="center"/>
    </xf>
    <xf numFmtId="0" fontId="25" fillId="5" borderId="0" xfId="3" applyFont="1" applyFill="1" applyAlignment="1">
      <alignment vertical="center"/>
    </xf>
    <xf numFmtId="0" fontId="26" fillId="4" borderId="0" xfId="3" applyFont="1" applyAlignment="1">
      <alignment vertical="center"/>
    </xf>
    <xf numFmtId="0" fontId="27" fillId="2" borderId="0" xfId="1" applyFont="1" applyAlignment="1">
      <alignment vertical="center"/>
    </xf>
    <xf numFmtId="0" fontId="11" fillId="0" borderId="5" xfId="0" applyFont="1" applyBorder="1"/>
    <xf numFmtId="0" fontId="11" fillId="6" borderId="5" xfId="0" applyFont="1" applyFill="1" applyBorder="1"/>
    <xf numFmtId="0" fontId="14" fillId="0" borderId="0" xfId="0" applyFont="1"/>
    <xf numFmtId="0" fontId="7" fillId="0" borderId="2" xfId="0" applyFont="1" applyBorder="1"/>
    <xf numFmtId="49" fontId="0" fillId="6" borderId="0" xfId="0" applyNumberFormat="1" applyFill="1"/>
    <xf numFmtId="0" fontId="14" fillId="6" borderId="0" xfId="0" applyFont="1" applyFill="1"/>
    <xf numFmtId="0" fontId="13" fillId="6" borderId="5" xfId="0" applyFont="1" applyFill="1" applyBorder="1"/>
    <xf numFmtId="0" fontId="13" fillId="0" borderId="5" xfId="0" applyFont="1" applyBorder="1"/>
    <xf numFmtId="0" fontId="12" fillId="6" borderId="5" xfId="0" applyFont="1" applyFill="1" applyBorder="1"/>
    <xf numFmtId="0" fontId="12" fillId="0" borderId="5" xfId="0" applyFont="1" applyBorder="1"/>
    <xf numFmtId="0" fontId="11" fillId="10" borderId="0" xfId="0" applyFont="1" applyFill="1"/>
    <xf numFmtId="0" fontId="11" fillId="11" borderId="0" xfId="0" applyFont="1" applyFill="1"/>
    <xf numFmtId="10" fontId="0" fillId="0" borderId="0" xfId="0" applyNumberFormat="1"/>
    <xf numFmtId="10" fontId="11" fillId="0" borderId="0" xfId="0" applyNumberFormat="1" applyFont="1"/>
    <xf numFmtId="0" fontId="29" fillId="0" borderId="0" xfId="0" applyFont="1"/>
    <xf numFmtId="0" fontId="1" fillId="12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0" fillId="14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3" fontId="0" fillId="0" borderId="0" xfId="0" applyNumberFormat="1" applyBorder="1"/>
    <xf numFmtId="0" fontId="0" fillId="0" borderId="0" xfId="0" applyBorder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Border="1"/>
    <xf numFmtId="0" fontId="14" fillId="6" borderId="0" xfId="0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6">
    <dxf>
      <font>
        <strike val="0"/>
        <outline val="0"/>
        <shadow val="0"/>
        <u val="none"/>
        <vertAlign val="baseline"/>
        <sz val="12"/>
      </font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2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4" tint="0.79998168889431442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" formatCode="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781D0-73F8-C745-8F69-FB7DB2B700EA}" name="Table1" displayName="Table1" ref="A1:Y239" totalsRowShown="0" tableBorderDxfId="85">
  <autoFilter ref="A1:Y239" xr:uid="{1A5781D0-73F8-C745-8F69-FB7DB2B700EA}"/>
  <sortState xmlns:xlrd2="http://schemas.microsoft.com/office/spreadsheetml/2017/richdata2" ref="A2:Y239">
    <sortCondition ref="D1:D239"/>
  </sortState>
  <tableColumns count="25">
    <tableColumn id="1" xr3:uid="{962F0C28-76F5-1640-8B08-ED790D6D3FA0}" name="Speler" dataDxfId="84"/>
    <tableColumn id="2" xr3:uid="{1534B67A-B2C5-AD49-8A02-A696C37BF542}" name="Club" dataDxfId="83"/>
    <tableColumn id="3" xr3:uid="{83B45C91-4856-1B48-89C3-6C264A833577}" name="Prijs" dataDxfId="82"/>
    <tableColumn id="4" xr3:uid="{9735B1D0-C856-A942-B269-7A898F7527FF}" name="POS" dataDxfId="81"/>
    <tableColumn id="5" xr3:uid="{453DDFD5-6001-E949-99CE-640409BD19AD}" name="Age" dataDxfId="80"/>
    <tableColumn id="6" xr3:uid="{3FB4CC79-C63D-D24A-841B-0A4AACED443F}" name="Land" dataDxfId="79"/>
    <tableColumn id="7" xr3:uid="{29F61494-4F5E-B748-9A88-87F33244E76A}" name="#punten" dataDxfId="78"/>
    <tableColumn id="8" xr3:uid="{004FCA4E-0C21-F842-8875-9681389C7094}" name="laatste 5 wed." dataDxfId="77"/>
    <tableColumn id="9" xr3:uid="{996FAB59-922F-434D-9128-6751EDFBF564}" name="%laatste 5" dataDxfId="76">
      <calculatedColumnFormula>Table1[[#This Row],[laatste 5 wed.]]/Table1[[#This Row],['#punten]]*100</calculatedColumnFormula>
    </tableColumn>
    <tableColumn id="10" xr3:uid="{CC888937-7104-FE4D-9FEF-308C61762E19}" name="#Wed" dataDxfId="75"/>
    <tableColumn id="11" xr3:uid="{D642110E-65E2-5046-B5A5-9CD19B4771E1}" name="#basis" dataDxfId="74"/>
    <tableColumn id="12" xr3:uid="{045A9C23-F414-7342-AE2E-32D5B2375953}" name="#minuten" dataDxfId="73"/>
    <tableColumn id="13" xr3:uid="{ECE8E3FF-E266-3D4B-B1BB-6CD918D354CD}" name="Min laatste 5" dataDxfId="72"/>
    <tableColumn id="14" xr3:uid="{287995F5-9519-664A-80FB-2DD33DB52B53}" name="%min laatste 5" dataDxfId="71">
      <calculatedColumnFormula>Table1[[#This Row],[Min laatste 5]]/Table1[[#This Row],['#minuten]]*100</calculatedColumnFormula>
    </tableColumn>
    <tableColumn id="15" xr3:uid="{98795C16-0D5F-0441-BE50-67039196392B}" name="Goals" dataDxfId="70"/>
    <tableColumn id="16" xr3:uid="{3FBA5365-5062-6943-A24B-D054CA822FE7}" name="Asissts" dataDxfId="69"/>
    <tableColumn id="17" xr3:uid="{7D401042-E0DE-304C-BB6D-453311725315}" name="#Geel" dataDxfId="68"/>
    <tableColumn id="18" xr3:uid="{B58F00A2-DA10-D748-8056-4E7846687084}" name="#Rood" dataDxfId="67"/>
    <tableColumn id="19" xr3:uid="{DE2CBE3D-7721-E141-B944-1FE53B93FD15}" name="#de nul" dataDxfId="66"/>
    <tableColumn id="20" xr3:uid="{469D3229-F304-1942-AA2A-0E905DEC815B}" name="Pt/wedstrijd" dataDxfId="65">
      <calculatedColumnFormula>ROUND(Table1[[#This Row],['#punten]]/Table1[[#This Row],['#Wed]],1)</calculatedColumnFormula>
    </tableColumn>
    <tableColumn id="21" xr3:uid="{70CCD5F3-7821-C94E-944F-98F9502D45DB}" name="Pt/minuut" dataDxfId="64">
      <calculatedColumnFormula>ROUND(Table1[[#This Row],['#punten]]/Table1[[#This Row],['#minuten]],2)</calculatedColumnFormula>
    </tableColumn>
    <tableColumn id="22" xr3:uid="{4E968F07-E33C-D244-94E5-EC3968CB6F95}" name="Pt/90 min" dataDxfId="63">
      <calculatedColumnFormula>ROUND((Table1[[#This Row],['#punten]]/(Table1[[#This Row],['#minuten]]/90)),2)</calculatedColumnFormula>
    </tableColumn>
    <tableColumn id="23" xr3:uid="{15B11988-222C-FF41-B07E-AA1F7719519E}" name="Geld/pt" dataDxfId="62">
      <calculatedColumnFormula>ROUND(Table1[[#This Row],[Prijs]]/Table1[[#This Row],['#punten]],0)</calculatedColumnFormula>
    </tableColumn>
    <tableColumn id="24" xr3:uid="{A676D201-820F-0341-891E-FE002E0B3205}" name="G/A per 90 min" dataDxfId="61">
      <calculatedColumnFormula>ROUND((Table1[[#This Row],[Goals]]+Table1[[#This Row],[Asissts]])/(Table1[[#This Row],['#minuten]]/90),2)</calculatedColumnFormula>
    </tableColumn>
    <tableColumn id="25" xr3:uid="{96969294-7F55-4449-9B9F-9E60DA8AE7DA}" name="Bijzonderhed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DEEB3D-DB5E-3440-9C88-473D874BDA34}" name="Table13" displayName="Table13" ref="A1:Y207" totalsRowShown="0" tableBorderDxfId="60">
  <autoFilter ref="A1:Y207" xr:uid="{CEDEEB3D-DB5E-3440-9C88-473D874BDA34}"/>
  <sortState xmlns:xlrd2="http://schemas.microsoft.com/office/spreadsheetml/2017/richdata2" ref="A2:Y207">
    <sortCondition ref="D1:D207"/>
  </sortState>
  <tableColumns count="25">
    <tableColumn id="1" xr3:uid="{D83525F5-2C43-844B-95F5-5689A654B2D6}" name="Speler" dataDxfId="59" dataCellStyle="Neutral"/>
    <tableColumn id="2" xr3:uid="{F8F01E30-95FA-6F48-90A6-EE3523F636A7}" name="Club" dataDxfId="58"/>
    <tableColumn id="3" xr3:uid="{0284A1F0-2196-C043-899A-54A285161E64}" name="Prijs" dataDxfId="57"/>
    <tableColumn id="4" xr3:uid="{5EA67429-8459-C94F-B06F-24371873036A}" name="POS" dataDxfId="56"/>
    <tableColumn id="5" xr3:uid="{1959ADC5-C0A7-414F-AA65-840EDFD2D554}" name="Age" dataDxfId="55"/>
    <tableColumn id="6" xr3:uid="{7F148273-79F8-684C-8C0B-8D040AD14FAC}" name="Land" dataDxfId="54"/>
    <tableColumn id="7" xr3:uid="{E78D517F-8DFB-2A41-8618-3FDAE03D77E0}" name="#punten" dataDxfId="53"/>
    <tableColumn id="8" xr3:uid="{E8CD0811-72BD-BB4B-89BE-C5E5FDCF09A9}" name="laatste 5 wed." dataDxfId="52"/>
    <tableColumn id="9" xr3:uid="{9040B363-0882-074C-B04C-A2492210364F}" name="%laatste 5" dataDxfId="51">
      <calculatedColumnFormula>ROUND((Table13[[#This Row],[laatste 5 wed.]]/Table13[[#This Row],['#punten]])*100,1)</calculatedColumnFormula>
    </tableColumn>
    <tableColumn id="10" xr3:uid="{5C7FB0A3-93AC-2E41-81F1-752DF13258A5}" name="#Wed" dataDxfId="50"/>
    <tableColumn id="11" xr3:uid="{6884DD38-32F9-574D-871E-D13DA12C8953}" name="#basis" dataDxfId="49"/>
    <tableColumn id="12" xr3:uid="{E3FDC22A-52D6-6D45-A345-166F620A59A8}" name="#minuten" dataDxfId="48"/>
    <tableColumn id="13" xr3:uid="{9C1CD49E-99B6-EF43-80CF-6438680D3442}" name="Min laatste 5" dataDxfId="47"/>
    <tableColumn id="14" xr3:uid="{0C0EFAC3-F24A-EA45-9353-5E158CF2791D}" name="%min laatste 5" dataDxfId="46">
      <calculatedColumnFormula>ROUND(Table13[[#This Row],[Min laatste 5]]/Table13[[#This Row],['#minuten]]*100,1)</calculatedColumnFormula>
    </tableColumn>
    <tableColumn id="15" xr3:uid="{E1A7B5DC-4B37-C74B-88E9-AED44F05F83A}" name="Goals" dataDxfId="45"/>
    <tableColumn id="16" xr3:uid="{98E121EA-30FE-2345-894B-841077470BEA}" name="Asissts" dataDxfId="44"/>
    <tableColumn id="17" xr3:uid="{A06BF014-7094-714C-BC03-4854D424E45A}" name="#geel" dataDxfId="43"/>
    <tableColumn id="18" xr3:uid="{2F831892-5877-534F-A84B-0F87C41CDE6C}" name="#Rood" dataDxfId="42"/>
    <tableColumn id="19" xr3:uid="{EF70993F-080E-A14C-B980-A4E4C22BC72F}" name="#de nul" dataDxfId="41"/>
    <tableColumn id="20" xr3:uid="{FCADAF06-75A1-6F49-9B3F-1732A80261BF}" name="Pt/wedstrijd" dataDxfId="40">
      <calculatedColumnFormula>ROUND(Table13[[#This Row],['#punten]]/Table13[[#This Row],['#Wed]],2)</calculatedColumnFormula>
    </tableColumn>
    <tableColumn id="21" xr3:uid="{2C51EA65-1FE3-2D47-8968-08BA1E8E3DDF}" name="Pt/minuut" dataDxfId="39">
      <calculatedColumnFormula>ROUND(Table13[[#This Row],['#punten]]/Table13[[#This Row],['#minuten]],2)</calculatedColumnFormula>
    </tableColumn>
    <tableColumn id="22" xr3:uid="{27439832-7509-E84F-8921-EC42CEC4BEB2}" name="Pt/90 min" dataDxfId="38">
      <calculatedColumnFormula>Table13[[#This Row],[Pt/minuut]]*90</calculatedColumnFormula>
    </tableColumn>
    <tableColumn id="23" xr3:uid="{8D9CEB9A-F3D5-384E-9D27-714D2CFF2FBC}" name="Geld/pt" dataDxfId="37">
      <calculatedColumnFormula>ROUND(Table13[[#This Row],[Prijs]]/Table13[[#This Row],['#punten]],0)</calculatedColumnFormula>
    </tableColumn>
    <tableColumn id="24" xr3:uid="{50A2C08A-656D-5F40-87F9-32FE97904712}" name="G/A per 90 min" dataDxfId="36">
      <calculatedColumnFormula>ROUND((Table13[[#This Row],[Goals]]+Table13[[#This Row],[Asissts]])/(Table13[[#This Row],['#minuten]]/90),2)</calculatedColumnFormula>
    </tableColumn>
    <tableColumn id="25" xr3:uid="{C41F6E12-875A-FD4F-9D6A-C054524BA8F1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0294DF-5A44-7F48-825D-D153A1745342}" name="Table135" displayName="Table135" ref="A1:I218" totalsRowShown="0" tableBorderDxfId="35">
  <autoFilter ref="A1:I218" xr:uid="{310294DF-5A44-7F48-825D-D153A1745342}"/>
  <sortState xmlns:xlrd2="http://schemas.microsoft.com/office/spreadsheetml/2017/richdata2" ref="A2:I218">
    <sortCondition ref="B1:B218"/>
  </sortState>
  <tableColumns count="9">
    <tableColumn id="1" xr3:uid="{697EAEFA-5877-DC46-839A-C769F57E69D5}" name="Speler" dataDxfId="34" dataCellStyle="Neutral"/>
    <tableColumn id="2" xr3:uid="{764F432D-1F34-B641-ACAF-CFC9ABE217B6}" name="Club" dataDxfId="33"/>
    <tableColumn id="4" xr3:uid="{1D468E32-6E26-8B4F-918C-BA2EC39F668C}" name="POS" dataDxfId="32"/>
    <tableColumn id="7" xr3:uid="{E504818E-E793-2F40-B913-565D69C0E81F}" name="#punten" dataDxfId="31"/>
    <tableColumn id="5" xr3:uid="{DC482F5C-82DA-2440-8312-0EDE707BD90E}" name="17"/>
    <tableColumn id="6" xr3:uid="{FEF57B92-71A4-ED43-A9CA-3F9319FD0339}" name="18"/>
    <tableColumn id="8" xr3:uid="{83376A82-8E9E-9249-9D57-78B7CAF08FD5}" name="19"/>
    <tableColumn id="9" xr3:uid="{301FDE61-B265-DE4A-A582-BBDE861C4091}" name="Totaal 17-19" dataDxfId="30">
      <calculatedColumnFormula>SUM(Table135[[#This Row],[17]:[19]])</calculatedColumnFormula>
    </tableColumn>
    <tableColumn id="10" xr3:uid="{BDD0FC2D-5D33-CC4E-ABE8-CD3349F54316}" name="TOTAAL alles" dataDxfId="29">
      <calculatedColumnFormula>SUM(Table135[[#This Row],['#punten]:[19]])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9420C-4FD5-384A-97AD-9572D02535FB}" name="Table134" displayName="Table134" ref="A1:Z256" totalsRowShown="0" headerRowDxfId="28" dataDxfId="27" tableBorderDxfId="26">
  <autoFilter ref="A1:Z256" xr:uid="{B879420C-4FD5-384A-97AD-9572D02535FB}"/>
  <sortState xmlns:xlrd2="http://schemas.microsoft.com/office/spreadsheetml/2017/richdata2" ref="A2:Z256">
    <sortCondition ref="D1:D256"/>
  </sortState>
  <tableColumns count="26">
    <tableColumn id="1" xr3:uid="{EBB04AE0-2741-C145-A051-C263AB9E9C65}" name="Speler" dataDxfId="25" dataCellStyle="Neutral"/>
    <tableColumn id="2" xr3:uid="{89A40052-2F6B-6E43-9226-FC94AE1E9C66}" name="Club" dataDxfId="24"/>
    <tableColumn id="3" xr3:uid="{943140FF-7268-B443-8FD8-D18C8AF59EEE}" name="Prijs" dataDxfId="23"/>
    <tableColumn id="4" xr3:uid="{CB1A2D89-2259-2342-B308-46DE8C94AA10}" name="POS" dataDxfId="22"/>
    <tableColumn id="5" xr3:uid="{527F11C0-FD7F-984F-B0E2-7EB49C7518B6}" name="Age" dataDxfId="21"/>
    <tableColumn id="6" xr3:uid="{9A82CC17-904F-8C42-9F74-079F2BE4DF62}" name="Land" dataDxfId="20"/>
    <tableColumn id="7" xr3:uid="{25D387F5-7B73-AB4A-A134-1AC19A7B7E8F}" name="#punten" dataDxfId="19"/>
    <tableColumn id="8" xr3:uid="{B22EE27E-7335-A040-894E-2EC2D40AD24E}" name="laatste 5 wed." dataDxfId="18"/>
    <tableColumn id="9" xr3:uid="{FB1A49B4-1A3C-2549-8CB5-07F0A54E6098}" name="%laatste 5" dataDxfId="17">
      <calculatedColumnFormula>ROUND(Table134[[#This Row],[laatste 5 wed.]]/Table134[[#This Row],['#punten]]*100,2)</calculatedColumnFormula>
    </tableColumn>
    <tableColumn id="10" xr3:uid="{0A94A507-F63E-5046-8B44-56938D1D87CE}" name="#Wed" dataDxfId="16"/>
    <tableColumn id="11" xr3:uid="{5AA7F9BF-EDC5-134E-AB6D-EDE00121A921}" name="#basis" dataDxfId="15"/>
    <tableColumn id="12" xr3:uid="{80A26227-62EC-1540-B90C-683700E73534}" name="#minuten" dataDxfId="14"/>
    <tableColumn id="13" xr3:uid="{82623ECC-7EAB-244F-ADB1-46CC0419D180}" name="Min laatste 5" dataDxfId="13"/>
    <tableColumn id="14" xr3:uid="{B502D381-3A98-DD41-80B0-31CA4ED02937}" name="%min laatste 5" dataDxfId="12"/>
    <tableColumn id="15" xr3:uid="{043D674F-DEBD-2F44-B9B2-749E250F93BD}" name="Goals" dataDxfId="11"/>
    <tableColumn id="16" xr3:uid="{938D9762-7617-E040-802F-223B5753506A}" name="Asissts" dataDxfId="10"/>
    <tableColumn id="17" xr3:uid="{67125133-A3C5-7E4F-854C-2A34B09E111A}" name="#geel" dataDxfId="9"/>
    <tableColumn id="18" xr3:uid="{2AE494C6-01A1-0341-A801-67AB9A09A958}" name="#Rood" dataDxfId="8"/>
    <tableColumn id="19" xr3:uid="{DF9F88F0-76E7-DF49-A00C-D3CC165CCB8F}" name="#de nul" dataDxfId="7"/>
    <tableColumn id="20" xr3:uid="{F072EF9E-FE9F-A942-9A44-C18F52789A3C}" name="Pt/wedstrijd" dataDxfId="6">
      <calculatedColumnFormula>ROUND(Table134[[#This Row],['#punten]]/Table134[[#This Row],['#Wed]],2)</calculatedColumnFormula>
    </tableColumn>
    <tableColumn id="21" xr3:uid="{FBCE5D5C-E93F-D34B-B5E3-B6DA28153899}" name="Pt/minuut" dataDxfId="5">
      <calculatedColumnFormula>ROUND(Table134[[#This Row],['#punten]]/Table134[[#This Row],['#minuten]],2)</calculatedColumnFormula>
    </tableColumn>
    <tableColumn id="22" xr3:uid="{0433C941-874F-F844-BECA-42CC2AAF4326}" name="Pt/90 min" dataDxfId="4">
      <calculatedColumnFormula>ROUND(Table134[[#This Row],['#punten]]/(Table134[[#This Row],['#minuten]]/90),2)</calculatedColumnFormula>
    </tableColumn>
    <tableColumn id="23" xr3:uid="{BD9056CF-64B4-C245-8CDF-7B6384669051}" name="Geld/pt" dataDxfId="3">
      <calculatedColumnFormula>ROUND(Table134[[#This Row],[Prijs]]/Table134[[#This Row],['#punten]],0)</calculatedColumnFormula>
    </tableColumn>
    <tableColumn id="24" xr3:uid="{962B49C9-36DB-524C-99FB-D29583F63B13}" name="G/A per 90 min" dataDxfId="2">
      <calculatedColumnFormula>ROUND((Table134[[#This Row],[Goals]]+Table134[[#This Row],[Asissts]])/(Table134[[#This Row],['#minuten]]/90),2)</calculatedColumnFormula>
    </tableColumn>
    <tableColumn id="27" xr3:uid="{32DD81C9-76F3-424A-9136-24986712408B}" name="Tegengoals/wed" dataDxfId="1"/>
    <tableColumn id="25" xr3:uid="{258C3A5B-5722-1C4C-BD11-568ED15D6C85}" name="Bijzonderhed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9C23-6B8A-6C41-8E1D-F8DE13B4F392}">
  <dimension ref="A1:Y239"/>
  <sheetViews>
    <sheetView tabSelected="1" zoomScale="75" workbookViewId="0">
      <selection activeCell="M15" sqref="M15"/>
    </sheetView>
  </sheetViews>
  <sheetFormatPr baseColWidth="10" defaultRowHeight="16" x14ac:dyDescent="0.2"/>
  <cols>
    <col min="1" max="1" width="17.1640625" bestFit="1" customWidth="1"/>
    <col min="2" max="2" width="5" bestFit="1" customWidth="1"/>
    <col min="4" max="4" width="4.83203125" bestFit="1" customWidth="1"/>
    <col min="5" max="5" width="4.33203125" bestFit="1" customWidth="1"/>
    <col min="6" max="6" width="5.33203125" bestFit="1" customWidth="1"/>
    <col min="24" max="24" width="14.83203125" customWidth="1"/>
    <col min="25" max="25" width="16.33203125" bestFit="1" customWidth="1"/>
  </cols>
  <sheetData>
    <row r="1" spans="1:25" x14ac:dyDescent="0.2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s="65" t="s">
        <v>373</v>
      </c>
      <c r="R1" s="19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118</v>
      </c>
    </row>
    <row r="2" spans="1:25" x14ac:dyDescent="0.2">
      <c r="A2" s="11" t="s">
        <v>314</v>
      </c>
      <c r="B2" s="28" t="s">
        <v>49</v>
      </c>
      <c r="C2" s="29">
        <v>1750000</v>
      </c>
      <c r="D2" s="30" t="s">
        <v>135</v>
      </c>
      <c r="E2" s="30">
        <v>20</v>
      </c>
      <c r="F2" s="30" t="s">
        <v>141</v>
      </c>
      <c r="G2" s="31">
        <v>142</v>
      </c>
      <c r="H2" s="32">
        <v>142</v>
      </c>
      <c r="I2" s="32">
        <f>Table1[[#This Row],[laatste 5 wed.]]/Table1[[#This Row],['#punten]]*100</f>
        <v>100</v>
      </c>
      <c r="J2" s="30">
        <v>3</v>
      </c>
      <c r="K2" s="30">
        <v>0</v>
      </c>
      <c r="L2" s="30">
        <v>81</v>
      </c>
      <c r="M2" s="30">
        <v>81</v>
      </c>
      <c r="N2" s="30">
        <f>Table1[[#This Row],[Min laatste 5]]/Table1[[#This Row],['#minuten]]*100</f>
        <v>100</v>
      </c>
      <c r="O2" s="30">
        <v>0</v>
      </c>
      <c r="P2" s="30">
        <v>2</v>
      </c>
      <c r="Q2" s="32">
        <v>0</v>
      </c>
      <c r="R2" s="30">
        <v>0</v>
      </c>
      <c r="S2" s="30">
        <v>1</v>
      </c>
      <c r="T2" s="33">
        <f>ROUND(Table1[[#This Row],['#punten]]/Table1[[#This Row],['#Wed]],1)</f>
        <v>47.3</v>
      </c>
      <c r="U2" s="31">
        <f>ROUND(Table1[[#This Row],['#punten]]/Table1[[#This Row],['#minuten]],2)</f>
        <v>1.75</v>
      </c>
      <c r="V2" s="30">
        <f>ROUND((Table1[[#This Row],['#punten]]/(Table1[[#This Row],['#minuten]]/90)),2)</f>
        <v>157.78</v>
      </c>
      <c r="W2" s="30">
        <f>ROUND(Table1[[#This Row],[Prijs]]/Table1[[#This Row],['#punten]],0)</f>
        <v>12324</v>
      </c>
      <c r="X2" s="34">
        <f>ROUND((Table1[[#This Row],[Goals]]+Table1[[#This Row],[Asissts]])/(Table1[[#This Row],['#minuten]]/90),2)</f>
        <v>2.2200000000000002</v>
      </c>
    </row>
    <row r="3" spans="1:25" x14ac:dyDescent="0.2">
      <c r="A3" s="11" t="s">
        <v>168</v>
      </c>
      <c r="B3" s="21" t="s">
        <v>6</v>
      </c>
      <c r="C3" s="22">
        <v>4000000</v>
      </c>
      <c r="D3" s="23" t="s">
        <v>135</v>
      </c>
      <c r="E3" s="23">
        <v>24</v>
      </c>
      <c r="F3" s="23" t="s">
        <v>169</v>
      </c>
      <c r="G3" s="24">
        <v>490</v>
      </c>
      <c r="H3" s="25">
        <v>490</v>
      </c>
      <c r="I3" s="25">
        <f>Table1[[#This Row],[laatste 5 wed.]]/Table1[[#This Row],['#punten]]*100</f>
        <v>100</v>
      </c>
      <c r="J3" s="23">
        <v>3</v>
      </c>
      <c r="K3" s="23">
        <v>3</v>
      </c>
      <c r="L3" s="23">
        <v>262</v>
      </c>
      <c r="M3" s="23">
        <v>262</v>
      </c>
      <c r="N3" s="23">
        <f>Table1[[#This Row],[Min laatste 5]]/Table1[[#This Row],['#minuten]]*100</f>
        <v>100</v>
      </c>
      <c r="O3" s="23">
        <v>5</v>
      </c>
      <c r="P3" s="23">
        <v>1</v>
      </c>
      <c r="Q3" s="25">
        <v>0</v>
      </c>
      <c r="R3" s="23">
        <v>0</v>
      </c>
      <c r="S3" s="23">
        <v>1</v>
      </c>
      <c r="T3" s="26">
        <f>ROUND(Table1[[#This Row],['#punten]]/Table1[[#This Row],['#Wed]],1)</f>
        <v>163.30000000000001</v>
      </c>
      <c r="U3" s="24">
        <f>ROUND(Table1[[#This Row],['#punten]]/Table1[[#This Row],['#minuten]],2)</f>
        <v>1.87</v>
      </c>
      <c r="V3" s="23">
        <f>ROUND((Table1[[#This Row],['#punten]]/(Table1[[#This Row],['#minuten]]/90)),2)</f>
        <v>168.32</v>
      </c>
      <c r="W3" s="23">
        <f>ROUND(Table1[[#This Row],[Prijs]]/Table1[[#This Row],['#punten]],0)</f>
        <v>8163</v>
      </c>
      <c r="X3" s="27">
        <f>ROUND((Table1[[#This Row],[Goals]]+Table1[[#This Row],[Asissts]])/(Table1[[#This Row],['#minuten]]/90),2)</f>
        <v>2.06</v>
      </c>
    </row>
    <row r="4" spans="1:25" x14ac:dyDescent="0.2">
      <c r="A4" s="11" t="s">
        <v>341</v>
      </c>
      <c r="B4" s="28" t="s">
        <v>51</v>
      </c>
      <c r="C4" s="29">
        <v>1000000</v>
      </c>
      <c r="D4" s="30" t="s">
        <v>135</v>
      </c>
      <c r="E4" s="30">
        <v>34</v>
      </c>
      <c r="F4" s="30" t="s">
        <v>51</v>
      </c>
      <c r="G4" s="31">
        <v>44</v>
      </c>
      <c r="H4" s="32">
        <v>44</v>
      </c>
      <c r="I4" s="32">
        <f>Table1[[#This Row],[laatste 5 wed.]]/Table1[[#This Row],['#punten]]*100</f>
        <v>100</v>
      </c>
      <c r="J4" s="30">
        <v>1</v>
      </c>
      <c r="K4" s="30">
        <v>1</v>
      </c>
      <c r="L4" s="30">
        <v>45</v>
      </c>
      <c r="M4" s="30">
        <v>45</v>
      </c>
      <c r="N4" s="30">
        <f>Table1[[#This Row],[Min laatste 5]]/Table1[[#This Row],['#minuten]]*100</f>
        <v>100</v>
      </c>
      <c r="O4" s="30">
        <v>1</v>
      </c>
      <c r="P4" s="30">
        <v>0</v>
      </c>
      <c r="Q4" s="32">
        <v>0</v>
      </c>
      <c r="R4" s="30">
        <v>1</v>
      </c>
      <c r="S4" s="30">
        <v>0</v>
      </c>
      <c r="T4" s="33">
        <f>ROUND(Table1[[#This Row],['#punten]]/Table1[[#This Row],['#Wed]],1)</f>
        <v>44</v>
      </c>
      <c r="U4" s="31">
        <f>ROUND(Table1[[#This Row],['#punten]]/Table1[[#This Row],['#minuten]],2)</f>
        <v>0.98</v>
      </c>
      <c r="V4" s="30">
        <f>ROUND((Table1[[#This Row],['#punten]]/(Table1[[#This Row],['#minuten]]/90)),2)</f>
        <v>88</v>
      </c>
      <c r="W4" s="30">
        <f>ROUND(Table1[[#This Row],[Prijs]]/Table1[[#This Row],['#punten]],0)</f>
        <v>22727</v>
      </c>
      <c r="X4" s="34">
        <f>ROUND((Table1[[#This Row],[Goals]]+Table1[[#This Row],[Asissts]])/(Table1[[#This Row],['#minuten]]/90),2)</f>
        <v>2</v>
      </c>
    </row>
    <row r="5" spans="1:25" x14ac:dyDescent="0.2">
      <c r="A5" s="11" t="s">
        <v>172</v>
      </c>
      <c r="B5" s="28" t="s">
        <v>6</v>
      </c>
      <c r="C5" s="29">
        <v>1500000</v>
      </c>
      <c r="D5" s="30" t="s">
        <v>135</v>
      </c>
      <c r="E5" s="30">
        <v>19</v>
      </c>
      <c r="F5" s="30" t="s">
        <v>141</v>
      </c>
      <c r="G5" s="31">
        <v>196</v>
      </c>
      <c r="H5" s="32">
        <v>196</v>
      </c>
      <c r="I5" s="32">
        <f>Table1[[#This Row],[laatste 5 wed.]]/Table1[[#This Row],['#punten]]*100</f>
        <v>100</v>
      </c>
      <c r="J5" s="30">
        <v>3</v>
      </c>
      <c r="K5" s="30">
        <v>1</v>
      </c>
      <c r="L5" s="30">
        <v>144</v>
      </c>
      <c r="M5" s="30">
        <v>144</v>
      </c>
      <c r="N5" s="30">
        <f>Table1[[#This Row],[Min laatste 5]]/Table1[[#This Row],['#minuten]]*100</f>
        <v>100</v>
      </c>
      <c r="O5" s="30">
        <v>0</v>
      </c>
      <c r="P5" s="30">
        <v>3</v>
      </c>
      <c r="Q5" s="32">
        <v>1</v>
      </c>
      <c r="R5" s="30">
        <v>0</v>
      </c>
      <c r="S5" s="30">
        <v>1</v>
      </c>
      <c r="T5" s="33">
        <f>ROUND(Table1[[#This Row],['#punten]]/Table1[[#This Row],['#Wed]],1)</f>
        <v>65.3</v>
      </c>
      <c r="U5" s="31">
        <f>ROUND(Table1[[#This Row],['#punten]]/Table1[[#This Row],['#minuten]],2)</f>
        <v>1.36</v>
      </c>
      <c r="V5" s="30">
        <f>ROUND((Table1[[#This Row],['#punten]]/(Table1[[#This Row],['#minuten]]/90)),2)</f>
        <v>122.5</v>
      </c>
      <c r="W5" s="30">
        <f>ROUND(Table1[[#This Row],[Prijs]]/Table1[[#This Row],['#punten]],0)</f>
        <v>7653</v>
      </c>
      <c r="X5" s="34">
        <f>ROUND((Table1[[#This Row],[Goals]]+Table1[[#This Row],[Asissts]])/(Table1[[#This Row],['#minuten]]/90),2)</f>
        <v>1.88</v>
      </c>
    </row>
    <row r="6" spans="1:25" x14ac:dyDescent="0.2">
      <c r="A6" s="11" t="s">
        <v>269</v>
      </c>
      <c r="B6" s="28" t="s">
        <v>11</v>
      </c>
      <c r="C6" s="29">
        <v>5000000</v>
      </c>
      <c r="D6" s="30" t="s">
        <v>135</v>
      </c>
      <c r="E6" s="30">
        <v>33</v>
      </c>
      <c r="F6" s="30" t="s">
        <v>141</v>
      </c>
      <c r="G6" s="31">
        <v>362</v>
      </c>
      <c r="H6" s="32">
        <v>362</v>
      </c>
      <c r="I6" s="32">
        <f>Table1[[#This Row],[laatste 5 wed.]]/Table1[[#This Row],['#punten]]*100</f>
        <v>100</v>
      </c>
      <c r="J6" s="30">
        <v>3</v>
      </c>
      <c r="K6" s="30">
        <v>3</v>
      </c>
      <c r="L6" s="30">
        <v>243</v>
      </c>
      <c r="M6" s="30">
        <v>243</v>
      </c>
      <c r="N6" s="30">
        <f>Table1[[#This Row],[Min laatste 5]]/Table1[[#This Row],['#minuten]]*100</f>
        <v>100</v>
      </c>
      <c r="O6" s="30">
        <v>2</v>
      </c>
      <c r="P6" s="30">
        <v>3</v>
      </c>
      <c r="Q6" s="32">
        <v>0</v>
      </c>
      <c r="R6" s="30">
        <v>0</v>
      </c>
      <c r="S6" s="30">
        <v>2</v>
      </c>
      <c r="T6" s="33">
        <f>ROUND(Table1[[#This Row],['#punten]]/Table1[[#This Row],['#Wed]],1)</f>
        <v>120.7</v>
      </c>
      <c r="U6" s="31">
        <f>ROUND(Table1[[#This Row],['#punten]]/Table1[[#This Row],['#minuten]],2)</f>
        <v>1.49</v>
      </c>
      <c r="V6" s="30">
        <f>ROUND((Table1[[#This Row],['#punten]]/(Table1[[#This Row],['#minuten]]/90)),2)</f>
        <v>134.07</v>
      </c>
      <c r="W6" s="30">
        <f>ROUND(Table1[[#This Row],[Prijs]]/Table1[[#This Row],['#punten]],0)</f>
        <v>13812</v>
      </c>
      <c r="X6" s="34">
        <f>ROUND((Table1[[#This Row],[Goals]]+Table1[[#This Row],[Asissts]])/(Table1[[#This Row],['#minuten]]/90),2)</f>
        <v>1.85</v>
      </c>
      <c r="Y6" t="s">
        <v>395</v>
      </c>
    </row>
    <row r="7" spans="1:25" x14ac:dyDescent="0.2">
      <c r="A7" s="11" t="s">
        <v>313</v>
      </c>
      <c r="B7" s="28" t="s">
        <v>49</v>
      </c>
      <c r="C7" s="29">
        <v>2500000</v>
      </c>
      <c r="D7" s="30" t="s">
        <v>135</v>
      </c>
      <c r="E7" s="30">
        <v>34</v>
      </c>
      <c r="F7" s="30" t="s">
        <v>141</v>
      </c>
      <c r="G7" s="31">
        <v>348</v>
      </c>
      <c r="H7" s="32">
        <v>348</v>
      </c>
      <c r="I7" s="32">
        <f>Table1[[#This Row],[laatste 5 wed.]]/Table1[[#This Row],['#punten]]*100</f>
        <v>100</v>
      </c>
      <c r="J7" s="30">
        <v>3</v>
      </c>
      <c r="K7" s="30">
        <v>1</v>
      </c>
      <c r="L7" s="30">
        <v>157</v>
      </c>
      <c r="M7" s="30">
        <v>157</v>
      </c>
      <c r="N7" s="30">
        <f>Table1[[#This Row],[Min laatste 5]]/Table1[[#This Row],['#minuten]]*100</f>
        <v>100</v>
      </c>
      <c r="O7" s="30">
        <v>3</v>
      </c>
      <c r="P7" s="30">
        <v>0</v>
      </c>
      <c r="Q7" s="32">
        <v>0</v>
      </c>
      <c r="R7" s="30">
        <v>0</v>
      </c>
      <c r="S7" s="30">
        <v>0</v>
      </c>
      <c r="T7" s="33">
        <f>ROUND(Table1[[#This Row],['#punten]]/Table1[[#This Row],['#Wed]],1)</f>
        <v>116</v>
      </c>
      <c r="U7" s="31">
        <f>ROUND(Table1[[#This Row],['#punten]]/Table1[[#This Row],['#minuten]],2)</f>
        <v>2.2200000000000002</v>
      </c>
      <c r="V7" s="30">
        <f>ROUND((Table1[[#This Row],['#punten]]/(Table1[[#This Row],['#minuten]]/90)),2)</f>
        <v>199.49</v>
      </c>
      <c r="W7" s="30">
        <f>ROUND(Table1[[#This Row],[Prijs]]/Table1[[#This Row],['#punten]],0)</f>
        <v>7184</v>
      </c>
      <c r="X7" s="34">
        <f>ROUND((Table1[[#This Row],[Goals]]+Table1[[#This Row],[Asissts]])/(Table1[[#This Row],['#minuten]]/90),2)</f>
        <v>1.72</v>
      </c>
    </row>
    <row r="8" spans="1:25" x14ac:dyDescent="0.2">
      <c r="A8" s="11" t="s">
        <v>190</v>
      </c>
      <c r="B8" s="28" t="s">
        <v>44</v>
      </c>
      <c r="C8" s="29">
        <v>750000</v>
      </c>
      <c r="D8" s="30" t="s">
        <v>135</v>
      </c>
      <c r="E8" s="30">
        <v>23</v>
      </c>
      <c r="F8" s="30" t="s">
        <v>141</v>
      </c>
      <c r="G8" s="31">
        <v>370</v>
      </c>
      <c r="H8" s="32">
        <v>370</v>
      </c>
      <c r="I8" s="32">
        <f>Table1[[#This Row],[laatste 5 wed.]]/Table1[[#This Row],['#punten]]*100</f>
        <v>100</v>
      </c>
      <c r="J8" s="30">
        <v>4</v>
      </c>
      <c r="K8" s="30">
        <v>4</v>
      </c>
      <c r="L8" s="30">
        <v>224</v>
      </c>
      <c r="M8" s="30">
        <v>224</v>
      </c>
      <c r="N8" s="30">
        <f>Table1[[#This Row],[Min laatste 5]]/Table1[[#This Row],['#minuten]]*100</f>
        <v>100</v>
      </c>
      <c r="O8" s="30">
        <v>4</v>
      </c>
      <c r="P8" s="30">
        <v>0</v>
      </c>
      <c r="Q8" s="32">
        <v>0</v>
      </c>
      <c r="R8" s="30">
        <v>0</v>
      </c>
      <c r="S8" s="30">
        <v>0</v>
      </c>
      <c r="T8" s="33">
        <f>ROUND(Table1[[#This Row],['#punten]]/Table1[[#This Row],['#Wed]],1)</f>
        <v>92.5</v>
      </c>
      <c r="U8" s="24">
        <f>ROUND(Table1[[#This Row],['#punten]]/Table1[[#This Row],['#minuten]],2)</f>
        <v>1.65</v>
      </c>
      <c r="V8" s="30">
        <f>ROUND((Table1[[#This Row],['#punten]]/(Table1[[#This Row],['#minuten]]/90)),2)</f>
        <v>148.66</v>
      </c>
      <c r="W8" s="29">
        <f>ROUND(Table1[[#This Row],[Prijs]]/Table1[[#This Row],['#punten]],0)</f>
        <v>2027</v>
      </c>
      <c r="X8" s="34">
        <f>ROUND((Table1[[#This Row],[Goals]]+Table1[[#This Row],[Asissts]])/(Table1[[#This Row],['#minuten]]/90),2)</f>
        <v>1.61</v>
      </c>
    </row>
    <row r="9" spans="1:25" x14ac:dyDescent="0.2">
      <c r="A9" s="11" t="s">
        <v>298</v>
      </c>
      <c r="B9" s="28" t="s">
        <v>47</v>
      </c>
      <c r="C9" s="29">
        <v>750000</v>
      </c>
      <c r="D9" s="30" t="s">
        <v>135</v>
      </c>
      <c r="E9" s="30">
        <v>25</v>
      </c>
      <c r="F9" s="30" t="s">
        <v>299</v>
      </c>
      <c r="G9" s="31">
        <v>162</v>
      </c>
      <c r="H9" s="32">
        <v>162</v>
      </c>
      <c r="I9" s="32">
        <f>Table1[[#This Row],[laatste 5 wed.]]/Table1[[#This Row],['#punten]]*100</f>
        <v>100</v>
      </c>
      <c r="J9" s="30">
        <v>4</v>
      </c>
      <c r="K9" s="30">
        <v>1</v>
      </c>
      <c r="L9" s="30">
        <v>112</v>
      </c>
      <c r="M9" s="30">
        <v>112</v>
      </c>
      <c r="N9" s="30">
        <f>Table1[[#This Row],[Min laatste 5]]/Table1[[#This Row],['#minuten]]*100</f>
        <v>100</v>
      </c>
      <c r="O9" s="30">
        <v>2</v>
      </c>
      <c r="P9" s="30">
        <v>0</v>
      </c>
      <c r="Q9" s="32">
        <v>0</v>
      </c>
      <c r="R9" s="30">
        <v>0</v>
      </c>
      <c r="S9" s="30">
        <v>0</v>
      </c>
      <c r="T9" s="33">
        <f>ROUND(Table1[[#This Row],['#punten]]/Table1[[#This Row],['#Wed]],1)</f>
        <v>40.5</v>
      </c>
      <c r="U9" s="31">
        <f>ROUND(Table1[[#This Row],['#punten]]/Table1[[#This Row],['#minuten]],2)</f>
        <v>1.45</v>
      </c>
      <c r="V9" s="30">
        <f>ROUND((Table1[[#This Row],['#punten]]/(Table1[[#This Row],['#minuten]]/90)),2)</f>
        <v>130.18</v>
      </c>
      <c r="W9" s="30">
        <f>ROUND(Table1[[#This Row],[Prijs]]/Table1[[#This Row],['#punten]],0)</f>
        <v>4630</v>
      </c>
      <c r="X9" s="34">
        <f>ROUND((Table1[[#This Row],[Goals]]+Table1[[#This Row],[Asissts]])/(Table1[[#This Row],['#minuten]]/90),2)</f>
        <v>1.61</v>
      </c>
    </row>
    <row r="10" spans="1:25" x14ac:dyDescent="0.2">
      <c r="A10" s="11" t="s">
        <v>171</v>
      </c>
      <c r="B10" s="28" t="s">
        <v>6</v>
      </c>
      <c r="C10" s="29">
        <v>1750000</v>
      </c>
      <c r="D10" s="30" t="s">
        <v>135</v>
      </c>
      <c r="E10" s="30">
        <v>19</v>
      </c>
      <c r="F10" s="30" t="s">
        <v>141</v>
      </c>
      <c r="G10" s="31">
        <v>188</v>
      </c>
      <c r="H10" s="32">
        <v>188</v>
      </c>
      <c r="I10" s="32">
        <f>Table1[[#This Row],[laatste 5 wed.]]/Table1[[#This Row],['#punten]]*100</f>
        <v>100</v>
      </c>
      <c r="J10" s="30">
        <v>3</v>
      </c>
      <c r="K10" s="30">
        <v>2</v>
      </c>
      <c r="L10" s="30">
        <v>125</v>
      </c>
      <c r="M10" s="30">
        <v>125</v>
      </c>
      <c r="N10" s="30">
        <f>Table1[[#This Row],[Min laatste 5]]/Table1[[#This Row],['#minuten]]*100</f>
        <v>100</v>
      </c>
      <c r="O10" s="30">
        <v>1</v>
      </c>
      <c r="P10" s="30">
        <v>1</v>
      </c>
      <c r="Q10" s="32">
        <v>0</v>
      </c>
      <c r="R10" s="30">
        <v>0</v>
      </c>
      <c r="S10" s="30">
        <v>0</v>
      </c>
      <c r="T10" s="33">
        <f>ROUND(Table1[[#This Row],['#punten]]/Table1[[#This Row],['#Wed]],1)</f>
        <v>62.7</v>
      </c>
      <c r="U10" s="31">
        <f>ROUND(Table1[[#This Row],['#punten]]/Table1[[#This Row],['#minuten]],2)</f>
        <v>1.5</v>
      </c>
      <c r="V10" s="30">
        <f>ROUND((Table1[[#This Row],['#punten]]/(Table1[[#This Row],['#minuten]]/90)),2)</f>
        <v>135.36000000000001</v>
      </c>
      <c r="W10" s="30">
        <f>ROUND(Table1[[#This Row],[Prijs]]/Table1[[#This Row],['#punten]],0)</f>
        <v>9309</v>
      </c>
      <c r="X10" s="34">
        <f>ROUND((Table1[[#This Row],[Goals]]+Table1[[#This Row],[Asissts]])/(Table1[[#This Row],['#minuten]]/90),2)</f>
        <v>1.44</v>
      </c>
    </row>
    <row r="11" spans="1:25" x14ac:dyDescent="0.2">
      <c r="A11" s="11" t="s">
        <v>371</v>
      </c>
      <c r="B11" s="28" t="s">
        <v>11</v>
      </c>
      <c r="C11" s="29">
        <v>2500000</v>
      </c>
      <c r="D11" s="30" t="s">
        <v>135</v>
      </c>
      <c r="E11" s="30">
        <v>22</v>
      </c>
      <c r="F11" s="30" t="s">
        <v>167</v>
      </c>
      <c r="G11" s="31">
        <v>238</v>
      </c>
      <c r="H11" s="32">
        <v>238</v>
      </c>
      <c r="I11" s="32">
        <f>Table1[[#This Row],[laatste 5 wed.]]/Table1[[#This Row],['#punten]]*100</f>
        <v>100</v>
      </c>
      <c r="J11" s="30">
        <v>3</v>
      </c>
      <c r="K11" s="30">
        <v>1</v>
      </c>
      <c r="L11" s="30">
        <v>128</v>
      </c>
      <c r="M11" s="30">
        <v>128</v>
      </c>
      <c r="N11" s="30">
        <f>Table1[[#This Row],[Min laatste 5]]/Table1[[#This Row],['#minuten]]*100</f>
        <v>100</v>
      </c>
      <c r="O11" s="30">
        <v>2</v>
      </c>
      <c r="P11" s="30">
        <v>0</v>
      </c>
      <c r="Q11" s="32">
        <v>0</v>
      </c>
      <c r="R11" s="30">
        <v>0</v>
      </c>
      <c r="S11" s="30">
        <v>0</v>
      </c>
      <c r="T11" s="33">
        <f>ROUND(Table1[[#This Row],['#punten]]/Table1[[#This Row],['#Wed]],1)</f>
        <v>79.3</v>
      </c>
      <c r="U11" s="31">
        <f>ROUND(Table1[[#This Row],['#punten]]/Table1[[#This Row],['#minuten]],2)</f>
        <v>1.86</v>
      </c>
      <c r="V11" s="30">
        <f>ROUND((Table1[[#This Row],['#punten]]/(Table1[[#This Row],['#minuten]]/90)),2)</f>
        <v>167.34</v>
      </c>
      <c r="W11" s="30">
        <f>ROUND(Table1[[#This Row],[Prijs]]/Table1[[#This Row],['#punten]],0)</f>
        <v>10504</v>
      </c>
      <c r="X11" s="34">
        <f>ROUND((Table1[[#This Row],[Goals]]+Table1[[#This Row],[Asissts]])/(Table1[[#This Row],['#minuten]]/90),2)</f>
        <v>1.41</v>
      </c>
    </row>
    <row r="12" spans="1:25" x14ac:dyDescent="0.2">
      <c r="A12" s="11" t="s">
        <v>33</v>
      </c>
      <c r="B12" s="21" t="s">
        <v>45</v>
      </c>
      <c r="C12" s="22">
        <v>6000000</v>
      </c>
      <c r="D12" s="23" t="s">
        <v>135</v>
      </c>
      <c r="E12" s="23">
        <v>22</v>
      </c>
      <c r="F12" s="23" t="s">
        <v>192</v>
      </c>
      <c r="G12" s="24">
        <v>480</v>
      </c>
      <c r="H12" s="25">
        <v>480</v>
      </c>
      <c r="I12" s="25">
        <f>Table1[[#This Row],[laatste 5 wed.]]/Table1[[#This Row],['#punten]]*100</f>
        <v>100</v>
      </c>
      <c r="J12" s="23">
        <v>4</v>
      </c>
      <c r="K12" s="23">
        <v>4</v>
      </c>
      <c r="L12" s="23">
        <v>324</v>
      </c>
      <c r="M12" s="23">
        <v>324</v>
      </c>
      <c r="N12" s="23">
        <f>Table1[[#This Row],[Min laatste 5]]/Table1[[#This Row],['#minuten]]*100</f>
        <v>100</v>
      </c>
      <c r="O12" s="23">
        <v>5</v>
      </c>
      <c r="P12" s="23">
        <v>0</v>
      </c>
      <c r="Q12" s="25">
        <v>0</v>
      </c>
      <c r="R12" s="23">
        <v>0</v>
      </c>
      <c r="S12" s="23">
        <v>1</v>
      </c>
      <c r="T12" s="26">
        <f>ROUND(Table1[[#This Row],['#punten]]/Table1[[#This Row],['#Wed]],1)</f>
        <v>120</v>
      </c>
      <c r="U12" s="24">
        <f>ROUND(Table1[[#This Row],['#punten]]/Table1[[#This Row],['#minuten]],2)</f>
        <v>1.48</v>
      </c>
      <c r="V12" s="23">
        <f>ROUND((Table1[[#This Row],['#punten]]/(Table1[[#This Row],['#minuten]]/90)),2)</f>
        <v>133.33000000000001</v>
      </c>
      <c r="W12" s="23">
        <f>ROUND(Table1[[#This Row],[Prijs]]/Table1[[#This Row],['#punten]],0)</f>
        <v>12500</v>
      </c>
      <c r="X12" s="27">
        <f>ROUND((Table1[[#This Row],[Goals]]+Table1[[#This Row],[Asissts]])/(Table1[[#This Row],['#minuten]]/90),2)</f>
        <v>1.39</v>
      </c>
      <c r="Y12" t="s">
        <v>395</v>
      </c>
    </row>
    <row r="13" spans="1:25" x14ac:dyDescent="0.2">
      <c r="A13" s="11" t="s">
        <v>133</v>
      </c>
      <c r="B13" s="28" t="s">
        <v>48</v>
      </c>
      <c r="C13" s="29">
        <v>1750000</v>
      </c>
      <c r="D13" s="30" t="s">
        <v>135</v>
      </c>
      <c r="E13" s="30">
        <v>22</v>
      </c>
      <c r="F13" s="30" t="s">
        <v>179</v>
      </c>
      <c r="G13" s="24">
        <v>408</v>
      </c>
      <c r="H13" s="25">
        <v>408</v>
      </c>
      <c r="I13" s="25">
        <f>Table1[[#This Row],[laatste 5 wed.]]/Table1[[#This Row],['#punten]]*100</f>
        <v>100</v>
      </c>
      <c r="J13" s="23">
        <v>4</v>
      </c>
      <c r="K13" s="23">
        <v>3</v>
      </c>
      <c r="L13" s="23">
        <v>283</v>
      </c>
      <c r="M13" s="23">
        <v>283</v>
      </c>
      <c r="N13" s="23">
        <f>Table1[[#This Row],[Min laatste 5]]/Table1[[#This Row],['#minuten]]*100</f>
        <v>100</v>
      </c>
      <c r="O13" s="23">
        <v>3</v>
      </c>
      <c r="P13" s="23">
        <v>1</v>
      </c>
      <c r="Q13" s="25">
        <v>0</v>
      </c>
      <c r="R13" s="23">
        <v>0</v>
      </c>
      <c r="S13" s="23">
        <v>1</v>
      </c>
      <c r="T13" s="33">
        <f>ROUND(Table1[[#This Row],['#punten]]/Table1[[#This Row],['#Wed]],1)</f>
        <v>102</v>
      </c>
      <c r="U13" s="31">
        <f>ROUND(Table1[[#This Row],['#punten]]/Table1[[#This Row],['#minuten]],2)</f>
        <v>1.44</v>
      </c>
      <c r="V13" s="30">
        <f>ROUND((Table1[[#This Row],['#punten]]/(Table1[[#This Row],['#minuten]]/90)),2)</f>
        <v>129.75</v>
      </c>
      <c r="W13" s="30">
        <f>ROUND(Table1[[#This Row],[Prijs]]/Table1[[#This Row],['#punten]],0)</f>
        <v>4289</v>
      </c>
      <c r="X13" s="34">
        <f>ROUND((Table1[[#This Row],[Goals]]+Table1[[#This Row],[Asissts]])/(Table1[[#This Row],['#minuten]]/90),2)</f>
        <v>1.27</v>
      </c>
    </row>
    <row r="14" spans="1:25" x14ac:dyDescent="0.2">
      <c r="A14" s="11" t="s">
        <v>34</v>
      </c>
      <c r="B14" s="106" t="s">
        <v>11</v>
      </c>
      <c r="C14" s="107">
        <v>4000000</v>
      </c>
      <c r="D14" s="108" t="s">
        <v>135</v>
      </c>
      <c r="E14" s="108">
        <v>24</v>
      </c>
      <c r="F14" s="108" t="s">
        <v>141</v>
      </c>
      <c r="G14" s="109">
        <v>220</v>
      </c>
      <c r="H14" s="110">
        <v>220</v>
      </c>
      <c r="I14" s="110">
        <f>Table1[[#This Row],[laatste 5 wed.]]/Table1[[#This Row],['#punten]]*100</f>
        <v>100</v>
      </c>
      <c r="J14" s="108">
        <v>2</v>
      </c>
      <c r="K14" s="108">
        <v>2</v>
      </c>
      <c r="L14" s="108">
        <v>151</v>
      </c>
      <c r="M14" s="108">
        <v>151</v>
      </c>
      <c r="N14" s="108">
        <f>Table1[[#This Row],[Min laatste 5]]/Table1[[#This Row],['#minuten]]*100</f>
        <v>100</v>
      </c>
      <c r="O14" s="108">
        <v>2</v>
      </c>
      <c r="P14" s="30">
        <v>0</v>
      </c>
      <c r="Q14" s="32">
        <v>0</v>
      </c>
      <c r="R14" s="30">
        <v>0</v>
      </c>
      <c r="S14" s="108">
        <v>2</v>
      </c>
      <c r="T14" s="111">
        <f>ROUND(Table1[[#This Row],['#punten]]/Table1[[#This Row],['#Wed]],1)</f>
        <v>110</v>
      </c>
      <c r="U14" s="31">
        <f>ROUND(Table1[[#This Row],['#punten]]/Table1[[#This Row],['#minuten]],2)</f>
        <v>1.46</v>
      </c>
      <c r="V14" s="30">
        <f>ROUND((Table1[[#This Row],['#punten]]/(Table1[[#This Row],['#minuten]]/90)),2)</f>
        <v>131.13</v>
      </c>
      <c r="W14" s="30">
        <f>ROUND(Table1[[#This Row],[Prijs]]/Table1[[#This Row],['#punten]],0)</f>
        <v>18182</v>
      </c>
      <c r="X14" s="34">
        <f>ROUND((Table1[[#This Row],[Goals]]+Table1[[#This Row],[Asissts]])/(Table1[[#This Row],['#minuten]]/90),2)</f>
        <v>1.19</v>
      </c>
    </row>
    <row r="15" spans="1:25" x14ac:dyDescent="0.2">
      <c r="A15" s="11" t="s">
        <v>241</v>
      </c>
      <c r="B15" s="28" t="s">
        <v>239</v>
      </c>
      <c r="C15" s="29">
        <v>1250000</v>
      </c>
      <c r="D15" s="30" t="s">
        <v>135</v>
      </c>
      <c r="E15" s="30">
        <v>25</v>
      </c>
      <c r="F15" s="30" t="s">
        <v>179</v>
      </c>
      <c r="G15" s="31">
        <v>248</v>
      </c>
      <c r="H15" s="32">
        <v>248</v>
      </c>
      <c r="I15" s="32">
        <f>Table1[[#This Row],[laatste 5 wed.]]/Table1[[#This Row],['#punten]]*100</f>
        <v>100</v>
      </c>
      <c r="J15" s="30">
        <v>3</v>
      </c>
      <c r="K15" s="30">
        <v>3</v>
      </c>
      <c r="L15" s="30">
        <v>258</v>
      </c>
      <c r="M15" s="30">
        <v>258</v>
      </c>
      <c r="N15" s="30">
        <f>Table1[[#This Row],[Min laatste 5]]/Table1[[#This Row],['#minuten]]*100</f>
        <v>100</v>
      </c>
      <c r="O15" s="30">
        <v>1</v>
      </c>
      <c r="P15" s="30">
        <v>2</v>
      </c>
      <c r="Q15" s="32">
        <v>0</v>
      </c>
      <c r="R15" s="30">
        <v>0</v>
      </c>
      <c r="S15" s="30">
        <v>0</v>
      </c>
      <c r="T15" s="33">
        <f>ROUND(Table1[[#This Row],['#punten]]/Table1[[#This Row],['#Wed]],1)</f>
        <v>82.7</v>
      </c>
      <c r="U15" s="31">
        <f>ROUND(Table1[[#This Row],['#punten]]/Table1[[#This Row],['#minuten]],2)</f>
        <v>0.96</v>
      </c>
      <c r="V15" s="30">
        <f>ROUND((Table1[[#This Row],['#punten]]/(Table1[[#This Row],['#minuten]]/90)),2)</f>
        <v>86.51</v>
      </c>
      <c r="W15" s="30">
        <f>ROUND(Table1[[#This Row],[Prijs]]/Table1[[#This Row],['#punten]],0)</f>
        <v>5040</v>
      </c>
      <c r="X15" s="34">
        <f>ROUND((Table1[[#This Row],[Goals]]+Table1[[#This Row],[Asissts]])/(Table1[[#This Row],['#minuten]]/90),2)</f>
        <v>1.05</v>
      </c>
    </row>
    <row r="16" spans="1:25" x14ac:dyDescent="0.2">
      <c r="A16" s="11" t="s">
        <v>132</v>
      </c>
      <c r="B16" s="21" t="s">
        <v>43</v>
      </c>
      <c r="C16" s="22">
        <v>5000000</v>
      </c>
      <c r="D16" s="23" t="s">
        <v>135</v>
      </c>
      <c r="E16" s="23">
        <v>25</v>
      </c>
      <c r="F16" s="23" t="s">
        <v>141</v>
      </c>
      <c r="G16" s="24">
        <v>208</v>
      </c>
      <c r="H16" s="25">
        <v>208</v>
      </c>
      <c r="I16" s="25">
        <f>Table1[[#This Row],[laatste 5 wed.]]/Table1[[#This Row],['#punten]]*100</f>
        <v>100</v>
      </c>
      <c r="J16" s="23">
        <v>2</v>
      </c>
      <c r="K16" s="23">
        <v>2</v>
      </c>
      <c r="L16" s="23">
        <v>180</v>
      </c>
      <c r="M16" s="23">
        <v>180</v>
      </c>
      <c r="N16" s="23">
        <f>Table1[[#This Row],[Min laatste 5]]/Table1[[#This Row],['#minuten]]*100</f>
        <v>100</v>
      </c>
      <c r="O16" s="23">
        <v>2</v>
      </c>
      <c r="P16" s="23">
        <v>0</v>
      </c>
      <c r="Q16" s="25">
        <v>0</v>
      </c>
      <c r="R16" s="23">
        <v>0</v>
      </c>
      <c r="S16" s="23">
        <v>0</v>
      </c>
      <c r="T16" s="26">
        <f>ROUND(Table1[[#This Row],['#punten]]/Table1[[#This Row],['#Wed]],1)</f>
        <v>104</v>
      </c>
      <c r="U16" s="24">
        <f>ROUND(Table1[[#This Row],['#punten]]/Table1[[#This Row],['#minuten]],2)</f>
        <v>1.1599999999999999</v>
      </c>
      <c r="V16" s="23">
        <f>ROUND((Table1[[#This Row],['#punten]]/(Table1[[#This Row],['#minuten]]/90)),2)</f>
        <v>104</v>
      </c>
      <c r="W16" s="23">
        <f>ROUND(Table1[[#This Row],[Prijs]]/Table1[[#This Row],['#punten]],0)</f>
        <v>24038</v>
      </c>
      <c r="X16" s="27">
        <f>ROUND((Table1[[#This Row],[Goals]]+Table1[[#This Row],[Asissts]])/(Table1[[#This Row],['#minuten]]/90),2)</f>
        <v>1</v>
      </c>
      <c r="Y16" t="s">
        <v>395</v>
      </c>
    </row>
    <row r="17" spans="1:24" x14ac:dyDescent="0.2">
      <c r="A17" s="11" t="s">
        <v>194</v>
      </c>
      <c r="B17" s="28" t="s">
        <v>45</v>
      </c>
      <c r="C17" s="29">
        <v>3000000</v>
      </c>
      <c r="D17" s="30" t="s">
        <v>135</v>
      </c>
      <c r="E17" s="30">
        <v>24</v>
      </c>
      <c r="F17" s="30" t="s">
        <v>153</v>
      </c>
      <c r="G17" s="31">
        <v>78</v>
      </c>
      <c r="H17" s="32">
        <v>78</v>
      </c>
      <c r="I17" s="32">
        <f>Table1[[#This Row],[laatste 5 wed.]]/Table1[[#This Row],['#punten]]*100</f>
        <v>100</v>
      </c>
      <c r="J17" s="30">
        <v>1</v>
      </c>
      <c r="K17" s="30">
        <v>1</v>
      </c>
      <c r="L17" s="30">
        <v>90</v>
      </c>
      <c r="M17" s="30">
        <v>90</v>
      </c>
      <c r="N17" s="30">
        <f>Table1[[#This Row],[Min laatste 5]]/Table1[[#This Row],['#minuten]]*100</f>
        <v>100</v>
      </c>
      <c r="O17" s="30">
        <v>0</v>
      </c>
      <c r="P17" s="30">
        <v>1</v>
      </c>
      <c r="Q17" s="32">
        <v>0</v>
      </c>
      <c r="R17" s="30">
        <v>0</v>
      </c>
      <c r="S17" s="30">
        <v>0</v>
      </c>
      <c r="T17" s="33">
        <f>ROUND(Table1[[#This Row],['#punten]]/Table1[[#This Row],['#Wed]],1)</f>
        <v>78</v>
      </c>
      <c r="U17" s="31">
        <f>ROUND(Table1[[#This Row],['#punten]]/Table1[[#This Row],['#minuten]],2)</f>
        <v>0.87</v>
      </c>
      <c r="V17" s="30">
        <f>ROUND((Table1[[#This Row],['#punten]]/(Table1[[#This Row],['#minuten]]/90)),2)</f>
        <v>78</v>
      </c>
      <c r="W17" s="30">
        <f>ROUND(Table1[[#This Row],[Prijs]]/Table1[[#This Row],['#punten]],0)</f>
        <v>38462</v>
      </c>
      <c r="X17" s="34">
        <f>ROUND((Table1[[#This Row],[Goals]]+Table1[[#This Row],[Asissts]])/(Table1[[#This Row],['#minuten]]/90),2)</f>
        <v>1</v>
      </c>
    </row>
    <row r="18" spans="1:24" x14ac:dyDescent="0.2">
      <c r="A18" s="11" t="s">
        <v>257</v>
      </c>
      <c r="B18" s="21" t="s">
        <v>10</v>
      </c>
      <c r="C18" s="22">
        <v>1000000</v>
      </c>
      <c r="D18" s="23" t="s">
        <v>135</v>
      </c>
      <c r="E18" s="23">
        <v>24</v>
      </c>
      <c r="F18" s="23" t="s">
        <v>156</v>
      </c>
      <c r="G18" s="24">
        <v>328</v>
      </c>
      <c r="H18" s="25">
        <v>328</v>
      </c>
      <c r="I18" s="25">
        <f>Table1[[#This Row],[laatste 5 wed.]]/Table1[[#This Row],['#punten]]*100</f>
        <v>100</v>
      </c>
      <c r="J18" s="23">
        <v>4</v>
      </c>
      <c r="K18" s="23">
        <v>4</v>
      </c>
      <c r="L18" s="23">
        <v>360</v>
      </c>
      <c r="M18" s="23">
        <v>360</v>
      </c>
      <c r="N18" s="23">
        <f>Table1[[#This Row],[Min laatste 5]]/Table1[[#This Row],['#minuten]]*100</f>
        <v>100</v>
      </c>
      <c r="O18" s="23">
        <v>2</v>
      </c>
      <c r="P18" s="23">
        <v>2</v>
      </c>
      <c r="Q18" s="25">
        <v>0</v>
      </c>
      <c r="R18" s="23">
        <v>0</v>
      </c>
      <c r="S18" s="23">
        <v>1</v>
      </c>
      <c r="T18" s="26">
        <f>ROUND(Table1[[#This Row],['#punten]]/Table1[[#This Row],['#Wed]],1)</f>
        <v>82</v>
      </c>
      <c r="U18" s="24">
        <f>ROUND(Table1[[#This Row],['#punten]]/Table1[[#This Row],['#minuten]],2)</f>
        <v>0.91</v>
      </c>
      <c r="V18" s="23">
        <f>ROUND((Table1[[#This Row],['#punten]]/(Table1[[#This Row],['#minuten]]/90)),2)</f>
        <v>82</v>
      </c>
      <c r="W18" s="23">
        <f>ROUND(Table1[[#This Row],[Prijs]]/Table1[[#This Row],['#punten]],0)</f>
        <v>3049</v>
      </c>
      <c r="X18" s="27">
        <f>ROUND((Table1[[#This Row],[Goals]]+Table1[[#This Row],[Asissts]])/(Table1[[#This Row],['#minuten]]/90),2)</f>
        <v>1</v>
      </c>
    </row>
    <row r="19" spans="1:24" x14ac:dyDescent="0.2">
      <c r="A19" s="11" t="s">
        <v>191</v>
      </c>
      <c r="B19" s="28" t="s">
        <v>44</v>
      </c>
      <c r="C19" s="29">
        <v>1000000</v>
      </c>
      <c r="D19" s="30" t="s">
        <v>135</v>
      </c>
      <c r="E19" s="30">
        <v>25</v>
      </c>
      <c r="F19" s="30" t="s">
        <v>169</v>
      </c>
      <c r="G19" s="31">
        <v>190</v>
      </c>
      <c r="H19" s="32">
        <v>190</v>
      </c>
      <c r="I19" s="32">
        <f>Table1[[#This Row],[laatste 5 wed.]]/Table1[[#This Row],['#punten]]*100</f>
        <v>100</v>
      </c>
      <c r="J19" s="30">
        <v>4</v>
      </c>
      <c r="K19" s="30">
        <v>4</v>
      </c>
      <c r="L19" s="30">
        <v>276</v>
      </c>
      <c r="M19" s="30">
        <v>276</v>
      </c>
      <c r="N19" s="30">
        <f>Table1[[#This Row],[Min laatste 5]]/Table1[[#This Row],['#minuten]]*100</f>
        <v>100</v>
      </c>
      <c r="O19" s="30">
        <v>0</v>
      </c>
      <c r="P19" s="30">
        <v>3</v>
      </c>
      <c r="Q19" s="32">
        <v>0</v>
      </c>
      <c r="R19" s="30">
        <v>1</v>
      </c>
      <c r="S19" s="30">
        <v>0</v>
      </c>
      <c r="T19" s="33">
        <f>ROUND(Table1[[#This Row],['#punten]]/Table1[[#This Row],['#Wed]],1)</f>
        <v>47.5</v>
      </c>
      <c r="U19" s="31">
        <f>ROUND(Table1[[#This Row],['#punten]]/Table1[[#This Row],['#minuten]],2)</f>
        <v>0.69</v>
      </c>
      <c r="V19" s="30">
        <f>ROUND((Table1[[#This Row],['#punten]]/(Table1[[#This Row],['#minuten]]/90)),2)</f>
        <v>61.96</v>
      </c>
      <c r="W19" s="30">
        <f>ROUND(Table1[[#This Row],[Prijs]]/Table1[[#This Row],['#punten]],0)</f>
        <v>5263</v>
      </c>
      <c r="X19" s="34">
        <f>ROUND((Table1[[#This Row],[Goals]]+Table1[[#This Row],[Asissts]])/(Table1[[#This Row],['#minuten]]/90),2)</f>
        <v>0.98</v>
      </c>
    </row>
    <row r="20" spans="1:24" x14ac:dyDescent="0.2">
      <c r="A20" s="11" t="s">
        <v>193</v>
      </c>
      <c r="B20" s="21" t="s">
        <v>45</v>
      </c>
      <c r="C20" s="22">
        <v>4000000</v>
      </c>
      <c r="D20" s="23" t="s">
        <v>135</v>
      </c>
      <c r="E20" s="23">
        <v>24</v>
      </c>
      <c r="F20" s="23" t="s">
        <v>177</v>
      </c>
      <c r="G20" s="24">
        <v>128</v>
      </c>
      <c r="H20" s="25">
        <v>128</v>
      </c>
      <c r="I20" s="25">
        <f>Table1[[#This Row],[laatste 5 wed.]]/Table1[[#This Row],['#punten]]*100</f>
        <v>100</v>
      </c>
      <c r="J20" s="23">
        <v>4</v>
      </c>
      <c r="K20" s="23">
        <v>0</v>
      </c>
      <c r="L20" s="23">
        <v>97</v>
      </c>
      <c r="M20" s="23">
        <v>97</v>
      </c>
      <c r="N20" s="23">
        <f>Table1[[#This Row],[Min laatste 5]]/Table1[[#This Row],['#minuten]]*100</f>
        <v>100</v>
      </c>
      <c r="O20" s="23">
        <v>1</v>
      </c>
      <c r="P20" s="23">
        <v>0</v>
      </c>
      <c r="Q20" s="25">
        <v>0</v>
      </c>
      <c r="R20" s="23">
        <v>0</v>
      </c>
      <c r="S20" s="23">
        <v>0</v>
      </c>
      <c r="T20" s="26">
        <f>ROUND(Table1[[#This Row],['#punten]]/Table1[[#This Row],['#Wed]],1)</f>
        <v>32</v>
      </c>
      <c r="U20" s="24">
        <f>ROUND(Table1[[#This Row],['#punten]]/Table1[[#This Row],['#minuten]],2)</f>
        <v>1.32</v>
      </c>
      <c r="V20" s="23">
        <f>ROUND((Table1[[#This Row],['#punten]]/(Table1[[#This Row],['#minuten]]/90)),2)</f>
        <v>118.76</v>
      </c>
      <c r="W20" s="23">
        <f>ROUND(Table1[[#This Row],[Prijs]]/Table1[[#This Row],['#punten]],0)</f>
        <v>31250</v>
      </c>
      <c r="X20" s="27">
        <f>ROUND((Table1[[#This Row],[Goals]]+Table1[[#This Row],[Asissts]])/(Table1[[#This Row],['#minuten]]/90),2)</f>
        <v>0.93</v>
      </c>
    </row>
    <row r="21" spans="1:24" x14ac:dyDescent="0.2">
      <c r="A21" s="11" t="s">
        <v>366</v>
      </c>
      <c r="B21" s="21" t="s">
        <v>239</v>
      </c>
      <c r="C21" s="22">
        <v>750000</v>
      </c>
      <c r="D21" s="23" t="s">
        <v>135</v>
      </c>
      <c r="E21" s="23">
        <v>22</v>
      </c>
      <c r="F21" s="23" t="s">
        <v>167</v>
      </c>
      <c r="G21" s="24">
        <v>86</v>
      </c>
      <c r="H21" s="25">
        <v>86</v>
      </c>
      <c r="I21" s="25">
        <f>Table1[[#This Row],[laatste 5 wed.]]/Table1[[#This Row],['#punten]]*100</f>
        <v>100</v>
      </c>
      <c r="J21" s="23">
        <v>3</v>
      </c>
      <c r="K21" s="23">
        <v>1</v>
      </c>
      <c r="L21" s="23">
        <v>119</v>
      </c>
      <c r="M21" s="23">
        <v>119</v>
      </c>
      <c r="N21" s="23">
        <f>Table1[[#This Row],[Min laatste 5]]/Table1[[#This Row],['#minuten]]*100</f>
        <v>100</v>
      </c>
      <c r="O21" s="23">
        <v>1</v>
      </c>
      <c r="P21" s="23">
        <v>0</v>
      </c>
      <c r="Q21" s="25">
        <v>1</v>
      </c>
      <c r="R21" s="23">
        <v>0</v>
      </c>
      <c r="S21" s="23">
        <v>0</v>
      </c>
      <c r="T21" s="26">
        <f>ROUND(Table1[[#This Row],['#punten]]/Table1[[#This Row],['#Wed]],1)</f>
        <v>28.7</v>
      </c>
      <c r="U21" s="24">
        <f>ROUND(Table1[[#This Row],['#punten]]/Table1[[#This Row],['#minuten]],2)</f>
        <v>0.72</v>
      </c>
      <c r="V21" s="23">
        <f>ROUND((Table1[[#This Row],['#punten]]/(Table1[[#This Row],['#minuten]]/90)),2)</f>
        <v>65.040000000000006</v>
      </c>
      <c r="W21" s="23">
        <f>ROUND(Table1[[#This Row],[Prijs]]/Table1[[#This Row],['#punten]],0)</f>
        <v>8721</v>
      </c>
      <c r="X21" s="27">
        <f>ROUND((Table1[[#This Row],[Goals]]+Table1[[#This Row],[Asissts]])/(Table1[[#This Row],['#minuten]]/90),2)</f>
        <v>0.76</v>
      </c>
    </row>
    <row r="22" spans="1:24" x14ac:dyDescent="0.2">
      <c r="A22" s="11" t="s">
        <v>297</v>
      </c>
      <c r="B22" s="28" t="s">
        <v>47</v>
      </c>
      <c r="C22" s="29">
        <v>2000000</v>
      </c>
      <c r="D22" s="30" t="s">
        <v>135</v>
      </c>
      <c r="E22" s="30">
        <v>22</v>
      </c>
      <c r="F22" s="30" t="s">
        <v>177</v>
      </c>
      <c r="G22" s="31">
        <v>242</v>
      </c>
      <c r="H22" s="32">
        <v>242</v>
      </c>
      <c r="I22" s="32">
        <f>Table1[[#This Row],[laatste 5 wed.]]/Table1[[#This Row],['#punten]]*100</f>
        <v>100</v>
      </c>
      <c r="J22" s="30">
        <v>3</v>
      </c>
      <c r="K22" s="30">
        <v>3</v>
      </c>
      <c r="L22" s="30">
        <v>241</v>
      </c>
      <c r="M22" s="30">
        <v>241</v>
      </c>
      <c r="N22" s="30">
        <f>Table1[[#This Row],[Min laatste 5]]/Table1[[#This Row],['#minuten]]*100</f>
        <v>100</v>
      </c>
      <c r="O22" s="30">
        <v>2</v>
      </c>
      <c r="P22" s="30">
        <v>0</v>
      </c>
      <c r="Q22" s="32">
        <v>0</v>
      </c>
      <c r="R22" s="30">
        <v>0</v>
      </c>
      <c r="S22" s="30">
        <v>0</v>
      </c>
      <c r="T22" s="33">
        <f>ROUND(Table1[[#This Row],['#punten]]/Table1[[#This Row],['#Wed]],1)</f>
        <v>80.7</v>
      </c>
      <c r="U22" s="31">
        <f>ROUND(Table1[[#This Row],['#punten]]/Table1[[#This Row],['#minuten]],2)</f>
        <v>1</v>
      </c>
      <c r="V22" s="30">
        <f>ROUND((Table1[[#This Row],['#punten]]/(Table1[[#This Row],['#minuten]]/90)),2)</f>
        <v>90.37</v>
      </c>
      <c r="W22" s="30">
        <f>ROUND(Table1[[#This Row],[Prijs]]/Table1[[#This Row],['#punten]],0)</f>
        <v>8264</v>
      </c>
      <c r="X22" s="34">
        <f>ROUND((Table1[[#This Row],[Goals]]+Table1[[#This Row],[Asissts]])/(Table1[[#This Row],['#minuten]]/90),2)</f>
        <v>0.75</v>
      </c>
    </row>
    <row r="23" spans="1:24" x14ac:dyDescent="0.2">
      <c r="A23" s="11" t="s">
        <v>295</v>
      </c>
      <c r="B23" s="28" t="s">
        <v>47</v>
      </c>
      <c r="C23" s="29">
        <v>3000000</v>
      </c>
      <c r="D23" s="30" t="s">
        <v>135</v>
      </c>
      <c r="E23" s="30">
        <v>25</v>
      </c>
      <c r="F23" s="30" t="s">
        <v>179</v>
      </c>
      <c r="G23" s="31">
        <v>254</v>
      </c>
      <c r="H23" s="32">
        <v>254</v>
      </c>
      <c r="I23" s="32">
        <f>Table1[[#This Row],[laatste 5 wed.]]/Table1[[#This Row],['#punten]]*100</f>
        <v>100</v>
      </c>
      <c r="J23" s="30">
        <v>4</v>
      </c>
      <c r="K23" s="30">
        <v>3</v>
      </c>
      <c r="L23" s="30">
        <v>255</v>
      </c>
      <c r="M23" s="30">
        <v>255</v>
      </c>
      <c r="N23" s="30">
        <f>Table1[[#This Row],[Min laatste 5]]/Table1[[#This Row],['#minuten]]*100</f>
        <v>100</v>
      </c>
      <c r="O23" s="30">
        <v>2</v>
      </c>
      <c r="P23" s="30">
        <v>0</v>
      </c>
      <c r="Q23" s="32">
        <v>0</v>
      </c>
      <c r="R23" s="30">
        <v>0</v>
      </c>
      <c r="S23" s="30">
        <v>0</v>
      </c>
      <c r="T23" s="33">
        <f>ROUND(Table1[[#This Row],['#punten]]/Table1[[#This Row],['#Wed]],1)</f>
        <v>63.5</v>
      </c>
      <c r="U23" s="31">
        <f>ROUND(Table1[[#This Row],['#punten]]/Table1[[#This Row],['#minuten]],2)</f>
        <v>1</v>
      </c>
      <c r="V23" s="30">
        <f>ROUND((Table1[[#This Row],['#punten]]/(Table1[[#This Row],['#minuten]]/90)),2)</f>
        <v>89.65</v>
      </c>
      <c r="W23" s="30">
        <f>ROUND(Table1[[#This Row],[Prijs]]/Table1[[#This Row],['#punten]],0)</f>
        <v>11811</v>
      </c>
      <c r="X23" s="34">
        <f>ROUND((Table1[[#This Row],[Goals]]+Table1[[#This Row],[Asissts]])/(Table1[[#This Row],['#minuten]]/90),2)</f>
        <v>0.71</v>
      </c>
    </row>
    <row r="24" spans="1:24" x14ac:dyDescent="0.2">
      <c r="A24" s="11" t="s">
        <v>242</v>
      </c>
      <c r="B24" s="21" t="s">
        <v>239</v>
      </c>
      <c r="C24" s="22">
        <v>1250000</v>
      </c>
      <c r="D24" s="23" t="s">
        <v>135</v>
      </c>
      <c r="E24" s="23">
        <v>29</v>
      </c>
      <c r="F24" s="23" t="s">
        <v>200</v>
      </c>
      <c r="G24" s="24">
        <v>168</v>
      </c>
      <c r="H24" s="25">
        <v>168</v>
      </c>
      <c r="I24" s="25">
        <f>Table1[[#This Row],[laatste 5 wed.]]/Table1[[#This Row],['#punten]]*100</f>
        <v>100</v>
      </c>
      <c r="J24" s="23">
        <v>3</v>
      </c>
      <c r="K24" s="23">
        <v>3</v>
      </c>
      <c r="L24" s="23">
        <v>256</v>
      </c>
      <c r="M24" s="23">
        <v>256</v>
      </c>
      <c r="N24" s="23">
        <f>Table1[[#This Row],[Min laatste 5]]/Table1[[#This Row],['#minuten]]*100</f>
        <v>100</v>
      </c>
      <c r="O24" s="23">
        <v>1</v>
      </c>
      <c r="P24" s="23">
        <v>1</v>
      </c>
      <c r="Q24" s="25">
        <v>2</v>
      </c>
      <c r="R24" s="23">
        <v>0</v>
      </c>
      <c r="S24" s="23">
        <v>0</v>
      </c>
      <c r="T24" s="26">
        <f>ROUND(Table1[[#This Row],['#punten]]/Table1[[#This Row],['#Wed]],1)</f>
        <v>56</v>
      </c>
      <c r="U24" s="24">
        <f>ROUND(Table1[[#This Row],['#punten]]/Table1[[#This Row],['#minuten]],2)</f>
        <v>0.66</v>
      </c>
      <c r="V24" s="23">
        <f>ROUND((Table1[[#This Row],['#punten]]/(Table1[[#This Row],['#minuten]]/90)),2)</f>
        <v>59.06</v>
      </c>
      <c r="W24" s="23">
        <f>ROUND(Table1[[#This Row],[Prijs]]/Table1[[#This Row],['#punten]],0)</f>
        <v>7440</v>
      </c>
      <c r="X24" s="27">
        <f>ROUND((Table1[[#This Row],[Goals]]+Table1[[#This Row],[Asissts]])/(Table1[[#This Row],['#minuten]]/90),2)</f>
        <v>0.7</v>
      </c>
    </row>
    <row r="25" spans="1:24" x14ac:dyDescent="0.2">
      <c r="A25" s="11" t="s">
        <v>197</v>
      </c>
      <c r="B25" s="21" t="s">
        <v>45</v>
      </c>
      <c r="C25" s="22">
        <v>2000000</v>
      </c>
      <c r="D25" s="23" t="s">
        <v>135</v>
      </c>
      <c r="E25" s="23">
        <v>19</v>
      </c>
      <c r="F25" s="23" t="s">
        <v>198</v>
      </c>
      <c r="G25" s="24">
        <v>174</v>
      </c>
      <c r="H25" s="25">
        <v>174</v>
      </c>
      <c r="I25" s="25">
        <f>Table1[[#This Row],[laatste 5 wed.]]/Table1[[#This Row],['#punten]]*100</f>
        <v>100</v>
      </c>
      <c r="J25" s="23">
        <v>4</v>
      </c>
      <c r="K25" s="23">
        <v>1</v>
      </c>
      <c r="L25" s="23">
        <v>131</v>
      </c>
      <c r="M25" s="23">
        <v>131</v>
      </c>
      <c r="N25" s="23">
        <f>Table1[[#This Row],[Min laatste 5]]/Table1[[#This Row],['#minuten]]*100</f>
        <v>100</v>
      </c>
      <c r="O25" s="23">
        <v>1</v>
      </c>
      <c r="P25" s="23">
        <v>0</v>
      </c>
      <c r="Q25" s="25">
        <v>0</v>
      </c>
      <c r="R25" s="23">
        <v>0</v>
      </c>
      <c r="S25" s="23">
        <v>0</v>
      </c>
      <c r="T25" s="26">
        <f>ROUND(Table1[[#This Row],['#punten]]/Table1[[#This Row],['#Wed]],1)</f>
        <v>43.5</v>
      </c>
      <c r="U25" s="24">
        <f>ROUND(Table1[[#This Row],['#punten]]/Table1[[#This Row],['#minuten]],2)</f>
        <v>1.33</v>
      </c>
      <c r="V25" s="23">
        <f>ROUND((Table1[[#This Row],['#punten]]/(Table1[[#This Row],['#minuten]]/90)),2)</f>
        <v>119.54</v>
      </c>
      <c r="W25" s="23">
        <f>ROUND(Table1[[#This Row],[Prijs]]/Table1[[#This Row],['#punten]],0)</f>
        <v>11494</v>
      </c>
      <c r="X25" s="27">
        <f>ROUND((Table1[[#This Row],[Goals]]+Table1[[#This Row],[Asissts]])/(Table1[[#This Row],['#minuten]]/90),2)</f>
        <v>0.69</v>
      </c>
    </row>
    <row r="26" spans="1:24" x14ac:dyDescent="0.2">
      <c r="A26" s="11" t="s">
        <v>138</v>
      </c>
      <c r="B26" s="28" t="s">
        <v>43</v>
      </c>
      <c r="C26" s="29">
        <v>3000000</v>
      </c>
      <c r="D26" s="30" t="s">
        <v>135</v>
      </c>
      <c r="E26" s="30">
        <v>19</v>
      </c>
      <c r="F26" s="29" t="s">
        <v>143</v>
      </c>
      <c r="G26" s="31">
        <v>100</v>
      </c>
      <c r="H26" s="32">
        <v>100</v>
      </c>
      <c r="I26" s="32">
        <f>Table1[[#This Row],[laatste 5 wed.]]/Table1[[#This Row],['#punten]]*100</f>
        <v>100</v>
      </c>
      <c r="J26" s="30">
        <v>3</v>
      </c>
      <c r="K26" s="30">
        <v>2</v>
      </c>
      <c r="L26" s="30">
        <v>132</v>
      </c>
      <c r="M26" s="30">
        <v>132</v>
      </c>
      <c r="N26" s="30">
        <f>Table1[[#This Row],[Min laatste 5]]/Table1[[#This Row],['#minuten]]*100</f>
        <v>100</v>
      </c>
      <c r="O26" s="30">
        <v>0</v>
      </c>
      <c r="P26" s="30">
        <v>1</v>
      </c>
      <c r="Q26" s="32">
        <v>0</v>
      </c>
      <c r="R26" s="30">
        <v>0</v>
      </c>
      <c r="S26" s="30">
        <v>1</v>
      </c>
      <c r="T26" s="33">
        <f>ROUND(Table1[[#This Row],['#punten]]/Table1[[#This Row],['#Wed]],1)</f>
        <v>33.299999999999997</v>
      </c>
      <c r="U26" s="31">
        <f>ROUND(Table1[[#This Row],['#punten]]/Table1[[#This Row],['#minuten]],2)</f>
        <v>0.76</v>
      </c>
      <c r="V26" s="30">
        <f>ROUND((Table1[[#This Row],['#punten]]/(Table1[[#This Row],['#minuten]]/90)),2)</f>
        <v>68.180000000000007</v>
      </c>
      <c r="W26" s="30">
        <f>ROUND(Table1[[#This Row],[Prijs]]/Table1[[#This Row],['#punten]],0)</f>
        <v>30000</v>
      </c>
      <c r="X26" s="34">
        <f>ROUND((Table1[[#This Row],[Goals]]+Table1[[#This Row],[Asissts]])/(Table1[[#This Row],['#minuten]]/90),2)</f>
        <v>0.68</v>
      </c>
    </row>
    <row r="27" spans="1:24" x14ac:dyDescent="0.2">
      <c r="A27" s="11" t="s">
        <v>316</v>
      </c>
      <c r="B27" s="28" t="s">
        <v>49</v>
      </c>
      <c r="C27" s="29">
        <v>1500000</v>
      </c>
      <c r="D27" s="30" t="s">
        <v>135</v>
      </c>
      <c r="E27" s="30">
        <v>22</v>
      </c>
      <c r="F27" s="30" t="s">
        <v>141</v>
      </c>
      <c r="G27" s="31">
        <v>178</v>
      </c>
      <c r="H27" s="32">
        <v>178</v>
      </c>
      <c r="I27" s="32">
        <f>Table1[[#This Row],[laatste 5 wed.]]/Table1[[#This Row],['#punten]]*100</f>
        <v>100</v>
      </c>
      <c r="J27" s="30">
        <v>3</v>
      </c>
      <c r="K27" s="30">
        <v>3</v>
      </c>
      <c r="L27" s="30">
        <v>270</v>
      </c>
      <c r="M27" s="30">
        <v>270</v>
      </c>
      <c r="N27" s="30">
        <f>Table1[[#This Row],[Min laatste 5]]/Table1[[#This Row],['#minuten]]*100</f>
        <v>100</v>
      </c>
      <c r="O27" s="30">
        <v>0</v>
      </c>
      <c r="P27" s="30">
        <v>2</v>
      </c>
      <c r="Q27" s="32">
        <v>1</v>
      </c>
      <c r="R27" s="30">
        <v>0</v>
      </c>
      <c r="S27" s="30">
        <v>1</v>
      </c>
      <c r="T27" s="33">
        <f>ROUND(Table1[[#This Row],['#punten]]/Table1[[#This Row],['#Wed]],1)</f>
        <v>59.3</v>
      </c>
      <c r="U27" s="31">
        <f>ROUND(Table1[[#This Row],['#punten]]/Table1[[#This Row],['#minuten]],2)</f>
        <v>0.66</v>
      </c>
      <c r="V27" s="30">
        <f>ROUND((Table1[[#This Row],['#punten]]/(Table1[[#This Row],['#minuten]]/90)),2)</f>
        <v>59.33</v>
      </c>
      <c r="W27" s="30">
        <f>ROUND(Table1[[#This Row],[Prijs]]/Table1[[#This Row],['#punten]],0)</f>
        <v>8427</v>
      </c>
      <c r="X27" s="34">
        <f>ROUND((Table1[[#This Row],[Goals]]+Table1[[#This Row],[Asissts]])/(Table1[[#This Row],['#minuten]]/90),2)</f>
        <v>0.67</v>
      </c>
    </row>
    <row r="28" spans="1:24" x14ac:dyDescent="0.2">
      <c r="A28" s="11" t="s">
        <v>134</v>
      </c>
      <c r="B28" s="28" t="s">
        <v>51</v>
      </c>
      <c r="C28" s="29">
        <v>500000</v>
      </c>
      <c r="D28" s="30" t="s">
        <v>135</v>
      </c>
      <c r="E28" s="30">
        <v>26</v>
      </c>
      <c r="F28" s="30" t="s">
        <v>141</v>
      </c>
      <c r="G28" s="31">
        <v>124</v>
      </c>
      <c r="H28" s="32">
        <v>124</v>
      </c>
      <c r="I28" s="32">
        <f>Table1[[#This Row],[laatste 5 wed.]]/Table1[[#This Row],['#punten]]*100</f>
        <v>100</v>
      </c>
      <c r="J28" s="30">
        <v>3</v>
      </c>
      <c r="K28" s="30">
        <v>3</v>
      </c>
      <c r="L28" s="30">
        <v>270</v>
      </c>
      <c r="M28" s="30">
        <v>270</v>
      </c>
      <c r="N28" s="30">
        <f>Table1[[#This Row],[Min laatste 5]]/Table1[[#This Row],['#minuten]]*100</f>
        <v>100</v>
      </c>
      <c r="O28" s="30">
        <v>0</v>
      </c>
      <c r="P28" s="30">
        <v>2</v>
      </c>
      <c r="Q28" s="32">
        <v>1</v>
      </c>
      <c r="R28" s="30">
        <v>0</v>
      </c>
      <c r="S28" s="30">
        <v>0</v>
      </c>
      <c r="T28" s="33">
        <f>ROUND(Table1[[#This Row],['#punten]]/Table1[[#This Row],['#Wed]],1)</f>
        <v>41.3</v>
      </c>
      <c r="U28" s="31">
        <f>ROUND(Table1[[#This Row],['#punten]]/Table1[[#This Row],['#minuten]],2)</f>
        <v>0.46</v>
      </c>
      <c r="V28" s="30">
        <f>ROUND((Table1[[#This Row],['#punten]]/(Table1[[#This Row],['#minuten]]/90)),2)</f>
        <v>41.33</v>
      </c>
      <c r="W28" s="30">
        <f>ROUND(Table1[[#This Row],[Prijs]]/Table1[[#This Row],['#punten]],0)</f>
        <v>4032</v>
      </c>
      <c r="X28" s="34">
        <f>ROUND((Table1[[#This Row],[Goals]]+Table1[[#This Row],[Asissts]])/(Table1[[#This Row],['#minuten]]/90),2)</f>
        <v>0.67</v>
      </c>
    </row>
    <row r="29" spans="1:24" x14ac:dyDescent="0.2">
      <c r="A29" s="11" t="s">
        <v>379</v>
      </c>
      <c r="B29" s="28" t="s">
        <v>317</v>
      </c>
      <c r="C29" s="29">
        <v>2500000</v>
      </c>
      <c r="D29" s="30" t="s">
        <v>135</v>
      </c>
      <c r="E29" s="30">
        <v>24</v>
      </c>
      <c r="F29" s="30" t="s">
        <v>187</v>
      </c>
      <c r="G29" s="31">
        <v>88</v>
      </c>
      <c r="H29" s="32">
        <v>88</v>
      </c>
      <c r="I29" s="32">
        <f>Table1[[#This Row],[laatste 5 wed.]]/Table1[[#This Row],['#punten]]*100</f>
        <v>100</v>
      </c>
      <c r="J29" s="30">
        <v>3</v>
      </c>
      <c r="K29" s="30">
        <v>2</v>
      </c>
      <c r="L29" s="30">
        <v>139</v>
      </c>
      <c r="M29" s="30">
        <v>139</v>
      </c>
      <c r="N29" s="30">
        <f>Table1[[#This Row],[Min laatste 5]]/Table1[[#This Row],['#minuten]]*100</f>
        <v>100</v>
      </c>
      <c r="O29" s="30">
        <v>0</v>
      </c>
      <c r="P29" s="30">
        <v>1</v>
      </c>
      <c r="Q29" s="32">
        <v>0</v>
      </c>
      <c r="R29" s="30">
        <v>0</v>
      </c>
      <c r="S29" s="30">
        <v>0</v>
      </c>
      <c r="T29" s="33">
        <f>ROUND(Table1[[#This Row],['#punten]]/Table1[[#This Row],['#Wed]],1)</f>
        <v>29.3</v>
      </c>
      <c r="U29" s="31">
        <f>ROUND(Table1[[#This Row],['#punten]]/Table1[[#This Row],['#minuten]],2)</f>
        <v>0.63</v>
      </c>
      <c r="V29" s="30">
        <f>ROUND((Table1[[#This Row],['#punten]]/(Table1[[#This Row],['#minuten]]/90)),2)</f>
        <v>56.98</v>
      </c>
      <c r="W29" s="30">
        <f>ROUND(Table1[[#This Row],[Prijs]]/Table1[[#This Row],['#punten]],0)</f>
        <v>28409</v>
      </c>
      <c r="X29" s="34">
        <f>ROUND((Table1[[#This Row],[Goals]]+Table1[[#This Row],[Asissts]])/(Table1[[#This Row],['#minuten]]/90),2)</f>
        <v>0.65</v>
      </c>
    </row>
    <row r="30" spans="1:24" x14ac:dyDescent="0.2">
      <c r="A30" s="11" t="s">
        <v>195</v>
      </c>
      <c r="B30" s="28" t="s">
        <v>45</v>
      </c>
      <c r="C30" s="29">
        <v>3500000</v>
      </c>
      <c r="D30" s="30" t="s">
        <v>135</v>
      </c>
      <c r="E30" s="30">
        <v>23</v>
      </c>
      <c r="F30" s="30" t="s">
        <v>196</v>
      </c>
      <c r="G30" s="31">
        <v>256</v>
      </c>
      <c r="H30" s="32">
        <v>256</v>
      </c>
      <c r="I30" s="32">
        <f>Table1[[#This Row],[laatste 5 wed.]]/Table1[[#This Row],['#punten]]*100</f>
        <v>100</v>
      </c>
      <c r="J30" s="30">
        <v>4</v>
      </c>
      <c r="K30" s="30">
        <v>4</v>
      </c>
      <c r="L30" s="30">
        <v>296</v>
      </c>
      <c r="M30" s="30">
        <v>296</v>
      </c>
      <c r="N30" s="30">
        <f>Table1[[#This Row],[Min laatste 5]]/Table1[[#This Row],['#minuten]]*100</f>
        <v>100</v>
      </c>
      <c r="O30" s="30">
        <v>1</v>
      </c>
      <c r="P30" s="30">
        <v>1</v>
      </c>
      <c r="Q30" s="32">
        <v>0</v>
      </c>
      <c r="R30" s="30">
        <v>0</v>
      </c>
      <c r="S30" s="30">
        <v>1</v>
      </c>
      <c r="T30" s="33">
        <f>ROUND(Table1[[#This Row],['#punten]]/Table1[[#This Row],['#Wed]],1)</f>
        <v>64</v>
      </c>
      <c r="U30" s="31">
        <f>ROUND(Table1[[#This Row],['#punten]]/Table1[[#This Row],['#minuten]],2)</f>
        <v>0.86</v>
      </c>
      <c r="V30" s="30">
        <f>ROUND((Table1[[#This Row],['#punten]]/(Table1[[#This Row],['#minuten]]/90)),2)</f>
        <v>77.84</v>
      </c>
      <c r="W30" s="30">
        <f>ROUND(Table1[[#This Row],[Prijs]]/Table1[[#This Row],['#punten]],0)</f>
        <v>13672</v>
      </c>
      <c r="X30" s="34">
        <f>ROUND((Table1[[#This Row],[Goals]]+Table1[[#This Row],[Asissts]])/(Table1[[#This Row],['#minuten]]/90),2)</f>
        <v>0.61</v>
      </c>
    </row>
    <row r="31" spans="1:24" x14ac:dyDescent="0.2">
      <c r="A31" s="11" t="s">
        <v>255</v>
      </c>
      <c r="B31" s="21" t="s">
        <v>10</v>
      </c>
      <c r="C31" s="22">
        <v>2000000</v>
      </c>
      <c r="D31" s="23" t="s">
        <v>135</v>
      </c>
      <c r="E31" s="23">
        <v>26</v>
      </c>
      <c r="F31" s="23" t="s">
        <v>177</v>
      </c>
      <c r="G31" s="24">
        <v>264</v>
      </c>
      <c r="H31" s="25">
        <v>264</v>
      </c>
      <c r="I31" s="25">
        <f>Table1[[#This Row],[laatste 5 wed.]]/Table1[[#This Row],['#punten]]*100</f>
        <v>100</v>
      </c>
      <c r="J31" s="23">
        <v>4</v>
      </c>
      <c r="K31" s="23">
        <v>4</v>
      </c>
      <c r="L31" s="23">
        <v>303</v>
      </c>
      <c r="M31" s="23">
        <v>303</v>
      </c>
      <c r="N31" s="23">
        <f>Table1[[#This Row],[Min laatste 5]]/Table1[[#This Row],['#minuten]]*100</f>
        <v>100</v>
      </c>
      <c r="O31" s="23">
        <v>2</v>
      </c>
      <c r="P31" s="23">
        <v>0</v>
      </c>
      <c r="Q31" s="25">
        <v>0</v>
      </c>
      <c r="R31" s="23">
        <v>0</v>
      </c>
      <c r="S31" s="23">
        <v>1</v>
      </c>
      <c r="T31" s="26">
        <f>ROUND(Table1[[#This Row],['#punten]]/Table1[[#This Row],['#Wed]],1)</f>
        <v>66</v>
      </c>
      <c r="U31" s="24">
        <f>ROUND(Table1[[#This Row],['#punten]]/Table1[[#This Row],['#minuten]],2)</f>
        <v>0.87</v>
      </c>
      <c r="V31" s="23">
        <f>ROUND((Table1[[#This Row],['#punten]]/(Table1[[#This Row],['#minuten]]/90)),2)</f>
        <v>78.42</v>
      </c>
      <c r="W31" s="23">
        <f>ROUND(Table1[[#This Row],[Prijs]]/Table1[[#This Row],['#punten]],0)</f>
        <v>7576</v>
      </c>
      <c r="X31" s="27">
        <f>ROUND((Table1[[#This Row],[Goals]]+Table1[[#This Row],[Asissts]])/(Table1[[#This Row],['#minuten]]/90),2)</f>
        <v>0.59</v>
      </c>
    </row>
    <row r="32" spans="1:24" x14ac:dyDescent="0.2">
      <c r="A32" s="11" t="s">
        <v>364</v>
      </c>
      <c r="B32" s="21" t="s">
        <v>39</v>
      </c>
      <c r="C32" s="22">
        <v>1250000</v>
      </c>
      <c r="D32" s="23" t="s">
        <v>135</v>
      </c>
      <c r="E32" s="23">
        <v>24</v>
      </c>
      <c r="F32" s="23" t="s">
        <v>179</v>
      </c>
      <c r="G32" s="24">
        <v>184</v>
      </c>
      <c r="H32" s="25">
        <v>184</v>
      </c>
      <c r="I32" s="25">
        <f>Table1[[#This Row],[laatste 5 wed.]]/Table1[[#This Row],['#punten]]*100</f>
        <v>100</v>
      </c>
      <c r="J32" s="23">
        <v>3</v>
      </c>
      <c r="K32" s="23">
        <v>2</v>
      </c>
      <c r="L32" s="23">
        <v>168</v>
      </c>
      <c r="M32" s="23">
        <v>168</v>
      </c>
      <c r="N32" s="23">
        <f>Table1[[#This Row],[Min laatste 5]]/Table1[[#This Row],['#minuten]]*100</f>
        <v>100</v>
      </c>
      <c r="O32" s="23">
        <v>1</v>
      </c>
      <c r="P32" s="23">
        <v>0</v>
      </c>
      <c r="Q32" s="25">
        <v>0</v>
      </c>
      <c r="R32" s="23">
        <v>0</v>
      </c>
      <c r="S32" s="23">
        <v>0</v>
      </c>
      <c r="T32" s="26">
        <f>ROUND(Table1[[#This Row],['#punten]]/Table1[[#This Row],['#Wed]],1)</f>
        <v>61.3</v>
      </c>
      <c r="U32" s="24">
        <f>ROUND(Table1[[#This Row],['#punten]]/Table1[[#This Row],['#minuten]],2)</f>
        <v>1.1000000000000001</v>
      </c>
      <c r="V32" s="23">
        <f>ROUND((Table1[[#This Row],['#punten]]/(Table1[[#This Row],['#minuten]]/90)),2)</f>
        <v>98.57</v>
      </c>
      <c r="W32" s="23">
        <f>ROUND(Table1[[#This Row],[Prijs]]/Table1[[#This Row],['#punten]],0)</f>
        <v>6793</v>
      </c>
      <c r="X32" s="27">
        <f>ROUND((Table1[[#This Row],[Goals]]+Table1[[#This Row],[Asissts]])/(Table1[[#This Row],['#minuten]]/90),2)</f>
        <v>0.54</v>
      </c>
    </row>
    <row r="33" spans="1:25" x14ac:dyDescent="0.2">
      <c r="A33" s="11" t="s">
        <v>291</v>
      </c>
      <c r="B33" s="28" t="s">
        <v>40</v>
      </c>
      <c r="C33" s="29">
        <v>2000000</v>
      </c>
      <c r="D33" s="30" t="s">
        <v>135</v>
      </c>
      <c r="E33" s="30">
        <v>34</v>
      </c>
      <c r="F33" s="30" t="s">
        <v>141</v>
      </c>
      <c r="G33" s="31">
        <v>216</v>
      </c>
      <c r="H33" s="32">
        <v>216</v>
      </c>
      <c r="I33" s="32">
        <f>Table1[[#This Row],[laatste 5 wed.]]/Table1[[#This Row],['#punten]]*100</f>
        <v>100</v>
      </c>
      <c r="J33" s="30">
        <v>4</v>
      </c>
      <c r="K33" s="30">
        <v>4</v>
      </c>
      <c r="L33" s="30">
        <v>360</v>
      </c>
      <c r="M33" s="30">
        <v>360</v>
      </c>
      <c r="N33" s="30">
        <f>Table1[[#This Row],[Min laatste 5]]/Table1[[#This Row],['#minuten]]*100</f>
        <v>100</v>
      </c>
      <c r="O33" s="30">
        <v>2</v>
      </c>
      <c r="P33" s="30">
        <v>0</v>
      </c>
      <c r="Q33" s="32">
        <v>1</v>
      </c>
      <c r="R33" s="30">
        <v>0</v>
      </c>
      <c r="S33" s="30">
        <v>0</v>
      </c>
      <c r="T33" s="33">
        <f>ROUND(Table1[[#This Row],['#punten]]/Table1[[#This Row],['#Wed]],1)</f>
        <v>54</v>
      </c>
      <c r="U33" s="31">
        <f>ROUND(Table1[[#This Row],['#punten]]/Table1[[#This Row],['#minuten]],2)</f>
        <v>0.6</v>
      </c>
      <c r="V33" s="30">
        <f>ROUND((Table1[[#This Row],['#punten]]/(Table1[[#This Row],['#minuten]]/90)),2)</f>
        <v>54</v>
      </c>
      <c r="W33" s="30">
        <f>ROUND(Table1[[#This Row],[Prijs]]/Table1[[#This Row],['#punten]],0)</f>
        <v>9259</v>
      </c>
      <c r="X33" s="34">
        <f>ROUND((Table1[[#This Row],[Goals]]+Table1[[#This Row],[Asissts]])/(Table1[[#This Row],['#minuten]]/90),2)</f>
        <v>0.5</v>
      </c>
      <c r="Y33" t="s">
        <v>397</v>
      </c>
    </row>
    <row r="34" spans="1:25" x14ac:dyDescent="0.2">
      <c r="A34" s="11" t="s">
        <v>259</v>
      </c>
      <c r="B34" s="21" t="s">
        <v>260</v>
      </c>
      <c r="C34" s="22">
        <v>1250000</v>
      </c>
      <c r="D34" s="23" t="s">
        <v>135</v>
      </c>
      <c r="E34" s="23">
        <v>25</v>
      </c>
      <c r="F34" s="23" t="s">
        <v>141</v>
      </c>
      <c r="G34" s="24">
        <v>276</v>
      </c>
      <c r="H34" s="25">
        <v>276</v>
      </c>
      <c r="I34" s="25">
        <f>Table1[[#This Row],[laatste 5 wed.]]/Table1[[#This Row],['#punten]]*100</f>
        <v>100</v>
      </c>
      <c r="J34" s="23">
        <v>4</v>
      </c>
      <c r="K34" s="23">
        <v>4</v>
      </c>
      <c r="L34" s="23">
        <v>360</v>
      </c>
      <c r="M34" s="23">
        <v>360</v>
      </c>
      <c r="N34" s="23">
        <f>Table1[[#This Row],[Min laatste 5]]/Table1[[#This Row],['#minuten]]*100</f>
        <v>100</v>
      </c>
      <c r="O34" s="23">
        <v>2</v>
      </c>
      <c r="P34" s="23">
        <v>0</v>
      </c>
      <c r="Q34" s="25">
        <v>0</v>
      </c>
      <c r="R34" s="23">
        <v>0</v>
      </c>
      <c r="S34" s="23">
        <v>1</v>
      </c>
      <c r="T34" s="26">
        <f>ROUND(Table1[[#This Row],['#punten]]/Table1[[#This Row],['#Wed]],1)</f>
        <v>69</v>
      </c>
      <c r="U34" s="24">
        <f>ROUND(Table1[[#This Row],['#punten]]/Table1[[#This Row],['#minuten]],2)</f>
        <v>0.77</v>
      </c>
      <c r="V34" s="23">
        <f>ROUND((Table1[[#This Row],['#punten]]/(Table1[[#This Row],['#minuten]]/90)),2)</f>
        <v>69</v>
      </c>
      <c r="W34" s="23">
        <f>ROUND(Table1[[#This Row],[Prijs]]/Table1[[#This Row],['#punten]],0)</f>
        <v>4529</v>
      </c>
      <c r="X34" s="27">
        <f>ROUND((Table1[[#This Row],[Goals]]+Table1[[#This Row],[Asissts]])/(Table1[[#This Row],['#minuten]]/90),2)</f>
        <v>0.5</v>
      </c>
      <c r="Y34" t="s">
        <v>397</v>
      </c>
    </row>
    <row r="35" spans="1:25" x14ac:dyDescent="0.2">
      <c r="A35" s="11" t="s">
        <v>340</v>
      </c>
      <c r="B35" s="28" t="s">
        <v>50</v>
      </c>
      <c r="C35" s="29">
        <v>2000000</v>
      </c>
      <c r="D35" s="30" t="s">
        <v>135</v>
      </c>
      <c r="E35" s="30">
        <v>22</v>
      </c>
      <c r="F35" s="30" t="s">
        <v>144</v>
      </c>
      <c r="G35" s="31">
        <v>134</v>
      </c>
      <c r="H35" s="32">
        <v>134</v>
      </c>
      <c r="I35" s="32">
        <f>Table1[[#This Row],[laatste 5 wed.]]/Table1[[#This Row],['#punten]]*100</f>
        <v>100</v>
      </c>
      <c r="J35" s="30">
        <v>3</v>
      </c>
      <c r="K35" s="30">
        <v>3</v>
      </c>
      <c r="L35" s="30">
        <v>196</v>
      </c>
      <c r="M35" s="30">
        <v>196</v>
      </c>
      <c r="N35" s="30">
        <f>Table1[[#This Row],[Min laatste 5]]/Table1[[#This Row],['#minuten]]*100</f>
        <v>100</v>
      </c>
      <c r="O35" s="30">
        <v>0</v>
      </c>
      <c r="P35" s="30">
        <v>1</v>
      </c>
      <c r="Q35" s="32">
        <v>0</v>
      </c>
      <c r="R35" s="30">
        <v>0</v>
      </c>
      <c r="S35" s="30">
        <v>0</v>
      </c>
      <c r="T35" s="33">
        <f>ROUND(Table1[[#This Row],['#punten]]/Table1[[#This Row],['#Wed]],1)</f>
        <v>44.7</v>
      </c>
      <c r="U35" s="31">
        <f>ROUND(Table1[[#This Row],['#punten]]/Table1[[#This Row],['#minuten]],2)</f>
        <v>0.68</v>
      </c>
      <c r="V35" s="30">
        <f>ROUND((Table1[[#This Row],['#punten]]/(Table1[[#This Row],['#minuten]]/90)),2)</f>
        <v>61.53</v>
      </c>
      <c r="W35" s="30">
        <f>ROUND(Table1[[#This Row],[Prijs]]/Table1[[#This Row],['#punten]],0)</f>
        <v>14925</v>
      </c>
      <c r="X35" s="34">
        <f>ROUND((Table1[[#This Row],[Goals]]+Table1[[#This Row],[Asissts]])/(Table1[[#This Row],['#minuten]]/90),2)</f>
        <v>0.46</v>
      </c>
    </row>
    <row r="36" spans="1:25" x14ac:dyDescent="0.2">
      <c r="A36" s="11" t="s">
        <v>270</v>
      </c>
      <c r="B36" s="28" t="s">
        <v>11</v>
      </c>
      <c r="C36" s="29">
        <v>3500000</v>
      </c>
      <c r="D36" s="30" t="s">
        <v>135</v>
      </c>
      <c r="E36" s="30">
        <v>20</v>
      </c>
      <c r="F36" s="30" t="s">
        <v>167</v>
      </c>
      <c r="G36" s="31">
        <v>170</v>
      </c>
      <c r="H36" s="32">
        <v>170</v>
      </c>
      <c r="I36" s="32">
        <f>Table1[[#This Row],[laatste 5 wed.]]/Table1[[#This Row],['#punten]]*100</f>
        <v>100</v>
      </c>
      <c r="J36" s="30">
        <v>3</v>
      </c>
      <c r="K36" s="30">
        <v>3</v>
      </c>
      <c r="L36" s="30">
        <v>198</v>
      </c>
      <c r="M36" s="30">
        <v>198</v>
      </c>
      <c r="N36" s="30">
        <f>Table1[[#This Row],[Min laatste 5]]/Table1[[#This Row],['#minuten]]*100</f>
        <v>100</v>
      </c>
      <c r="O36" s="30">
        <v>0</v>
      </c>
      <c r="P36" s="30">
        <v>1</v>
      </c>
      <c r="Q36" s="32">
        <v>0</v>
      </c>
      <c r="R36" s="30">
        <v>0</v>
      </c>
      <c r="S36" s="30">
        <v>2</v>
      </c>
      <c r="T36" s="33">
        <f>ROUND(Table1[[#This Row],['#punten]]/Table1[[#This Row],['#Wed]],1)</f>
        <v>56.7</v>
      </c>
      <c r="U36" s="31">
        <f>ROUND(Table1[[#This Row],['#punten]]/Table1[[#This Row],['#minuten]],2)</f>
        <v>0.86</v>
      </c>
      <c r="V36" s="30">
        <f>ROUND((Table1[[#This Row],['#punten]]/(Table1[[#This Row],['#minuten]]/90)),2)</f>
        <v>77.27</v>
      </c>
      <c r="W36" s="30">
        <f>ROUND(Table1[[#This Row],[Prijs]]/Table1[[#This Row],['#punten]],0)</f>
        <v>20588</v>
      </c>
      <c r="X36" s="34">
        <f>ROUND((Table1[[#This Row],[Goals]]+Table1[[#This Row],[Asissts]])/(Table1[[#This Row],['#minuten]]/90),2)</f>
        <v>0.45</v>
      </c>
    </row>
    <row r="37" spans="1:25" x14ac:dyDescent="0.2">
      <c r="A37" s="11" t="s">
        <v>35</v>
      </c>
      <c r="B37" s="28" t="s">
        <v>49</v>
      </c>
      <c r="C37" s="29">
        <v>3000000</v>
      </c>
      <c r="D37" s="30" t="s">
        <v>135</v>
      </c>
      <c r="E37" s="30">
        <v>21</v>
      </c>
      <c r="F37" s="30" t="s">
        <v>315</v>
      </c>
      <c r="G37" s="31">
        <v>170</v>
      </c>
      <c r="H37" s="32">
        <v>170</v>
      </c>
      <c r="I37" s="32">
        <f>Table1[[#This Row],[laatste 5 wed.]]/Table1[[#This Row],['#punten]]*100</f>
        <v>100</v>
      </c>
      <c r="J37" s="30">
        <v>3</v>
      </c>
      <c r="K37" s="30">
        <v>3</v>
      </c>
      <c r="L37" s="30">
        <v>212</v>
      </c>
      <c r="M37" s="30">
        <v>212</v>
      </c>
      <c r="N37" s="30">
        <f>Table1[[#This Row],[Min laatste 5]]/Table1[[#This Row],['#minuten]]*100</f>
        <v>100</v>
      </c>
      <c r="O37" s="30">
        <v>0</v>
      </c>
      <c r="P37" s="30">
        <v>1</v>
      </c>
      <c r="Q37" s="32">
        <v>0</v>
      </c>
      <c r="R37" s="30">
        <v>0</v>
      </c>
      <c r="S37" s="30">
        <v>1</v>
      </c>
      <c r="T37" s="33">
        <f>ROUND(Table1[[#This Row],['#punten]]/Table1[[#This Row],['#Wed]],1)</f>
        <v>56.7</v>
      </c>
      <c r="U37" s="31">
        <f>ROUND(Table1[[#This Row],['#punten]]/Table1[[#This Row],['#minuten]],2)</f>
        <v>0.8</v>
      </c>
      <c r="V37" s="30">
        <f>ROUND((Table1[[#This Row],['#punten]]/(Table1[[#This Row],['#minuten]]/90)),2)</f>
        <v>72.17</v>
      </c>
      <c r="W37" s="30">
        <f>ROUND(Table1[[#This Row],[Prijs]]/Table1[[#This Row],['#punten]],0)</f>
        <v>17647</v>
      </c>
      <c r="X37" s="34">
        <f>ROUND((Table1[[#This Row],[Goals]]+Table1[[#This Row],[Asissts]])/(Table1[[#This Row],['#minuten]]/90),2)</f>
        <v>0.42</v>
      </c>
    </row>
    <row r="38" spans="1:25" x14ac:dyDescent="0.2">
      <c r="A38" s="11" t="s">
        <v>136</v>
      </c>
      <c r="B38" s="21" t="s">
        <v>43</v>
      </c>
      <c r="C38" s="22">
        <v>4500000</v>
      </c>
      <c r="D38" s="23" t="s">
        <v>135</v>
      </c>
      <c r="E38" s="23">
        <v>21</v>
      </c>
      <c r="F38" s="23" t="s">
        <v>141</v>
      </c>
      <c r="G38" s="24">
        <v>154</v>
      </c>
      <c r="H38" s="25">
        <v>154</v>
      </c>
      <c r="I38" s="25">
        <f>Table1[[#This Row],[laatste 5 wed.]]/Table1[[#This Row],['#punten]]*100</f>
        <v>100</v>
      </c>
      <c r="J38" s="23">
        <v>3</v>
      </c>
      <c r="K38" s="23">
        <v>3</v>
      </c>
      <c r="L38" s="23">
        <v>239</v>
      </c>
      <c r="M38" s="23">
        <v>239</v>
      </c>
      <c r="N38" s="23">
        <f>Table1[[#This Row],[Min laatste 5]]/Table1[[#This Row],['#minuten]]*100</f>
        <v>100</v>
      </c>
      <c r="O38" s="23">
        <v>1</v>
      </c>
      <c r="P38" s="23">
        <v>0</v>
      </c>
      <c r="Q38" s="25">
        <v>1</v>
      </c>
      <c r="R38" s="23">
        <v>0</v>
      </c>
      <c r="S38" s="23">
        <v>1</v>
      </c>
      <c r="T38" s="26">
        <f>ROUND(Table1[[#This Row],['#punten]]/Table1[[#This Row],['#Wed]],1)</f>
        <v>51.3</v>
      </c>
      <c r="U38" s="24">
        <f>ROUND(Table1[[#This Row],['#punten]]/Table1[[#This Row],['#minuten]],2)</f>
        <v>0.64</v>
      </c>
      <c r="V38" s="23">
        <f>ROUND((Table1[[#This Row],['#punten]]/(Table1[[#This Row],['#minuten]]/90)),2)</f>
        <v>57.99</v>
      </c>
      <c r="W38" s="23">
        <f>ROUND(Table1[[#This Row],[Prijs]]/Table1[[#This Row],['#punten]],0)</f>
        <v>29221</v>
      </c>
      <c r="X38" s="27">
        <f>ROUND((Table1[[#This Row],[Goals]]+Table1[[#This Row],[Asissts]])/(Table1[[#This Row],['#minuten]]/90),2)</f>
        <v>0.38</v>
      </c>
    </row>
    <row r="39" spans="1:25" x14ac:dyDescent="0.2">
      <c r="A39" s="11" t="s">
        <v>258</v>
      </c>
      <c r="B39" s="28" t="s">
        <v>10</v>
      </c>
      <c r="C39" s="29">
        <v>750000</v>
      </c>
      <c r="D39" s="30" t="s">
        <v>135</v>
      </c>
      <c r="E39" s="30">
        <v>21</v>
      </c>
      <c r="F39" s="30" t="s">
        <v>141</v>
      </c>
      <c r="G39" s="31">
        <v>176</v>
      </c>
      <c r="H39" s="32">
        <v>176</v>
      </c>
      <c r="I39" s="32">
        <f>Table1[[#This Row],[laatste 5 wed.]]/Table1[[#This Row],['#punten]]*100</f>
        <v>100</v>
      </c>
      <c r="J39" s="30">
        <v>4</v>
      </c>
      <c r="K39" s="30">
        <v>3</v>
      </c>
      <c r="L39" s="30">
        <v>238</v>
      </c>
      <c r="M39" s="30">
        <v>238</v>
      </c>
      <c r="N39" s="30">
        <f>Table1[[#This Row],[Min laatste 5]]/Table1[[#This Row],['#minuten]]*100</f>
        <v>100</v>
      </c>
      <c r="O39" s="30">
        <v>1</v>
      </c>
      <c r="P39" s="30">
        <v>0</v>
      </c>
      <c r="Q39" s="32">
        <v>1</v>
      </c>
      <c r="R39" s="30">
        <v>0</v>
      </c>
      <c r="S39" s="30">
        <v>1</v>
      </c>
      <c r="T39" s="33">
        <f>ROUND(Table1[[#This Row],['#punten]]/Table1[[#This Row],['#Wed]],1)</f>
        <v>44</v>
      </c>
      <c r="U39" s="31">
        <f>ROUND(Table1[[#This Row],['#punten]]/Table1[[#This Row],['#minuten]],2)</f>
        <v>0.74</v>
      </c>
      <c r="V39" s="30">
        <f>ROUND((Table1[[#This Row],['#punten]]/(Table1[[#This Row],['#minuten]]/90)),2)</f>
        <v>66.55</v>
      </c>
      <c r="W39" s="30">
        <f>ROUND(Table1[[#This Row],[Prijs]]/Table1[[#This Row],['#punten]],0)</f>
        <v>4261</v>
      </c>
      <c r="X39" s="34">
        <f>ROUND((Table1[[#This Row],[Goals]]+Table1[[#This Row],[Asissts]])/(Table1[[#This Row],['#minuten]]/90),2)</f>
        <v>0.38</v>
      </c>
    </row>
    <row r="40" spans="1:25" x14ac:dyDescent="0.2">
      <c r="A40" s="11" t="s">
        <v>365</v>
      </c>
      <c r="B40" s="21" t="s">
        <v>39</v>
      </c>
      <c r="C40" s="22">
        <v>1750000</v>
      </c>
      <c r="D40" s="23" t="s">
        <v>135</v>
      </c>
      <c r="E40" s="23">
        <v>27</v>
      </c>
      <c r="F40" s="23" t="s">
        <v>187</v>
      </c>
      <c r="G40" s="24">
        <v>128</v>
      </c>
      <c r="H40" s="25">
        <v>128</v>
      </c>
      <c r="I40" s="25">
        <f>Table1[[#This Row],[laatste 5 wed.]]/Table1[[#This Row],['#punten]]*100</f>
        <v>100</v>
      </c>
      <c r="J40" s="23">
        <v>3</v>
      </c>
      <c r="K40" s="23">
        <v>3</v>
      </c>
      <c r="L40" s="23">
        <v>244</v>
      </c>
      <c r="M40" s="23">
        <v>244</v>
      </c>
      <c r="N40" s="23">
        <f>Table1[[#This Row],[Min laatste 5]]/Table1[[#This Row],['#minuten]]*100</f>
        <v>100</v>
      </c>
      <c r="O40" s="23">
        <v>0</v>
      </c>
      <c r="P40" s="23">
        <v>1</v>
      </c>
      <c r="Q40" s="25">
        <v>1</v>
      </c>
      <c r="R40" s="23">
        <v>0</v>
      </c>
      <c r="S40" s="23">
        <v>0</v>
      </c>
      <c r="T40" s="26">
        <f>ROUND(Table1[[#This Row],['#punten]]/Table1[[#This Row],['#Wed]],1)</f>
        <v>42.7</v>
      </c>
      <c r="U40" s="24">
        <f>ROUND(Table1[[#This Row],['#punten]]/Table1[[#This Row],['#minuten]],2)</f>
        <v>0.52</v>
      </c>
      <c r="V40" s="23">
        <f>ROUND((Table1[[#This Row],['#punten]]/(Table1[[#This Row],['#minuten]]/90)),2)</f>
        <v>47.21</v>
      </c>
      <c r="W40" s="23">
        <f>ROUND(Table1[[#This Row],[Prijs]]/Table1[[#This Row],['#punten]],0)</f>
        <v>13672</v>
      </c>
      <c r="X40" s="27">
        <f>ROUND((Table1[[#This Row],[Goals]]+Table1[[#This Row],[Asissts]])/(Table1[[#This Row],['#minuten]]/90),2)</f>
        <v>0.37</v>
      </c>
    </row>
    <row r="41" spans="1:25" x14ac:dyDescent="0.2">
      <c r="A41" s="11" t="s">
        <v>261</v>
      </c>
      <c r="B41" s="28" t="s">
        <v>260</v>
      </c>
      <c r="C41" s="29">
        <v>1250000</v>
      </c>
      <c r="D41" s="30" t="s">
        <v>135</v>
      </c>
      <c r="E41" s="30">
        <v>31</v>
      </c>
      <c r="F41" s="30" t="s">
        <v>200</v>
      </c>
      <c r="G41" s="31">
        <v>248</v>
      </c>
      <c r="H41" s="32">
        <v>248</v>
      </c>
      <c r="I41" s="32">
        <f>Table1[[#This Row],[laatste 5 wed.]]/Table1[[#This Row],['#punten]]*100</f>
        <v>100</v>
      </c>
      <c r="J41" s="30">
        <v>4</v>
      </c>
      <c r="K41" s="30">
        <v>3</v>
      </c>
      <c r="L41" s="30">
        <v>258</v>
      </c>
      <c r="M41" s="30">
        <v>258</v>
      </c>
      <c r="N41" s="30">
        <f>Table1[[#This Row],[Min laatste 5]]/Table1[[#This Row],['#minuten]]*100</f>
        <v>100</v>
      </c>
      <c r="O41" s="30">
        <v>1</v>
      </c>
      <c r="P41" s="30">
        <v>0</v>
      </c>
      <c r="Q41" s="32">
        <v>0</v>
      </c>
      <c r="R41" s="30">
        <v>0</v>
      </c>
      <c r="S41" s="30">
        <v>1</v>
      </c>
      <c r="T41" s="33">
        <f>ROUND(Table1[[#This Row],['#punten]]/Table1[[#This Row],['#Wed]],1)</f>
        <v>62</v>
      </c>
      <c r="U41" s="31">
        <f>ROUND(Table1[[#This Row],['#punten]]/Table1[[#This Row],['#minuten]],2)</f>
        <v>0.96</v>
      </c>
      <c r="V41" s="30">
        <f>ROUND((Table1[[#This Row],['#punten]]/(Table1[[#This Row],['#minuten]]/90)),2)</f>
        <v>86.51</v>
      </c>
      <c r="W41" s="30">
        <f>ROUND(Table1[[#This Row],[Prijs]]/Table1[[#This Row],['#punten]],0)</f>
        <v>5040</v>
      </c>
      <c r="X41" s="34">
        <f>ROUND((Table1[[#This Row],[Goals]]+Table1[[#This Row],[Asissts]])/(Table1[[#This Row],['#minuten]]/90),2)</f>
        <v>0.35</v>
      </c>
    </row>
    <row r="42" spans="1:25" x14ac:dyDescent="0.2">
      <c r="A42" s="11" t="s">
        <v>296</v>
      </c>
      <c r="B42" s="28" t="s">
        <v>47</v>
      </c>
      <c r="C42" s="29">
        <v>2500000</v>
      </c>
      <c r="D42" s="30" t="s">
        <v>135</v>
      </c>
      <c r="E42" s="30">
        <v>27</v>
      </c>
      <c r="F42" s="30" t="s">
        <v>141</v>
      </c>
      <c r="G42" s="31">
        <v>134</v>
      </c>
      <c r="H42" s="32">
        <v>134</v>
      </c>
      <c r="I42" s="32">
        <f>Table1[[#This Row],[laatste 5 wed.]]/Table1[[#This Row],['#punten]]*100</f>
        <v>100</v>
      </c>
      <c r="J42" s="30">
        <v>3</v>
      </c>
      <c r="K42" s="30">
        <v>3</v>
      </c>
      <c r="L42" s="30">
        <v>262</v>
      </c>
      <c r="M42" s="30">
        <v>262</v>
      </c>
      <c r="N42" s="30">
        <f>Table1[[#This Row],[Min laatste 5]]/Table1[[#This Row],['#minuten]]*100</f>
        <v>100</v>
      </c>
      <c r="O42" s="30">
        <v>0</v>
      </c>
      <c r="P42" s="30">
        <v>1</v>
      </c>
      <c r="Q42" s="32">
        <v>1</v>
      </c>
      <c r="R42" s="30">
        <v>0</v>
      </c>
      <c r="S42" s="30">
        <v>0</v>
      </c>
      <c r="T42" s="33">
        <f>ROUND(Table1[[#This Row],['#punten]]/Table1[[#This Row],['#Wed]],1)</f>
        <v>44.7</v>
      </c>
      <c r="U42" s="31">
        <f>ROUND(Table1[[#This Row],['#punten]]/Table1[[#This Row],['#minuten]],2)</f>
        <v>0.51</v>
      </c>
      <c r="V42" s="30">
        <f>ROUND((Table1[[#This Row],['#punten]]/(Table1[[#This Row],['#minuten]]/90)),2)</f>
        <v>46.03</v>
      </c>
      <c r="W42" s="30">
        <f>ROUND(Table1[[#This Row],[Prijs]]/Table1[[#This Row],['#punten]],0)</f>
        <v>18657</v>
      </c>
      <c r="X42" s="34">
        <f>ROUND((Table1[[#This Row],[Goals]]+Table1[[#This Row],[Asissts]])/(Table1[[#This Row],['#minuten]]/90),2)</f>
        <v>0.34</v>
      </c>
    </row>
    <row r="43" spans="1:25" x14ac:dyDescent="0.2">
      <c r="A43" s="11" t="s">
        <v>164</v>
      </c>
      <c r="B43" s="21" t="s">
        <v>159</v>
      </c>
      <c r="C43" s="22">
        <v>750000</v>
      </c>
      <c r="D43" s="23" t="s">
        <v>135</v>
      </c>
      <c r="E43" s="23">
        <v>32</v>
      </c>
      <c r="F43" s="23" t="s">
        <v>141</v>
      </c>
      <c r="G43" s="24">
        <v>116</v>
      </c>
      <c r="H43" s="25">
        <v>116</v>
      </c>
      <c r="I43" s="25">
        <f>Table1[[#This Row],[laatste 5 wed.]]/Table1[[#This Row],['#punten]]*100</f>
        <v>100</v>
      </c>
      <c r="J43" s="23">
        <v>4</v>
      </c>
      <c r="K43" s="23">
        <v>3</v>
      </c>
      <c r="L43" s="23">
        <v>281</v>
      </c>
      <c r="M43" s="23">
        <v>281</v>
      </c>
      <c r="N43" s="23">
        <f>Table1[[#This Row],[Min laatste 5]]/Table1[[#This Row],['#minuten]]*100</f>
        <v>100</v>
      </c>
      <c r="O43" s="23">
        <v>0</v>
      </c>
      <c r="P43" s="23">
        <v>1</v>
      </c>
      <c r="Q43" s="25">
        <v>0</v>
      </c>
      <c r="R43" s="23">
        <v>0</v>
      </c>
      <c r="S43" s="23">
        <v>0</v>
      </c>
      <c r="T43" s="26">
        <f>ROUND(Table1[[#This Row],['#punten]]/Table1[[#This Row],['#Wed]],1)</f>
        <v>29</v>
      </c>
      <c r="U43" s="24">
        <f>ROUND(Table1[[#This Row],['#punten]]/Table1[[#This Row],['#minuten]],2)</f>
        <v>0.41</v>
      </c>
      <c r="V43" s="23">
        <f>ROUND((Table1[[#This Row],['#punten]]/(Table1[[#This Row],['#minuten]]/90)),2)</f>
        <v>37.15</v>
      </c>
      <c r="W43" s="23">
        <f>ROUND(Table1[[#This Row],[Prijs]]/Table1[[#This Row],['#punten]],0)</f>
        <v>6466</v>
      </c>
      <c r="X43" s="27">
        <f>ROUND((Table1[[#This Row],[Goals]]+Table1[[#This Row],[Asissts]])/(Table1[[#This Row],['#minuten]]/90),2)</f>
        <v>0.32</v>
      </c>
    </row>
    <row r="44" spans="1:25" x14ac:dyDescent="0.2">
      <c r="A44" s="11" t="s">
        <v>236</v>
      </c>
      <c r="B44" s="28" t="s">
        <v>48</v>
      </c>
      <c r="C44" s="29">
        <v>2500000</v>
      </c>
      <c r="D44" s="30" t="s">
        <v>135</v>
      </c>
      <c r="E44" s="30">
        <v>24</v>
      </c>
      <c r="F44" s="30" t="s">
        <v>237</v>
      </c>
      <c r="G44" s="31">
        <v>212</v>
      </c>
      <c r="H44" s="32">
        <v>212</v>
      </c>
      <c r="I44" s="32">
        <f>Table1[[#This Row],[laatste 5 wed.]]/Table1[[#This Row],['#punten]]*100</f>
        <v>100</v>
      </c>
      <c r="J44" s="30">
        <v>4</v>
      </c>
      <c r="K44" s="30">
        <v>4</v>
      </c>
      <c r="L44" s="30">
        <v>287</v>
      </c>
      <c r="M44" s="30">
        <v>287</v>
      </c>
      <c r="N44" s="30">
        <f>Table1[[#This Row],[Min laatste 5]]/Table1[[#This Row],['#minuten]]*100</f>
        <v>100</v>
      </c>
      <c r="O44" s="30">
        <v>1</v>
      </c>
      <c r="P44" s="30">
        <v>0</v>
      </c>
      <c r="Q44" s="32">
        <v>0</v>
      </c>
      <c r="R44" s="30">
        <v>0</v>
      </c>
      <c r="S44" s="30">
        <v>1</v>
      </c>
      <c r="T44" s="33">
        <f>ROUND(Table1[[#This Row],['#punten]]/Table1[[#This Row],['#Wed]],1)</f>
        <v>53</v>
      </c>
      <c r="U44" s="31">
        <f>ROUND(Table1[[#This Row],['#punten]]/Table1[[#This Row],['#minuten]],2)</f>
        <v>0.74</v>
      </c>
      <c r="V44" s="30">
        <f>ROUND((Table1[[#This Row],['#punten]]/(Table1[[#This Row],['#minuten]]/90)),2)</f>
        <v>66.48</v>
      </c>
      <c r="W44" s="30">
        <f>ROUND(Table1[[#This Row],[Prijs]]/Table1[[#This Row],['#punten]],0)</f>
        <v>11792</v>
      </c>
      <c r="X44" s="34">
        <f>ROUND((Table1[[#This Row],[Goals]]+Table1[[#This Row],[Asissts]])/(Table1[[#This Row],['#minuten]]/90),2)</f>
        <v>0.31</v>
      </c>
    </row>
    <row r="45" spans="1:25" x14ac:dyDescent="0.2">
      <c r="A45" s="11" t="s">
        <v>165</v>
      </c>
      <c r="B45" s="28" t="s">
        <v>159</v>
      </c>
      <c r="C45" s="29">
        <v>1000000</v>
      </c>
      <c r="D45" s="30" t="s">
        <v>135</v>
      </c>
      <c r="E45" s="30">
        <v>27</v>
      </c>
      <c r="F45" s="30" t="s">
        <v>160</v>
      </c>
      <c r="G45" s="31">
        <v>176</v>
      </c>
      <c r="H45" s="32">
        <v>176</v>
      </c>
      <c r="I45" s="32">
        <f>Table1[[#This Row],[laatste 5 wed.]]/Table1[[#This Row],['#punten]]*100</f>
        <v>100</v>
      </c>
      <c r="J45" s="30">
        <v>4</v>
      </c>
      <c r="K45" s="30">
        <v>4</v>
      </c>
      <c r="L45" s="30">
        <v>325</v>
      </c>
      <c r="M45" s="30">
        <v>325</v>
      </c>
      <c r="N45" s="30">
        <f>Table1[[#This Row],[Min laatste 5]]/Table1[[#This Row],['#minuten]]*100</f>
        <v>100</v>
      </c>
      <c r="O45" s="30">
        <v>1</v>
      </c>
      <c r="P45" s="30">
        <v>0</v>
      </c>
      <c r="Q45" s="32">
        <v>0</v>
      </c>
      <c r="R45" s="30">
        <v>0</v>
      </c>
      <c r="S45" s="30">
        <v>0</v>
      </c>
      <c r="T45" s="33">
        <f>ROUND(Table1[[#This Row],['#punten]]/Table1[[#This Row],['#Wed]],1)</f>
        <v>44</v>
      </c>
      <c r="U45" s="31">
        <f>ROUND(Table1[[#This Row],['#punten]]/Table1[[#This Row],['#minuten]],2)</f>
        <v>0.54</v>
      </c>
      <c r="V45" s="30">
        <f>ROUND((Table1[[#This Row],['#punten]]/(Table1[[#This Row],['#minuten]]/90)),2)</f>
        <v>48.74</v>
      </c>
      <c r="W45" s="30">
        <f>ROUND(Table1[[#This Row],[Prijs]]/Table1[[#This Row],['#punten]],0)</f>
        <v>5682</v>
      </c>
      <c r="X45" s="34">
        <f>ROUND((Table1[[#This Row],[Goals]]+Table1[[#This Row],[Asissts]])/(Table1[[#This Row],['#minuten]]/90),2)</f>
        <v>0.28000000000000003</v>
      </c>
    </row>
    <row r="46" spans="1:25" x14ac:dyDescent="0.2">
      <c r="A46" s="11" t="s">
        <v>216</v>
      </c>
      <c r="B46" s="21" t="s">
        <v>46</v>
      </c>
      <c r="C46" s="22">
        <v>1250000</v>
      </c>
      <c r="D46" s="23" t="s">
        <v>135</v>
      </c>
      <c r="E46" s="23">
        <v>24</v>
      </c>
      <c r="F46" s="23" t="s">
        <v>141</v>
      </c>
      <c r="G46" s="24">
        <v>92</v>
      </c>
      <c r="H46" s="25">
        <v>92</v>
      </c>
      <c r="I46" s="25">
        <f>Table1[[#This Row],[laatste 5 wed.]]/Table1[[#This Row],['#punten]]*100</f>
        <v>100</v>
      </c>
      <c r="J46" s="23">
        <v>4</v>
      </c>
      <c r="K46" s="23">
        <v>4</v>
      </c>
      <c r="L46" s="23">
        <v>357</v>
      </c>
      <c r="M46" s="23">
        <v>357</v>
      </c>
      <c r="N46" s="23">
        <f>Table1[[#This Row],[Min laatste 5]]/Table1[[#This Row],['#minuten]]*100</f>
        <v>100</v>
      </c>
      <c r="O46" s="23">
        <v>0</v>
      </c>
      <c r="P46" s="23">
        <v>1</v>
      </c>
      <c r="Q46" s="25">
        <v>1</v>
      </c>
      <c r="R46" s="23">
        <v>0</v>
      </c>
      <c r="S46" s="23">
        <v>2</v>
      </c>
      <c r="T46" s="26">
        <f>ROUND(Table1[[#This Row],['#punten]]/Table1[[#This Row],['#Wed]],1)</f>
        <v>23</v>
      </c>
      <c r="U46" s="24">
        <f>ROUND(Table1[[#This Row],['#punten]]/Table1[[#This Row],['#minuten]],2)</f>
        <v>0.26</v>
      </c>
      <c r="V46" s="23">
        <f>ROUND((Table1[[#This Row],['#punten]]/(Table1[[#This Row],['#minuten]]/90)),2)</f>
        <v>23.19</v>
      </c>
      <c r="W46" s="23">
        <f>ROUND(Table1[[#This Row],[Prijs]]/Table1[[#This Row],['#punten]],0)</f>
        <v>13587</v>
      </c>
      <c r="X46" s="27">
        <f>ROUND((Table1[[#This Row],[Goals]]+Table1[[#This Row],[Asissts]])/(Table1[[#This Row],['#minuten]]/90),2)</f>
        <v>0.25</v>
      </c>
      <c r="Y46" t="s">
        <v>396</v>
      </c>
    </row>
    <row r="47" spans="1:25" x14ac:dyDescent="0.2">
      <c r="A47" s="11" t="s">
        <v>137</v>
      </c>
      <c r="B47" s="21" t="s">
        <v>43</v>
      </c>
      <c r="C47" s="22">
        <v>4500000</v>
      </c>
      <c r="D47" s="23" t="s">
        <v>135</v>
      </c>
      <c r="E47" s="23">
        <v>27</v>
      </c>
      <c r="F47" s="23" t="s">
        <v>142</v>
      </c>
      <c r="G47" s="24">
        <v>0</v>
      </c>
      <c r="H47" s="25">
        <v>0</v>
      </c>
      <c r="I47" s="25">
        <v>100</v>
      </c>
      <c r="J47" s="23">
        <v>1</v>
      </c>
      <c r="K47" s="23">
        <v>0</v>
      </c>
      <c r="L47" s="23">
        <v>29</v>
      </c>
      <c r="M47" s="23">
        <v>29</v>
      </c>
      <c r="N47" s="23">
        <f>Table1[[#This Row],[Min laatste 5]]/Table1[[#This Row],['#minuten]]*100</f>
        <v>100</v>
      </c>
      <c r="O47" s="23">
        <v>0</v>
      </c>
      <c r="P47" s="23">
        <v>0</v>
      </c>
      <c r="Q47" s="25">
        <v>0</v>
      </c>
      <c r="R47" s="23">
        <v>0</v>
      </c>
      <c r="S47" s="23">
        <v>0</v>
      </c>
      <c r="T47" s="26">
        <f>ROUND(Table1[[#This Row],['#punten]]/Table1[[#This Row],['#Wed]],1)</f>
        <v>0</v>
      </c>
      <c r="U47" s="24">
        <f>ROUND(Table1[[#This Row],['#punten]]/Table1[[#This Row],['#minuten]],2)</f>
        <v>0</v>
      </c>
      <c r="V47" s="23">
        <f>ROUND((Table1[[#This Row],['#punten]]/(Table1[[#This Row],['#minuten]]/90)),2)</f>
        <v>0</v>
      </c>
      <c r="W47" s="23">
        <v>0</v>
      </c>
      <c r="X47" s="27">
        <f>ROUND((Table1[[#This Row],[Goals]]+Table1[[#This Row],[Asissts]])/(Table1[[#This Row],['#minuten]]/90),2)</f>
        <v>0</v>
      </c>
    </row>
    <row r="48" spans="1:25" x14ac:dyDescent="0.2">
      <c r="A48" s="11" t="s">
        <v>354</v>
      </c>
      <c r="B48" s="21" t="s">
        <v>43</v>
      </c>
      <c r="C48" s="22">
        <v>3500000</v>
      </c>
      <c r="D48" s="23" t="s">
        <v>135</v>
      </c>
      <c r="E48" s="23">
        <v>22</v>
      </c>
      <c r="F48" s="23" t="s">
        <v>355</v>
      </c>
      <c r="G48" s="24">
        <v>34</v>
      </c>
      <c r="H48" s="25">
        <v>34</v>
      </c>
      <c r="I48" s="25">
        <f>Table1[[#This Row],[laatste 5 wed.]]/Table1[[#This Row],['#punten]]*100</f>
        <v>100</v>
      </c>
      <c r="J48" s="23">
        <v>1</v>
      </c>
      <c r="K48" s="23">
        <v>1</v>
      </c>
      <c r="L48" s="23">
        <v>90</v>
      </c>
      <c r="M48" s="23">
        <v>90</v>
      </c>
      <c r="N48" s="23">
        <f>Table1[[#This Row],[Min laatste 5]]/Table1[[#This Row],['#minuten]]*100</f>
        <v>100</v>
      </c>
      <c r="O48" s="23">
        <v>0</v>
      </c>
      <c r="P48" s="23">
        <v>0</v>
      </c>
      <c r="Q48" s="25">
        <v>0</v>
      </c>
      <c r="R48" s="23">
        <v>0</v>
      </c>
      <c r="S48" s="23">
        <v>1</v>
      </c>
      <c r="T48" s="26">
        <f>ROUND(Table1[[#This Row],['#punten]]/Table1[[#This Row],['#Wed]],1)</f>
        <v>34</v>
      </c>
      <c r="U48" s="24">
        <f>ROUND(Table1[[#This Row],['#punten]]/Table1[[#This Row],['#minuten]],2)</f>
        <v>0.38</v>
      </c>
      <c r="V48" s="23">
        <f>ROUND((Table1[[#This Row],['#punten]]/(Table1[[#This Row],['#minuten]]/90)),2)</f>
        <v>34</v>
      </c>
      <c r="W48" s="23">
        <f>ROUND(Table1[[#This Row],[Prijs]]/Table1[[#This Row],['#punten]],0)</f>
        <v>102941</v>
      </c>
      <c r="X48" s="27">
        <f>ROUND((Table1[[#This Row],[Goals]]+Table1[[#This Row],[Asissts]])/(Table1[[#This Row],['#minuten]]/90),2)</f>
        <v>0</v>
      </c>
    </row>
    <row r="49" spans="1:24" x14ac:dyDescent="0.2">
      <c r="A49" s="11" t="s">
        <v>352</v>
      </c>
      <c r="B49" s="28" t="s">
        <v>11</v>
      </c>
      <c r="C49" s="29">
        <v>3000000</v>
      </c>
      <c r="D49" s="30" t="s">
        <v>135</v>
      </c>
      <c r="E49" s="30">
        <v>28</v>
      </c>
      <c r="F49" s="30" t="s">
        <v>192</v>
      </c>
      <c r="G49" s="31">
        <v>0</v>
      </c>
      <c r="H49" s="32">
        <v>0</v>
      </c>
      <c r="I49" s="32">
        <v>100</v>
      </c>
      <c r="J49" s="30">
        <v>0</v>
      </c>
      <c r="K49" s="30">
        <v>0</v>
      </c>
      <c r="L49" s="30">
        <v>0</v>
      </c>
      <c r="M49" s="30">
        <v>0</v>
      </c>
      <c r="N49" s="30">
        <v>100</v>
      </c>
      <c r="O49" s="30">
        <v>0</v>
      </c>
      <c r="P49" s="30">
        <v>0</v>
      </c>
      <c r="Q49" s="32">
        <v>0</v>
      </c>
      <c r="R49" s="30">
        <v>0</v>
      </c>
      <c r="S49" s="30">
        <v>0</v>
      </c>
      <c r="T49" s="33">
        <v>0</v>
      </c>
      <c r="U49" s="31">
        <v>0</v>
      </c>
      <c r="V49" s="30">
        <v>0</v>
      </c>
      <c r="W49" s="30">
        <v>0</v>
      </c>
      <c r="X49" s="34">
        <v>0</v>
      </c>
    </row>
    <row r="50" spans="1:24" x14ac:dyDescent="0.2">
      <c r="A50" s="11" t="s">
        <v>170</v>
      </c>
      <c r="B50" s="28" t="s">
        <v>6</v>
      </c>
      <c r="C50" s="29">
        <v>2500000</v>
      </c>
      <c r="D50" s="30" t="s">
        <v>135</v>
      </c>
      <c r="E50" s="30">
        <v>24</v>
      </c>
      <c r="F50" s="30" t="s">
        <v>156</v>
      </c>
      <c r="G50" s="31">
        <v>92</v>
      </c>
      <c r="H50" s="32">
        <v>92</v>
      </c>
      <c r="I50" s="32">
        <f>Table1[[#This Row],[laatste 5 wed.]]/Table1[[#This Row],['#punten]]*100</f>
        <v>100</v>
      </c>
      <c r="J50" s="30">
        <v>3</v>
      </c>
      <c r="K50" s="30">
        <v>2</v>
      </c>
      <c r="L50" s="30">
        <v>115</v>
      </c>
      <c r="M50" s="30">
        <v>115</v>
      </c>
      <c r="N50" s="30">
        <f>Table1[[#This Row],[Min laatste 5]]/Table1[[#This Row],['#minuten]]*100</f>
        <v>100</v>
      </c>
      <c r="O50" s="30">
        <v>0</v>
      </c>
      <c r="P50" s="30">
        <v>0</v>
      </c>
      <c r="Q50" s="32">
        <v>0</v>
      </c>
      <c r="R50" s="30">
        <v>0</v>
      </c>
      <c r="S50" s="30">
        <v>0</v>
      </c>
      <c r="T50" s="33">
        <f>ROUND(Table1[[#This Row],['#punten]]/Table1[[#This Row],['#Wed]],1)</f>
        <v>30.7</v>
      </c>
      <c r="U50" s="31">
        <f>ROUND(Table1[[#This Row],['#punten]]/Table1[[#This Row],['#minuten]],2)</f>
        <v>0.8</v>
      </c>
      <c r="V50" s="30">
        <f>ROUND((Table1[[#This Row],['#punten]]/(Table1[[#This Row],['#minuten]]/90)),2)</f>
        <v>72</v>
      </c>
      <c r="W50" s="30">
        <f>ROUND(Table1[[#This Row],[Prijs]]/Table1[[#This Row],['#punten]],0)</f>
        <v>27174</v>
      </c>
      <c r="X50" s="34">
        <f>ROUND((Table1[[#This Row],[Goals]]+Table1[[#This Row],[Asissts]])/(Table1[[#This Row],['#minuten]]/90),2)</f>
        <v>0</v>
      </c>
    </row>
    <row r="51" spans="1:24" x14ac:dyDescent="0.2">
      <c r="A51" s="11" t="s">
        <v>318</v>
      </c>
      <c r="B51" s="28" t="s">
        <v>317</v>
      </c>
      <c r="C51" s="29">
        <v>2000000</v>
      </c>
      <c r="D51" s="30" t="s">
        <v>135</v>
      </c>
      <c r="E51" s="30">
        <v>31</v>
      </c>
      <c r="F51" s="30" t="s">
        <v>141</v>
      </c>
      <c r="G51" s="31">
        <v>88</v>
      </c>
      <c r="H51" s="32">
        <v>88</v>
      </c>
      <c r="I51" s="32">
        <f>Table1[[#This Row],[laatste 5 wed.]]/Table1[[#This Row],['#punten]]*100</f>
        <v>100</v>
      </c>
      <c r="J51" s="30">
        <v>4</v>
      </c>
      <c r="K51" s="30">
        <v>4</v>
      </c>
      <c r="L51" s="30">
        <v>348</v>
      </c>
      <c r="M51" s="30">
        <v>348</v>
      </c>
      <c r="N51" s="30">
        <f>Table1[[#This Row],[Min laatste 5]]/Table1[[#This Row],['#minuten]]*100</f>
        <v>100</v>
      </c>
      <c r="O51" s="30">
        <v>0</v>
      </c>
      <c r="P51" s="30">
        <v>0</v>
      </c>
      <c r="Q51" s="32">
        <v>1</v>
      </c>
      <c r="R51" s="30">
        <v>0</v>
      </c>
      <c r="S51" s="30">
        <v>0</v>
      </c>
      <c r="T51" s="33">
        <f>ROUND(Table1[[#This Row],['#punten]]/Table1[[#This Row],['#Wed]],1)</f>
        <v>22</v>
      </c>
      <c r="U51" s="31">
        <f>ROUND(Table1[[#This Row],['#punten]]/Table1[[#This Row],['#minuten]],2)</f>
        <v>0.25</v>
      </c>
      <c r="V51" s="30">
        <f>ROUND((Table1[[#This Row],['#punten]]/(Table1[[#This Row],['#minuten]]/90)),2)</f>
        <v>22.76</v>
      </c>
      <c r="W51" s="30">
        <f>ROUND(Table1[[#This Row],[Prijs]]/Table1[[#This Row],['#punten]],0)</f>
        <v>22727</v>
      </c>
      <c r="X51" s="34">
        <f>ROUND((Table1[[#This Row],[Goals]]+Table1[[#This Row],[Asissts]])/(Table1[[#This Row],['#minuten]]/90),2)</f>
        <v>0</v>
      </c>
    </row>
    <row r="52" spans="1:24" x14ac:dyDescent="0.2">
      <c r="A52" s="11" t="s">
        <v>339</v>
      </c>
      <c r="B52" s="28" t="s">
        <v>50</v>
      </c>
      <c r="C52" s="29">
        <v>2000000</v>
      </c>
      <c r="D52" s="30" t="s">
        <v>135</v>
      </c>
      <c r="E52" s="30">
        <v>22</v>
      </c>
      <c r="F52" s="30" t="s">
        <v>160</v>
      </c>
      <c r="G52" s="31">
        <v>102</v>
      </c>
      <c r="H52" s="32">
        <v>102</v>
      </c>
      <c r="I52" s="32">
        <f>Table1[[#This Row],[laatste 5 wed.]]/Table1[[#This Row],['#punten]]*100</f>
        <v>100</v>
      </c>
      <c r="J52" s="30">
        <v>3</v>
      </c>
      <c r="K52" s="30">
        <v>2</v>
      </c>
      <c r="L52" s="30">
        <v>217</v>
      </c>
      <c r="M52" s="30">
        <v>217</v>
      </c>
      <c r="N52" s="30">
        <f>Table1[[#This Row],[Min laatste 5]]/Table1[[#This Row],['#minuten]]*100</f>
        <v>100</v>
      </c>
      <c r="O52" s="30">
        <v>0</v>
      </c>
      <c r="P52" s="30">
        <v>0</v>
      </c>
      <c r="Q52" s="32">
        <v>0</v>
      </c>
      <c r="R52" s="30">
        <v>0</v>
      </c>
      <c r="S52" s="30">
        <v>0</v>
      </c>
      <c r="T52" s="33">
        <f>ROUND(Table1[[#This Row],['#punten]]/Table1[[#This Row],['#Wed]],1)</f>
        <v>34</v>
      </c>
      <c r="U52" s="31">
        <f>ROUND(Table1[[#This Row],['#punten]]/Table1[[#This Row],['#minuten]],2)</f>
        <v>0.47</v>
      </c>
      <c r="V52" s="30">
        <f>ROUND((Table1[[#This Row],['#punten]]/(Table1[[#This Row],['#minuten]]/90)),2)</f>
        <v>42.3</v>
      </c>
      <c r="W52" s="30">
        <f>ROUND(Table1[[#This Row],[Prijs]]/Table1[[#This Row],['#punten]],0)</f>
        <v>19608</v>
      </c>
      <c r="X52" s="34">
        <f>ROUND((Table1[[#This Row],[Goals]]+Table1[[#This Row],[Asissts]])/(Table1[[#This Row],['#minuten]]/90),2)</f>
        <v>0</v>
      </c>
    </row>
    <row r="53" spans="1:24" x14ac:dyDescent="0.2">
      <c r="A53" s="11" t="s">
        <v>338</v>
      </c>
      <c r="B53" s="28" t="s">
        <v>50</v>
      </c>
      <c r="C53" s="29">
        <v>2000000</v>
      </c>
      <c r="D53" s="30" t="s">
        <v>135</v>
      </c>
      <c r="E53" s="30">
        <v>21</v>
      </c>
      <c r="F53" s="30" t="s">
        <v>141</v>
      </c>
      <c r="G53" s="31">
        <v>74</v>
      </c>
      <c r="H53" s="32">
        <v>74</v>
      </c>
      <c r="I53" s="32">
        <f>Table1[[#This Row],[laatste 5 wed.]]/Table1[[#This Row],['#punten]]*100</f>
        <v>100</v>
      </c>
      <c r="J53" s="30">
        <v>3</v>
      </c>
      <c r="K53" s="30">
        <v>2</v>
      </c>
      <c r="L53" s="30">
        <v>186</v>
      </c>
      <c r="M53" s="30">
        <v>186</v>
      </c>
      <c r="N53" s="30">
        <f>Table1[[#This Row],[Min laatste 5]]/Table1[[#This Row],['#minuten]]*100</f>
        <v>100</v>
      </c>
      <c r="O53" s="30">
        <v>0</v>
      </c>
      <c r="P53" s="30">
        <v>0</v>
      </c>
      <c r="Q53" s="32">
        <v>0</v>
      </c>
      <c r="R53" s="30">
        <v>0</v>
      </c>
      <c r="S53" s="30">
        <v>0</v>
      </c>
      <c r="T53" s="33">
        <f>ROUND(Table1[[#This Row],['#punten]]/Table1[[#This Row],['#Wed]],1)</f>
        <v>24.7</v>
      </c>
      <c r="U53" s="31">
        <f>ROUND(Table1[[#This Row],['#punten]]/Table1[[#This Row],['#minuten]],2)</f>
        <v>0.4</v>
      </c>
      <c r="V53" s="30">
        <f>ROUND((Table1[[#This Row],['#punten]]/(Table1[[#This Row],['#minuten]]/90)),2)</f>
        <v>35.81</v>
      </c>
      <c r="W53" s="30">
        <f>ROUND(Table1[[#This Row],[Prijs]]/Table1[[#This Row],['#punten]],0)</f>
        <v>27027</v>
      </c>
      <c r="X53" s="34">
        <f>ROUND((Table1[[#This Row],[Goals]]+Table1[[#This Row],[Asissts]])/(Table1[[#This Row],['#minuten]]/90),2)</f>
        <v>0</v>
      </c>
    </row>
    <row r="54" spans="1:24" x14ac:dyDescent="0.2">
      <c r="A54" s="11" t="s">
        <v>349</v>
      </c>
      <c r="B54" s="21" t="s">
        <v>10</v>
      </c>
      <c r="C54" s="22">
        <v>1750000</v>
      </c>
      <c r="D54" s="23" t="s">
        <v>135</v>
      </c>
      <c r="E54" s="23">
        <v>34</v>
      </c>
      <c r="F54" s="23" t="s">
        <v>141</v>
      </c>
      <c r="G54" s="24">
        <v>0</v>
      </c>
      <c r="H54" s="25">
        <v>0</v>
      </c>
      <c r="I54" s="25">
        <v>100</v>
      </c>
      <c r="J54" s="23">
        <v>2</v>
      </c>
      <c r="K54" s="23">
        <v>0</v>
      </c>
      <c r="L54" s="23">
        <v>31</v>
      </c>
      <c r="M54" s="23">
        <v>31</v>
      </c>
      <c r="N54" s="23">
        <f>Table1[[#This Row],[Min laatste 5]]/Table1[[#This Row],['#minuten]]*100</f>
        <v>100</v>
      </c>
      <c r="O54" s="23">
        <v>0</v>
      </c>
      <c r="P54" s="23">
        <v>0</v>
      </c>
      <c r="Q54" s="25">
        <v>0</v>
      </c>
      <c r="R54" s="23">
        <v>0</v>
      </c>
      <c r="S54" s="23">
        <v>0</v>
      </c>
      <c r="T54" s="26">
        <f>ROUND(Table1[[#This Row],['#punten]]/Table1[[#This Row],['#Wed]],1)</f>
        <v>0</v>
      </c>
      <c r="U54" s="24">
        <f>ROUND(Table1[[#This Row],['#punten]]/Table1[[#This Row],['#minuten]],2)</f>
        <v>0</v>
      </c>
      <c r="V54" s="23">
        <f>ROUND((Table1[[#This Row],['#punten]]/(Table1[[#This Row],['#minuten]]/90)),2)</f>
        <v>0</v>
      </c>
      <c r="W54" s="23">
        <v>0</v>
      </c>
      <c r="X54" s="27">
        <f>ROUND((Table1[[#This Row],[Goals]]+Table1[[#This Row],[Asissts]])/(Table1[[#This Row],['#minuten]]/90),2)</f>
        <v>0</v>
      </c>
    </row>
    <row r="55" spans="1:24" x14ac:dyDescent="0.2">
      <c r="A55" s="11" t="s">
        <v>36</v>
      </c>
      <c r="B55" s="28" t="s">
        <v>317</v>
      </c>
      <c r="C55" s="29">
        <v>1750000</v>
      </c>
      <c r="D55" s="30" t="s">
        <v>135</v>
      </c>
      <c r="E55" s="30">
        <v>23</v>
      </c>
      <c r="F55" s="30" t="s">
        <v>141</v>
      </c>
      <c r="G55" s="31">
        <v>0</v>
      </c>
      <c r="H55" s="32">
        <v>0</v>
      </c>
      <c r="I55" s="32">
        <v>100</v>
      </c>
      <c r="J55" s="30">
        <v>3</v>
      </c>
      <c r="K55" s="30">
        <v>0</v>
      </c>
      <c r="L55" s="30">
        <v>65</v>
      </c>
      <c r="M55" s="30">
        <v>65</v>
      </c>
      <c r="N55" s="30">
        <f>Table1[[#This Row],[Min laatste 5]]/Table1[[#This Row],['#minuten]]*100</f>
        <v>100</v>
      </c>
      <c r="O55" s="30">
        <v>0</v>
      </c>
      <c r="P55" s="30">
        <v>0</v>
      </c>
      <c r="Q55" s="32">
        <v>0</v>
      </c>
      <c r="R55" s="30">
        <v>0</v>
      </c>
      <c r="S55" s="30">
        <v>0</v>
      </c>
      <c r="T55" s="33">
        <f>ROUND(Table1[[#This Row],['#punten]]/Table1[[#This Row],['#Wed]],1)</f>
        <v>0</v>
      </c>
      <c r="U55" s="31">
        <f>ROUND(Table1[[#This Row],['#punten]]/Table1[[#This Row],['#minuten]],2)</f>
        <v>0</v>
      </c>
      <c r="V55" s="30">
        <f>ROUND((Table1[[#This Row],['#punten]]/(Table1[[#This Row],['#minuten]]/90)),2)</f>
        <v>0</v>
      </c>
      <c r="W55" s="30">
        <v>0</v>
      </c>
      <c r="X55" s="34">
        <f>ROUND((Table1[[#This Row],[Goals]]+Table1[[#This Row],[Asissts]])/(Table1[[#This Row],['#minuten]]/90),2)</f>
        <v>0</v>
      </c>
    </row>
    <row r="56" spans="1:24" x14ac:dyDescent="0.2">
      <c r="A56" s="11" t="s">
        <v>215</v>
      </c>
      <c r="B56" s="28" t="s">
        <v>46</v>
      </c>
      <c r="C56" s="29">
        <v>1500000</v>
      </c>
      <c r="D56" s="30" t="s">
        <v>135</v>
      </c>
      <c r="E56" s="30">
        <v>26</v>
      </c>
      <c r="F56" s="30" t="s">
        <v>47</v>
      </c>
      <c r="G56" s="31">
        <v>148</v>
      </c>
      <c r="H56" s="30">
        <v>148</v>
      </c>
      <c r="I56" s="30">
        <f>Table1[[#This Row],[laatste 5 wed.]]/Table1[[#This Row],['#punten]]*100</f>
        <v>100</v>
      </c>
      <c r="J56" s="30">
        <v>4</v>
      </c>
      <c r="K56" s="30">
        <v>4</v>
      </c>
      <c r="L56" s="30">
        <v>354</v>
      </c>
      <c r="M56" s="32">
        <v>354</v>
      </c>
      <c r="N56" s="30">
        <f>Table1[[#This Row],[Min laatste 5]]/Table1[[#This Row],['#minuten]]*100</f>
        <v>100</v>
      </c>
      <c r="O56" s="30">
        <v>0</v>
      </c>
      <c r="P56" s="30">
        <v>0</v>
      </c>
      <c r="Q56" s="30">
        <v>0</v>
      </c>
      <c r="R56" s="30">
        <v>0</v>
      </c>
      <c r="S56" s="30">
        <v>2</v>
      </c>
      <c r="T56" s="30">
        <f>ROUND(Table1[[#This Row],['#punten]]/Table1[[#This Row],['#Wed]],1)</f>
        <v>37</v>
      </c>
      <c r="U56" s="24">
        <f>ROUND(Table1[[#This Row],['#punten]]/Table1[[#This Row],['#minuten]],2)</f>
        <v>0.42</v>
      </c>
      <c r="V56" s="23">
        <f>ROUND((Table1[[#This Row],['#punten]]/(Table1[[#This Row],['#minuten]]/90)),2)</f>
        <v>37.630000000000003</v>
      </c>
      <c r="W56" s="23">
        <f>ROUND(Table1[[#This Row],[Prijs]]/Table1[[#This Row],['#punten]],0)</f>
        <v>10135</v>
      </c>
      <c r="X56" s="27">
        <f>ROUND((Table1[[#This Row],[Goals]]+Table1[[#This Row],[Asissts]])/(Table1[[#This Row],['#minuten]]/90),2)</f>
        <v>0</v>
      </c>
    </row>
    <row r="57" spans="1:24" x14ac:dyDescent="0.2">
      <c r="A57" s="11" t="s">
        <v>351</v>
      </c>
      <c r="B57" s="28" t="s">
        <v>46</v>
      </c>
      <c r="C57" s="29">
        <v>1500000</v>
      </c>
      <c r="D57" s="30" t="s">
        <v>135</v>
      </c>
      <c r="E57" s="30">
        <v>25</v>
      </c>
      <c r="F57" s="30" t="s">
        <v>141</v>
      </c>
      <c r="G57" s="31">
        <v>-24</v>
      </c>
      <c r="H57" s="32">
        <v>-24</v>
      </c>
      <c r="I57" s="32">
        <f>Table1[[#This Row],[laatste 5 wed.]]/Table1[[#This Row],['#punten]]*100</f>
        <v>100</v>
      </c>
      <c r="J57" s="30">
        <v>3</v>
      </c>
      <c r="K57" s="30">
        <v>0</v>
      </c>
      <c r="L57" s="30">
        <v>38</v>
      </c>
      <c r="M57" s="30">
        <v>38</v>
      </c>
      <c r="N57" s="30">
        <f>Table1[[#This Row],[Min laatste 5]]/Table1[[#This Row],['#minuten]]*100</f>
        <v>100</v>
      </c>
      <c r="O57" s="30">
        <v>0</v>
      </c>
      <c r="P57" s="30">
        <v>0</v>
      </c>
      <c r="Q57" s="32">
        <v>1</v>
      </c>
      <c r="R57" s="30">
        <v>0</v>
      </c>
      <c r="S57" s="30">
        <v>0</v>
      </c>
      <c r="T57" s="33">
        <f>ROUND(Table1[[#This Row],['#punten]]/Table1[[#This Row],['#Wed]],1)</f>
        <v>-8</v>
      </c>
      <c r="U57" s="31">
        <f>ROUND(Table1[[#This Row],['#punten]]/Table1[[#This Row],['#minuten]],2)</f>
        <v>-0.63</v>
      </c>
      <c r="V57" s="30">
        <f>ROUND((Table1[[#This Row],['#punten]]/(Table1[[#This Row],['#minuten]]/90)),2)</f>
        <v>-56.84</v>
      </c>
      <c r="W57" s="30">
        <f>ROUND(Table1[[#This Row],[Prijs]]/Table1[[#This Row],['#punten]],0)</f>
        <v>-62500</v>
      </c>
      <c r="X57" s="34">
        <f>ROUND((Table1[[#This Row],[Goals]]+Table1[[#This Row],[Asissts]])/(Table1[[#This Row],['#minuten]]/90),2)</f>
        <v>0</v>
      </c>
    </row>
    <row r="58" spans="1:24" x14ac:dyDescent="0.2">
      <c r="A58" s="11" t="s">
        <v>238</v>
      </c>
      <c r="B58" s="21" t="s">
        <v>48</v>
      </c>
      <c r="C58" s="22">
        <v>1500000</v>
      </c>
      <c r="D58" s="23" t="s">
        <v>135</v>
      </c>
      <c r="E58" s="23">
        <v>24</v>
      </c>
      <c r="F58" s="23" t="s">
        <v>141</v>
      </c>
      <c r="G58" s="24">
        <v>148</v>
      </c>
      <c r="H58" s="25">
        <v>148</v>
      </c>
      <c r="I58" s="25">
        <f>Table1[[#This Row],[laatste 5 wed.]]/Table1[[#This Row],['#punten]]*100</f>
        <v>100</v>
      </c>
      <c r="J58" s="23">
        <v>4</v>
      </c>
      <c r="K58" s="23">
        <v>4</v>
      </c>
      <c r="L58" s="23">
        <v>307</v>
      </c>
      <c r="M58" s="23">
        <v>307</v>
      </c>
      <c r="N58" s="23">
        <f>Table1[[#This Row],[Min laatste 5]]/Table1[[#This Row],['#minuten]]*100</f>
        <v>100</v>
      </c>
      <c r="O58" s="23">
        <v>0</v>
      </c>
      <c r="P58" s="23">
        <v>0</v>
      </c>
      <c r="Q58" s="25">
        <v>0</v>
      </c>
      <c r="R58" s="23">
        <v>0</v>
      </c>
      <c r="S58" s="23">
        <v>1</v>
      </c>
      <c r="T58" s="26">
        <f>ROUND(Table1[[#This Row],['#punten]]/Table1[[#This Row],['#Wed]],1)</f>
        <v>37</v>
      </c>
      <c r="U58" s="24">
        <f>ROUND(Table1[[#This Row],['#punten]]/Table1[[#This Row],['#minuten]],2)</f>
        <v>0.48</v>
      </c>
      <c r="V58" s="23">
        <f>ROUND((Table1[[#This Row],['#punten]]/(Table1[[#This Row],['#minuten]]/90)),2)</f>
        <v>43.39</v>
      </c>
      <c r="W58" s="23">
        <f>ROUND(Table1[[#This Row],[Prijs]]/Table1[[#This Row],['#punten]],0)</f>
        <v>10135</v>
      </c>
      <c r="X58" s="27">
        <f>ROUND((Table1[[#This Row],[Goals]]+Table1[[#This Row],[Asissts]])/(Table1[[#This Row],['#minuten]]/90),2)</f>
        <v>0</v>
      </c>
    </row>
    <row r="59" spans="1:24" x14ac:dyDescent="0.2">
      <c r="A59" s="11" t="s">
        <v>374</v>
      </c>
      <c r="B59" s="28" t="s">
        <v>49</v>
      </c>
      <c r="C59" s="29">
        <v>1500000</v>
      </c>
      <c r="D59" s="30" t="s">
        <v>135</v>
      </c>
      <c r="E59" s="30">
        <v>24</v>
      </c>
      <c r="F59" s="30" t="s">
        <v>141</v>
      </c>
      <c r="G59" s="31">
        <v>0</v>
      </c>
      <c r="H59" s="32">
        <v>0</v>
      </c>
      <c r="I59" s="32">
        <v>100</v>
      </c>
      <c r="J59" s="30">
        <v>1</v>
      </c>
      <c r="K59" s="30">
        <v>0</v>
      </c>
      <c r="L59" s="30">
        <v>22</v>
      </c>
      <c r="M59" s="30">
        <v>22</v>
      </c>
      <c r="N59" s="30">
        <f>Table1[[#This Row],[Min laatste 5]]/Table1[[#This Row],['#minuten]]*100</f>
        <v>100</v>
      </c>
      <c r="O59" s="30">
        <v>0</v>
      </c>
      <c r="P59" s="30">
        <v>0</v>
      </c>
      <c r="Q59" s="32">
        <v>0</v>
      </c>
      <c r="R59" s="30">
        <v>0</v>
      </c>
      <c r="S59" s="30">
        <v>0</v>
      </c>
      <c r="T59" s="33">
        <f>ROUND(Table1[[#This Row],['#punten]]/Table1[[#This Row],['#Wed]],1)</f>
        <v>0</v>
      </c>
      <c r="U59" s="31">
        <f>ROUND(Table1[[#This Row],['#punten]]/Table1[[#This Row],['#minuten]],2)</f>
        <v>0</v>
      </c>
      <c r="V59" s="30">
        <f>ROUND((Table1[[#This Row],['#punten]]/(Table1[[#This Row],['#minuten]]/90)),2)</f>
        <v>0</v>
      </c>
      <c r="W59" s="30">
        <v>0</v>
      </c>
      <c r="X59" s="34">
        <f>ROUND((Table1[[#This Row],[Goals]]+Table1[[#This Row],[Asissts]])/(Table1[[#This Row],['#minuten]]/90),2)</f>
        <v>0</v>
      </c>
    </row>
    <row r="60" spans="1:24" x14ac:dyDescent="0.2">
      <c r="A60" s="11" t="s">
        <v>319</v>
      </c>
      <c r="B60" s="28" t="s">
        <v>317</v>
      </c>
      <c r="C60" s="29">
        <v>1500000</v>
      </c>
      <c r="D60" s="30" t="s">
        <v>135</v>
      </c>
      <c r="E60" s="30">
        <v>21</v>
      </c>
      <c r="F60" s="30" t="s">
        <v>141</v>
      </c>
      <c r="G60" s="31">
        <v>88</v>
      </c>
      <c r="H60" s="32">
        <v>88</v>
      </c>
      <c r="I60" s="32">
        <f>Table1[[#This Row],[laatste 5 wed.]]/Table1[[#This Row],['#punten]]*100</f>
        <v>100</v>
      </c>
      <c r="J60" s="30">
        <v>4</v>
      </c>
      <c r="K60" s="30">
        <v>3</v>
      </c>
      <c r="L60" s="30">
        <v>255</v>
      </c>
      <c r="M60" s="30">
        <v>255</v>
      </c>
      <c r="N60" s="30">
        <f>Table1[[#This Row],[Min laatste 5]]/Table1[[#This Row],['#minuten]]*100</f>
        <v>100</v>
      </c>
      <c r="O60" s="30">
        <v>0</v>
      </c>
      <c r="P60" s="30">
        <v>0</v>
      </c>
      <c r="Q60" s="32">
        <v>1</v>
      </c>
      <c r="R60" s="30">
        <v>0</v>
      </c>
      <c r="S60" s="30">
        <v>0</v>
      </c>
      <c r="T60" s="33">
        <f>ROUND(Table1[[#This Row],['#punten]]/Table1[[#This Row],['#Wed]],1)</f>
        <v>22</v>
      </c>
      <c r="U60" s="31">
        <f>ROUND(Table1[[#This Row],['#punten]]/Table1[[#This Row],['#minuten]],2)</f>
        <v>0.35</v>
      </c>
      <c r="V60" s="30">
        <f>ROUND((Table1[[#This Row],['#punten]]/(Table1[[#This Row],['#minuten]]/90)),2)</f>
        <v>31.06</v>
      </c>
      <c r="W60" s="30">
        <f>ROUND(Table1[[#This Row],[Prijs]]/Table1[[#This Row],['#punten]],0)</f>
        <v>17045</v>
      </c>
      <c r="X60" s="34">
        <f>ROUND((Table1[[#This Row],[Goals]]+Table1[[#This Row],[Asissts]])/(Table1[[#This Row],['#minuten]]/90),2)</f>
        <v>0</v>
      </c>
    </row>
    <row r="61" spans="1:24" x14ac:dyDescent="0.2">
      <c r="A61" s="11" t="s">
        <v>240</v>
      </c>
      <c r="B61" s="21" t="s">
        <v>239</v>
      </c>
      <c r="C61" s="22">
        <v>1250000</v>
      </c>
      <c r="D61" s="23" t="s">
        <v>135</v>
      </c>
      <c r="E61" s="23">
        <v>25</v>
      </c>
      <c r="F61" s="23" t="s">
        <v>156</v>
      </c>
      <c r="G61" s="24">
        <v>0</v>
      </c>
      <c r="H61" s="25">
        <v>0</v>
      </c>
      <c r="I61" s="25">
        <v>100</v>
      </c>
      <c r="J61" s="23">
        <v>0</v>
      </c>
      <c r="K61" s="23">
        <v>0</v>
      </c>
      <c r="L61" s="23">
        <v>0</v>
      </c>
      <c r="M61" s="23">
        <v>0</v>
      </c>
      <c r="N61" s="23">
        <v>100</v>
      </c>
      <c r="O61" s="23">
        <v>0</v>
      </c>
      <c r="P61" s="23">
        <v>0</v>
      </c>
      <c r="Q61" s="25">
        <v>0</v>
      </c>
      <c r="R61" s="23">
        <v>0</v>
      </c>
      <c r="S61" s="23">
        <v>0</v>
      </c>
      <c r="T61" s="26">
        <v>0</v>
      </c>
      <c r="U61" s="24">
        <v>0</v>
      </c>
      <c r="V61" s="23">
        <v>0</v>
      </c>
      <c r="W61" s="23">
        <v>0</v>
      </c>
      <c r="X61" s="27">
        <v>0</v>
      </c>
    </row>
    <row r="62" spans="1:24" x14ac:dyDescent="0.2">
      <c r="A62" s="11" t="s">
        <v>256</v>
      </c>
      <c r="B62" s="21" t="s">
        <v>10</v>
      </c>
      <c r="C62" s="22">
        <v>1250000</v>
      </c>
      <c r="D62" s="23" t="s">
        <v>135</v>
      </c>
      <c r="E62" s="23">
        <v>24</v>
      </c>
      <c r="F62" s="23" t="s">
        <v>179</v>
      </c>
      <c r="G62" s="24">
        <v>136</v>
      </c>
      <c r="H62" s="25">
        <v>136</v>
      </c>
      <c r="I62" s="25">
        <f>Table1[[#This Row],[laatste 5 wed.]]/Table1[[#This Row],['#punten]]*100</f>
        <v>100</v>
      </c>
      <c r="J62" s="23">
        <v>4</v>
      </c>
      <c r="K62" s="23">
        <v>4</v>
      </c>
      <c r="L62" s="23">
        <v>309</v>
      </c>
      <c r="M62" s="23">
        <v>309</v>
      </c>
      <c r="N62" s="23">
        <f>Table1[[#This Row],[Min laatste 5]]/Table1[[#This Row],['#minuten]]*100</f>
        <v>100</v>
      </c>
      <c r="O62" s="23">
        <v>0</v>
      </c>
      <c r="P62" s="23">
        <v>0</v>
      </c>
      <c r="Q62" s="25">
        <v>0</v>
      </c>
      <c r="R62" s="23">
        <v>0</v>
      </c>
      <c r="S62" s="23">
        <v>1</v>
      </c>
      <c r="T62" s="26">
        <f>ROUND(Table1[[#This Row],['#punten]]/Table1[[#This Row],['#Wed]],1)</f>
        <v>34</v>
      </c>
      <c r="U62" s="24">
        <f>ROUND(Table1[[#This Row],['#punten]]/Table1[[#This Row],['#minuten]],2)</f>
        <v>0.44</v>
      </c>
      <c r="V62" s="23">
        <f>ROUND((Table1[[#This Row],['#punten]]/(Table1[[#This Row],['#minuten]]/90)),2)</f>
        <v>39.61</v>
      </c>
      <c r="W62" s="23">
        <f>ROUND(Table1[[#This Row],[Prijs]]/Table1[[#This Row],['#punten]],0)</f>
        <v>9191</v>
      </c>
      <c r="X62" s="27">
        <f>ROUND((Table1[[#This Row],[Goals]]+Table1[[#This Row],[Asissts]])/(Table1[[#This Row],['#minuten]]/90),2)</f>
        <v>0</v>
      </c>
    </row>
    <row r="63" spans="1:24" x14ac:dyDescent="0.2">
      <c r="A63" s="11" t="s">
        <v>166</v>
      </c>
      <c r="B63" s="21" t="s">
        <v>159</v>
      </c>
      <c r="C63" s="22">
        <v>1000000</v>
      </c>
      <c r="D63" s="23" t="s">
        <v>135</v>
      </c>
      <c r="E63" s="23">
        <v>29</v>
      </c>
      <c r="F63" s="23" t="s">
        <v>167</v>
      </c>
      <c r="G63" s="24">
        <v>56</v>
      </c>
      <c r="H63" s="25">
        <v>56</v>
      </c>
      <c r="I63" s="25">
        <f>Table1[[#This Row],[laatste 5 wed.]]/Table1[[#This Row],['#punten]]*100</f>
        <v>100</v>
      </c>
      <c r="J63" s="23">
        <v>3</v>
      </c>
      <c r="K63" s="23">
        <v>3</v>
      </c>
      <c r="L63" s="23">
        <v>182</v>
      </c>
      <c r="M63" s="23">
        <v>182</v>
      </c>
      <c r="N63" s="23">
        <f>Table1[[#This Row],[Min laatste 5]]/Table1[[#This Row],['#minuten]]*100</f>
        <v>100</v>
      </c>
      <c r="O63" s="23">
        <v>0</v>
      </c>
      <c r="P63" s="23">
        <v>0</v>
      </c>
      <c r="Q63" s="25">
        <v>0</v>
      </c>
      <c r="R63" s="23">
        <v>0</v>
      </c>
      <c r="S63" s="23">
        <v>0</v>
      </c>
      <c r="T63" s="26">
        <f>ROUND(Table1[[#This Row],['#punten]]/Table1[[#This Row],['#Wed]],1)</f>
        <v>18.7</v>
      </c>
      <c r="U63" s="24">
        <f>ROUND(Table1[[#This Row],['#punten]]/Table1[[#This Row],['#minuten]],2)</f>
        <v>0.31</v>
      </c>
      <c r="V63" s="23">
        <f>ROUND((Table1[[#This Row],['#punten]]/(Table1[[#This Row],['#minuten]]/90)),2)</f>
        <v>27.69</v>
      </c>
      <c r="W63" s="23">
        <f>ROUND(Table1[[#This Row],[Prijs]]/Table1[[#This Row],['#punten]],0)</f>
        <v>17857</v>
      </c>
      <c r="X63" s="27">
        <f>ROUND((Table1[[#This Row],[Goals]]+Table1[[#This Row],[Asissts]])/(Table1[[#This Row],['#minuten]]/90),2)</f>
        <v>0</v>
      </c>
    </row>
    <row r="64" spans="1:24" x14ac:dyDescent="0.2">
      <c r="A64" s="11" t="s">
        <v>293</v>
      </c>
      <c r="B64" s="28" t="s">
        <v>40</v>
      </c>
      <c r="C64" s="29">
        <v>750000</v>
      </c>
      <c r="D64" s="30" t="s">
        <v>135</v>
      </c>
      <c r="E64" s="30">
        <v>21</v>
      </c>
      <c r="F64" s="30" t="s">
        <v>141</v>
      </c>
      <c r="G64" s="31">
        <v>112</v>
      </c>
      <c r="H64" s="32">
        <v>112</v>
      </c>
      <c r="I64" s="32">
        <f>Table1[[#This Row],[laatste 5 wed.]]/Table1[[#This Row],['#punten]]*100</f>
        <v>100</v>
      </c>
      <c r="J64" s="30">
        <v>4</v>
      </c>
      <c r="K64" s="30">
        <v>4</v>
      </c>
      <c r="L64" s="30">
        <v>296</v>
      </c>
      <c r="M64" s="30">
        <v>296</v>
      </c>
      <c r="N64" s="30">
        <f>Table1[[#This Row],[Min laatste 5]]/Table1[[#This Row],['#minuten]]*100</f>
        <v>100</v>
      </c>
      <c r="O64" s="30">
        <v>0</v>
      </c>
      <c r="P64" s="30">
        <v>0</v>
      </c>
      <c r="Q64" s="32">
        <v>0</v>
      </c>
      <c r="R64" s="30">
        <v>0</v>
      </c>
      <c r="S64" s="30">
        <v>0</v>
      </c>
      <c r="T64" s="33">
        <f>ROUND(Table1[[#This Row],['#punten]]/Table1[[#This Row],['#Wed]],1)</f>
        <v>28</v>
      </c>
      <c r="U64" s="31">
        <f>ROUND(Table1[[#This Row],['#punten]]/Table1[[#This Row],['#minuten]],2)</f>
        <v>0.38</v>
      </c>
      <c r="V64" s="30">
        <f>ROUND((Table1[[#This Row],['#punten]]/(Table1[[#This Row],['#minuten]]/90)),2)</f>
        <v>34.049999999999997</v>
      </c>
      <c r="W64" s="30">
        <f>ROUND(Table1[[#This Row],[Prijs]]/Table1[[#This Row],['#punten]],0)</f>
        <v>6696</v>
      </c>
      <c r="X64" s="34">
        <f>ROUND((Table1[[#This Row],[Goals]]+Table1[[#This Row],[Asissts]])/(Table1[[#This Row],['#minuten]]/90),2)</f>
        <v>0</v>
      </c>
    </row>
    <row r="65" spans="1:24" x14ac:dyDescent="0.2">
      <c r="A65" s="11" t="s">
        <v>292</v>
      </c>
      <c r="B65" s="28" t="s">
        <v>40</v>
      </c>
      <c r="C65" s="29">
        <v>750000</v>
      </c>
      <c r="D65" s="30" t="s">
        <v>135</v>
      </c>
      <c r="E65" s="30">
        <v>27</v>
      </c>
      <c r="F65" s="30" t="s">
        <v>167</v>
      </c>
      <c r="G65" s="31">
        <v>112</v>
      </c>
      <c r="H65" s="32">
        <v>112</v>
      </c>
      <c r="I65" s="32">
        <f>Table1[[#This Row],[laatste 5 wed.]]/Table1[[#This Row],['#punten]]*100</f>
        <v>100</v>
      </c>
      <c r="J65" s="30">
        <v>4</v>
      </c>
      <c r="K65" s="30">
        <v>4</v>
      </c>
      <c r="L65" s="30">
        <v>300</v>
      </c>
      <c r="M65" s="30">
        <v>300</v>
      </c>
      <c r="N65" s="30">
        <f>Table1[[#This Row],[Min laatste 5]]/Table1[[#This Row],['#minuten]]*100</f>
        <v>100</v>
      </c>
      <c r="O65" s="30">
        <v>0</v>
      </c>
      <c r="P65" s="30">
        <v>0</v>
      </c>
      <c r="Q65" s="32">
        <v>0</v>
      </c>
      <c r="R65" s="30">
        <v>0</v>
      </c>
      <c r="S65" s="30">
        <v>0</v>
      </c>
      <c r="T65" s="33">
        <f>ROUND(Table1[[#This Row],['#punten]]/Table1[[#This Row],['#Wed]],1)</f>
        <v>28</v>
      </c>
      <c r="U65" s="31">
        <f>ROUND(Table1[[#This Row],['#punten]]/Table1[[#This Row],['#minuten]],2)</f>
        <v>0.37</v>
      </c>
      <c r="V65" s="30">
        <f>ROUND((Table1[[#This Row],['#punten]]/(Table1[[#This Row],['#minuten]]/90)),2)</f>
        <v>33.6</v>
      </c>
      <c r="W65" s="30">
        <f>ROUND(Table1[[#This Row],[Prijs]]/Table1[[#This Row],['#punten]],0)</f>
        <v>6696</v>
      </c>
      <c r="X65" s="34">
        <f>ROUND((Table1[[#This Row],[Goals]]+Table1[[#This Row],[Asissts]])/(Table1[[#This Row],['#minuten]]/90),2)</f>
        <v>0</v>
      </c>
    </row>
    <row r="66" spans="1:24" x14ac:dyDescent="0.2">
      <c r="A66" s="11" t="s">
        <v>294</v>
      </c>
      <c r="B66" s="28" t="s">
        <v>40</v>
      </c>
      <c r="C66" s="29">
        <v>500000</v>
      </c>
      <c r="D66" s="30" t="s">
        <v>135</v>
      </c>
      <c r="E66" s="30">
        <v>24</v>
      </c>
      <c r="F66" s="30" t="s">
        <v>141</v>
      </c>
      <c r="G66" s="31">
        <v>88</v>
      </c>
      <c r="H66" s="32">
        <v>88</v>
      </c>
      <c r="I66" s="32">
        <f>Table1[[#This Row],[laatste 5 wed.]]/Table1[[#This Row],['#punten]]*100</f>
        <v>100</v>
      </c>
      <c r="J66" s="30">
        <v>4</v>
      </c>
      <c r="K66" s="30">
        <v>4</v>
      </c>
      <c r="L66" s="30">
        <v>273</v>
      </c>
      <c r="M66" s="30">
        <v>273</v>
      </c>
      <c r="N66" s="30">
        <f>Table1[[#This Row],[Min laatste 5]]/Table1[[#This Row],['#minuten]]*100</f>
        <v>100</v>
      </c>
      <c r="O66" s="30">
        <v>0</v>
      </c>
      <c r="P66" s="30">
        <v>0</v>
      </c>
      <c r="Q66" s="32">
        <v>1</v>
      </c>
      <c r="R66" s="30">
        <v>0</v>
      </c>
      <c r="S66" s="30">
        <v>0</v>
      </c>
      <c r="T66" s="33">
        <f>ROUND(Table1[[#This Row],['#punten]]/Table1[[#This Row],['#Wed]],1)</f>
        <v>22</v>
      </c>
      <c r="U66" s="31">
        <f>ROUND(Table1[[#This Row],['#punten]]/Table1[[#This Row],['#minuten]],2)</f>
        <v>0.32</v>
      </c>
      <c r="V66" s="30">
        <f>ROUND((Table1[[#This Row],['#punten]]/(Table1[[#This Row],['#minuten]]/90)),2)</f>
        <v>29.01</v>
      </c>
      <c r="W66" s="30">
        <f>ROUND(Table1[[#This Row],[Prijs]]/Table1[[#This Row],['#punten]],0)</f>
        <v>5682</v>
      </c>
      <c r="X66" s="34">
        <f>ROUND((Table1[[#This Row],[Goals]]+Table1[[#This Row],[Asissts]])/(Table1[[#This Row],['#minuten]]/90),2)</f>
        <v>0</v>
      </c>
    </row>
    <row r="67" spans="1:24" x14ac:dyDescent="0.2">
      <c r="A67" s="11" t="s">
        <v>342</v>
      </c>
      <c r="B67" s="28" t="s">
        <v>51</v>
      </c>
      <c r="C67" s="29">
        <v>500000</v>
      </c>
      <c r="D67" s="30" t="s">
        <v>135</v>
      </c>
      <c r="E67" s="30">
        <v>23</v>
      </c>
      <c r="F67" s="30" t="s">
        <v>142</v>
      </c>
      <c r="G67" s="31">
        <v>56</v>
      </c>
      <c r="H67" s="32">
        <v>56</v>
      </c>
      <c r="I67" s="32">
        <f>Table1[[#This Row],[laatste 5 wed.]]/Table1[[#This Row],['#punten]]*100</f>
        <v>100</v>
      </c>
      <c r="J67" s="30">
        <v>2</v>
      </c>
      <c r="K67" s="30">
        <v>2</v>
      </c>
      <c r="L67" s="30">
        <v>132</v>
      </c>
      <c r="M67" s="30">
        <v>132</v>
      </c>
      <c r="N67" s="30">
        <f>Table1[[#This Row],[Min laatste 5]]/Table1[[#This Row],['#minuten]]*100</f>
        <v>100</v>
      </c>
      <c r="O67" s="30">
        <v>0</v>
      </c>
      <c r="P67" s="30">
        <v>0</v>
      </c>
      <c r="Q67" s="32">
        <v>0</v>
      </c>
      <c r="R67" s="30">
        <v>0</v>
      </c>
      <c r="S67" s="30">
        <v>0</v>
      </c>
      <c r="T67" s="33">
        <f>ROUND(Table1[[#This Row],['#punten]]/Table1[[#This Row],['#Wed]],1)</f>
        <v>28</v>
      </c>
      <c r="U67" s="31">
        <f>ROUND(Table1[[#This Row],['#punten]]/Table1[[#This Row],['#minuten]],2)</f>
        <v>0.42</v>
      </c>
      <c r="V67" s="30">
        <f>ROUND((Table1[[#This Row],['#punten]]/(Table1[[#This Row],['#minuten]]/90)),2)</f>
        <v>38.18</v>
      </c>
      <c r="W67" s="30">
        <f>ROUND(Table1[[#This Row],[Prijs]]/Table1[[#This Row],['#punten]],0)</f>
        <v>8929</v>
      </c>
      <c r="X67" s="34">
        <f>ROUND((Table1[[#This Row],[Goals]]+Table1[[#This Row],[Asissts]])/(Table1[[#This Row],['#minuten]]/90),2)</f>
        <v>0</v>
      </c>
    </row>
    <row r="68" spans="1:24" x14ac:dyDescent="0.2">
      <c r="A68" s="2" t="s">
        <v>283</v>
      </c>
      <c r="B68" s="21" t="s">
        <v>11</v>
      </c>
      <c r="C68" s="22">
        <v>3500000</v>
      </c>
      <c r="D68" s="23" t="s">
        <v>149</v>
      </c>
      <c r="E68" s="23">
        <v>30</v>
      </c>
      <c r="F68" s="23" t="s">
        <v>158</v>
      </c>
      <c r="G68" s="24">
        <v>290</v>
      </c>
      <c r="H68" s="25">
        <v>290</v>
      </c>
      <c r="I68" s="25">
        <f>Table1[[#This Row],[laatste 5 wed.]]/Table1[[#This Row],['#punten]]*100</f>
        <v>100</v>
      </c>
      <c r="J68" s="23">
        <v>3</v>
      </c>
      <c r="K68" s="23">
        <v>3</v>
      </c>
      <c r="L68" s="23">
        <v>270</v>
      </c>
      <c r="M68" s="23">
        <v>270</v>
      </c>
      <c r="N68" s="23">
        <f>Table1[[#This Row],[Min laatste 5]]/Table1[[#This Row],['#minuten]]*100</f>
        <v>100</v>
      </c>
      <c r="O68" s="23">
        <v>0</v>
      </c>
      <c r="P68" s="23">
        <v>0</v>
      </c>
      <c r="Q68" s="25">
        <v>0</v>
      </c>
      <c r="R68" s="23">
        <v>0</v>
      </c>
      <c r="S68" s="23">
        <v>2</v>
      </c>
      <c r="T68" s="26">
        <f>ROUND(Table1[[#This Row],['#punten]]/Table1[[#This Row],['#Wed]],1)</f>
        <v>96.7</v>
      </c>
      <c r="U68" s="24">
        <f>ROUND(Table1[[#This Row],['#punten]]/Table1[[#This Row],['#minuten]],2)</f>
        <v>1.07</v>
      </c>
      <c r="V68" s="23">
        <f>ROUND((Table1[[#This Row],['#punten]]/(Table1[[#This Row],['#minuten]]/90)),2)</f>
        <v>96.67</v>
      </c>
      <c r="W68" s="23">
        <f>ROUND(Table1[[#This Row],[Prijs]]/Table1[[#This Row],['#punten]],0)</f>
        <v>12069</v>
      </c>
      <c r="X68" s="27">
        <f>ROUND((Table1[[#This Row],[Goals]]+Table1[[#This Row],[Asissts]])/(Table1[[#This Row],['#minuten]]/90),2)</f>
        <v>0</v>
      </c>
    </row>
    <row r="69" spans="1:24" x14ac:dyDescent="0.2">
      <c r="A69" s="2" t="s">
        <v>124</v>
      </c>
      <c r="B69" s="21" t="s">
        <v>46</v>
      </c>
      <c r="C69" s="22">
        <v>1500000</v>
      </c>
      <c r="D69" s="23" t="s">
        <v>149</v>
      </c>
      <c r="E69" s="23">
        <v>23</v>
      </c>
      <c r="F69" s="23" t="s">
        <v>153</v>
      </c>
      <c r="G69" s="24">
        <v>260</v>
      </c>
      <c r="H69" s="25">
        <v>260</v>
      </c>
      <c r="I69" s="25">
        <f>Table1[[#This Row],[laatste 5 wed.]]/Table1[[#This Row],['#punten]]*100</f>
        <v>100</v>
      </c>
      <c r="J69" s="23">
        <v>4</v>
      </c>
      <c r="K69" s="23">
        <v>4</v>
      </c>
      <c r="L69" s="23">
        <v>360</v>
      </c>
      <c r="M69" s="23">
        <v>360</v>
      </c>
      <c r="N69" s="23">
        <f>Table1[[#This Row],[Min laatste 5]]/Table1[[#This Row],['#minuten]]*100</f>
        <v>100</v>
      </c>
      <c r="O69" s="23">
        <v>0</v>
      </c>
      <c r="P69" s="23">
        <v>0</v>
      </c>
      <c r="Q69" s="25">
        <v>1</v>
      </c>
      <c r="R69" s="23">
        <v>0</v>
      </c>
      <c r="S69" s="23">
        <v>2</v>
      </c>
      <c r="T69" s="26">
        <f>ROUND(Table1[[#This Row],['#punten]]/Table1[[#This Row],['#Wed]],1)</f>
        <v>65</v>
      </c>
      <c r="U69" s="24">
        <f>ROUND(Table1[[#This Row],['#punten]]/Table1[[#This Row],['#minuten]],2)</f>
        <v>0.72</v>
      </c>
      <c r="V69" s="23">
        <f>ROUND((Table1[[#This Row],['#punten]]/(Table1[[#This Row],['#minuten]]/90)),2)</f>
        <v>65</v>
      </c>
      <c r="W69" s="23">
        <f>ROUND(Table1[[#This Row],[Prijs]]/Table1[[#This Row],['#punten]],0)</f>
        <v>5769</v>
      </c>
      <c r="X69" s="27">
        <f>ROUND((Table1[[#This Row],[Goals]]+Table1[[#This Row],[Asissts]])/(Table1[[#This Row],['#minuten]]/90),2)</f>
        <v>0</v>
      </c>
    </row>
    <row r="70" spans="1:24" x14ac:dyDescent="0.2">
      <c r="A70" s="2" t="s">
        <v>148</v>
      </c>
      <c r="B70" s="28" t="s">
        <v>43</v>
      </c>
      <c r="C70" s="29">
        <v>3500000</v>
      </c>
      <c r="D70" s="30" t="s">
        <v>149</v>
      </c>
      <c r="E70" s="30">
        <v>23</v>
      </c>
      <c r="F70" s="30" t="s">
        <v>141</v>
      </c>
      <c r="G70" s="31">
        <v>242</v>
      </c>
      <c r="H70" s="32">
        <v>242</v>
      </c>
      <c r="I70" s="32">
        <f>Table1[[#This Row],[laatste 5 wed.]]/Table1[[#This Row],['#punten]]*100</f>
        <v>100</v>
      </c>
      <c r="J70" s="30">
        <v>3</v>
      </c>
      <c r="K70" s="30">
        <v>2</v>
      </c>
      <c r="L70" s="30">
        <v>242</v>
      </c>
      <c r="M70" s="30">
        <v>242</v>
      </c>
      <c r="N70" s="30">
        <f>Table1[[#This Row],[Min laatste 5]]/Table1[[#This Row],['#minuten]]*100</f>
        <v>100</v>
      </c>
      <c r="O70" s="30">
        <v>0</v>
      </c>
      <c r="P70" s="30">
        <v>0</v>
      </c>
      <c r="Q70" s="32">
        <v>0</v>
      </c>
      <c r="R70" s="30">
        <v>0</v>
      </c>
      <c r="S70" s="30">
        <v>1</v>
      </c>
      <c r="T70" s="33">
        <f>ROUND(Table1[[#This Row],['#punten]]/Table1[[#This Row],['#Wed]],1)</f>
        <v>80.7</v>
      </c>
      <c r="U70" s="31">
        <f>ROUND(Table1[[#This Row],['#punten]]/Table1[[#This Row],['#minuten]],2)</f>
        <v>1</v>
      </c>
      <c r="V70" s="30">
        <f>ROUND((Table1[[#This Row],['#punten]]/(Table1[[#This Row],['#minuten]]/90)),2)</f>
        <v>90</v>
      </c>
      <c r="W70" s="30">
        <f>ROUND(Table1[[#This Row],[Prijs]]/Table1[[#This Row],['#punten]],0)</f>
        <v>14463</v>
      </c>
      <c r="X70" s="34">
        <f>ROUND((Table1[[#This Row],[Goals]]+Table1[[#This Row],[Asissts]])/(Table1[[#This Row],['#minuten]]/90),2)</f>
        <v>0</v>
      </c>
    </row>
    <row r="71" spans="1:24" x14ac:dyDescent="0.2">
      <c r="A71" s="2" t="s">
        <v>181</v>
      </c>
      <c r="B71" s="21" t="s">
        <v>6</v>
      </c>
      <c r="C71" s="22">
        <v>3000000</v>
      </c>
      <c r="D71" s="23" t="s">
        <v>149</v>
      </c>
      <c r="E71" s="23">
        <v>31</v>
      </c>
      <c r="F71" s="23" t="s">
        <v>182</v>
      </c>
      <c r="G71" s="24">
        <v>226</v>
      </c>
      <c r="H71" s="25">
        <v>226</v>
      </c>
      <c r="I71" s="25">
        <f>Table1[[#This Row],[laatste 5 wed.]]/Table1[[#This Row],['#punten]]*100</f>
        <v>100</v>
      </c>
      <c r="J71" s="23">
        <v>3</v>
      </c>
      <c r="K71" s="23">
        <v>3</v>
      </c>
      <c r="L71" s="23">
        <v>270</v>
      </c>
      <c r="M71" s="23">
        <v>270</v>
      </c>
      <c r="N71" s="23">
        <f>Table1[[#This Row],[Min laatste 5]]/Table1[[#This Row],['#minuten]]*100</f>
        <v>100</v>
      </c>
      <c r="O71" s="23">
        <v>0</v>
      </c>
      <c r="P71" s="23">
        <v>0</v>
      </c>
      <c r="Q71" s="25">
        <v>0</v>
      </c>
      <c r="R71" s="23">
        <v>0</v>
      </c>
      <c r="S71" s="23">
        <v>1</v>
      </c>
      <c r="T71" s="26">
        <f>ROUND(Table1[[#This Row],['#punten]]/Table1[[#This Row],['#Wed]],1)</f>
        <v>75.3</v>
      </c>
      <c r="U71" s="24">
        <f>ROUND(Table1[[#This Row],['#punten]]/Table1[[#This Row],['#minuten]],2)</f>
        <v>0.84</v>
      </c>
      <c r="V71" s="23">
        <f>ROUND((Table1[[#This Row],['#punten]]/(Table1[[#This Row],['#minuten]]/90)),2)</f>
        <v>75.33</v>
      </c>
      <c r="W71" s="23">
        <f>ROUND(Table1[[#This Row],[Prijs]]/Table1[[#This Row],['#punten]],0)</f>
        <v>13274</v>
      </c>
      <c r="X71" s="27">
        <f>ROUND((Table1[[#This Row],[Goals]]+Table1[[#This Row],[Asissts]])/(Table1[[#This Row],['#minuten]]/90),2)</f>
        <v>0</v>
      </c>
    </row>
    <row r="72" spans="1:24" x14ac:dyDescent="0.2">
      <c r="A72" s="2" t="s">
        <v>123</v>
      </c>
      <c r="B72" s="28" t="s">
        <v>49</v>
      </c>
      <c r="C72" s="29">
        <v>3000000</v>
      </c>
      <c r="D72" s="30" t="s">
        <v>149</v>
      </c>
      <c r="E72" s="30">
        <v>33</v>
      </c>
      <c r="F72" s="30" t="s">
        <v>200</v>
      </c>
      <c r="G72" s="31">
        <v>202</v>
      </c>
      <c r="H72" s="32">
        <v>202</v>
      </c>
      <c r="I72" s="32">
        <f>Table1[[#This Row],[laatste 5 wed.]]/Table1[[#This Row],['#punten]]*100</f>
        <v>100</v>
      </c>
      <c r="J72" s="30">
        <v>3</v>
      </c>
      <c r="K72" s="30">
        <v>3</v>
      </c>
      <c r="L72" s="30">
        <v>270</v>
      </c>
      <c r="M72" s="30">
        <v>270</v>
      </c>
      <c r="N72" s="30">
        <f>Table1[[#This Row],[Min laatste 5]]/Table1[[#This Row],['#minuten]]*100</f>
        <v>100</v>
      </c>
      <c r="O72" s="30">
        <v>0</v>
      </c>
      <c r="P72" s="30">
        <v>0</v>
      </c>
      <c r="Q72" s="32">
        <v>1</v>
      </c>
      <c r="R72" s="30">
        <v>0</v>
      </c>
      <c r="S72" s="30">
        <v>1</v>
      </c>
      <c r="T72" s="33">
        <f>ROUND(Table1[[#This Row],['#punten]]/Table1[[#This Row],['#Wed]],1)</f>
        <v>67.3</v>
      </c>
      <c r="U72" s="31">
        <f>ROUND(Table1[[#This Row],['#punten]]/Table1[[#This Row],['#minuten]],2)</f>
        <v>0.75</v>
      </c>
      <c r="V72" s="30">
        <f>ROUND((Table1[[#This Row],['#punten]]/(Table1[[#This Row],['#minuten]]/90)),2)</f>
        <v>67.33</v>
      </c>
      <c r="W72" s="30">
        <f>ROUND(Table1[[#This Row],[Prijs]]/Table1[[#This Row],['#punten]],0)</f>
        <v>14851</v>
      </c>
      <c r="X72" s="34">
        <f>ROUND((Table1[[#This Row],[Goals]]+Table1[[#This Row],[Asissts]])/(Table1[[#This Row],['#minuten]]/90),2)</f>
        <v>0</v>
      </c>
    </row>
    <row r="73" spans="1:24" x14ac:dyDescent="0.2">
      <c r="A73" s="2" t="s">
        <v>224</v>
      </c>
      <c r="B73" s="28" t="s">
        <v>48</v>
      </c>
      <c r="C73" s="29">
        <v>2500000</v>
      </c>
      <c r="D73" s="30" t="s">
        <v>149</v>
      </c>
      <c r="E73" s="30">
        <v>29</v>
      </c>
      <c r="F73" s="30" t="s">
        <v>141</v>
      </c>
      <c r="G73" s="31">
        <v>196</v>
      </c>
      <c r="H73" s="32">
        <v>196</v>
      </c>
      <c r="I73" s="32">
        <f>Table1[[#This Row],[laatste 5 wed.]]/Table1[[#This Row],['#punten]]*100</f>
        <v>100</v>
      </c>
      <c r="J73" s="30">
        <v>4</v>
      </c>
      <c r="K73" s="30">
        <v>4</v>
      </c>
      <c r="L73" s="30">
        <v>360</v>
      </c>
      <c r="M73" s="30">
        <v>360</v>
      </c>
      <c r="N73" s="30">
        <f>Table1[[#This Row],[Min laatste 5]]/Table1[[#This Row],['#minuten]]*100</f>
        <v>100</v>
      </c>
      <c r="O73" s="30">
        <v>0</v>
      </c>
      <c r="P73" s="30">
        <v>0</v>
      </c>
      <c r="Q73" s="32">
        <v>0</v>
      </c>
      <c r="R73" s="30">
        <v>0</v>
      </c>
      <c r="S73" s="30">
        <v>1</v>
      </c>
      <c r="T73" s="33">
        <f>ROUND(Table1[[#This Row],['#punten]]/Table1[[#This Row],['#Wed]],1)</f>
        <v>49</v>
      </c>
      <c r="U73" s="31">
        <f>ROUND(Table1[[#This Row],['#punten]]/Table1[[#This Row],['#minuten]],2)</f>
        <v>0.54</v>
      </c>
      <c r="V73" s="30">
        <f>ROUND((Table1[[#This Row],['#punten]]/(Table1[[#This Row],['#minuten]]/90)),2)</f>
        <v>49</v>
      </c>
      <c r="W73" s="30">
        <f>ROUND(Table1[[#This Row],[Prijs]]/Table1[[#This Row],['#punten]],0)</f>
        <v>12755</v>
      </c>
      <c r="X73" s="34">
        <f>ROUND((Table1[[#This Row],[Goals]]+Table1[[#This Row],[Asissts]])/(Table1[[#This Row],['#minuten]]/90),2)</f>
        <v>0</v>
      </c>
    </row>
    <row r="74" spans="1:24" x14ac:dyDescent="0.2">
      <c r="A74" s="2" t="s">
        <v>308</v>
      </c>
      <c r="B74" s="28" t="s">
        <v>47</v>
      </c>
      <c r="C74" s="29">
        <v>2500000</v>
      </c>
      <c r="D74" s="30" t="s">
        <v>149</v>
      </c>
      <c r="E74" s="30">
        <v>28</v>
      </c>
      <c r="F74" s="30" t="s">
        <v>141</v>
      </c>
      <c r="G74" s="31">
        <v>168</v>
      </c>
      <c r="H74" s="32">
        <v>168</v>
      </c>
      <c r="I74" s="32">
        <f>Table1[[#This Row],[laatste 5 wed.]]/Table1[[#This Row],['#punten]]*100</f>
        <v>100</v>
      </c>
      <c r="J74" s="30">
        <v>4</v>
      </c>
      <c r="K74" s="30">
        <v>4</v>
      </c>
      <c r="L74" s="30">
        <v>360</v>
      </c>
      <c r="M74" s="30">
        <v>360</v>
      </c>
      <c r="N74" s="30">
        <f>Table1[[#This Row],[Min laatste 5]]/Table1[[#This Row],['#minuten]]*100</f>
        <v>100</v>
      </c>
      <c r="O74" s="30">
        <v>0</v>
      </c>
      <c r="P74" s="30">
        <v>0</v>
      </c>
      <c r="Q74" s="32">
        <v>0</v>
      </c>
      <c r="R74" s="30">
        <v>0</v>
      </c>
      <c r="S74" s="30">
        <v>0</v>
      </c>
      <c r="T74" s="33">
        <f>ROUND(Table1[[#This Row],['#punten]]/Table1[[#This Row],['#Wed]],1)</f>
        <v>42</v>
      </c>
      <c r="U74" s="31">
        <f>ROUND(Table1[[#This Row],['#punten]]/Table1[[#This Row],['#minuten]],2)</f>
        <v>0.47</v>
      </c>
      <c r="V74" s="30">
        <f>ROUND((Table1[[#This Row],['#punten]]/(Table1[[#This Row],['#minuten]]/90)),2)</f>
        <v>42</v>
      </c>
      <c r="W74" s="30">
        <f>ROUND(Table1[[#This Row],[Prijs]]/Table1[[#This Row],['#punten]],0)</f>
        <v>14881</v>
      </c>
      <c r="X74" s="34">
        <f>ROUND((Table1[[#This Row],[Goals]]+Table1[[#This Row],[Asissts]])/(Table1[[#This Row],['#minuten]]/90),2)</f>
        <v>0</v>
      </c>
    </row>
    <row r="75" spans="1:24" x14ac:dyDescent="0.2">
      <c r="A75" s="2" t="s">
        <v>268</v>
      </c>
      <c r="B75" s="28" t="s">
        <v>260</v>
      </c>
      <c r="C75" s="29">
        <v>1000000</v>
      </c>
      <c r="D75" s="30" t="s">
        <v>149</v>
      </c>
      <c r="E75" s="30">
        <v>22</v>
      </c>
      <c r="F75" s="30" t="s">
        <v>141</v>
      </c>
      <c r="G75" s="31">
        <v>164</v>
      </c>
      <c r="H75" s="32">
        <v>164</v>
      </c>
      <c r="I75" s="32">
        <f>Table1[[#This Row],[laatste 5 wed.]]/Table1[[#This Row],['#punten]]*100</f>
        <v>100</v>
      </c>
      <c r="J75" s="30">
        <v>4</v>
      </c>
      <c r="K75" s="30">
        <v>4</v>
      </c>
      <c r="L75" s="30">
        <v>360</v>
      </c>
      <c r="M75" s="30">
        <v>360</v>
      </c>
      <c r="N75" s="30">
        <f>Table1[[#This Row],[Min laatste 5]]/Table1[[#This Row],['#minuten]]*100</f>
        <v>100</v>
      </c>
      <c r="O75" s="30">
        <v>0</v>
      </c>
      <c r="P75" s="30">
        <v>0</v>
      </c>
      <c r="Q75" s="32">
        <v>0</v>
      </c>
      <c r="R75" s="30">
        <v>0</v>
      </c>
      <c r="S75" s="30">
        <v>1</v>
      </c>
      <c r="T75" s="33">
        <f>ROUND(Table1[[#This Row],['#punten]]/Table1[[#This Row],['#Wed]],1)</f>
        <v>41</v>
      </c>
      <c r="U75" s="31">
        <f>ROUND(Table1[[#This Row],['#punten]]/Table1[[#This Row],['#minuten]],2)</f>
        <v>0.46</v>
      </c>
      <c r="V75" s="30">
        <f>ROUND((Table1[[#This Row],['#punten]]/(Table1[[#This Row],['#minuten]]/90)),2)</f>
        <v>41</v>
      </c>
      <c r="W75" s="30">
        <f>ROUND(Table1[[#This Row],[Prijs]]/Table1[[#This Row],['#punten]],0)</f>
        <v>6098</v>
      </c>
      <c r="X75" s="34">
        <f>ROUND((Table1[[#This Row],[Goals]]+Table1[[#This Row],[Asissts]])/(Table1[[#This Row],['#minuten]]/90),2)</f>
        <v>0</v>
      </c>
    </row>
    <row r="76" spans="1:24" x14ac:dyDescent="0.2">
      <c r="A76" s="2" t="s">
        <v>249</v>
      </c>
      <c r="B76" s="28" t="s">
        <v>10</v>
      </c>
      <c r="C76" s="29">
        <v>2000000</v>
      </c>
      <c r="D76" s="30" t="s">
        <v>149</v>
      </c>
      <c r="E76" s="30">
        <v>34</v>
      </c>
      <c r="F76" s="30" t="s">
        <v>141</v>
      </c>
      <c r="G76" s="31">
        <v>160</v>
      </c>
      <c r="H76" s="32">
        <v>160</v>
      </c>
      <c r="I76" s="32">
        <f>Table1[[#This Row],[laatste 5 wed.]]/Table1[[#This Row],['#punten]]*100</f>
        <v>100</v>
      </c>
      <c r="J76" s="30">
        <v>4</v>
      </c>
      <c r="K76" s="30">
        <v>4</v>
      </c>
      <c r="L76" s="30">
        <v>360</v>
      </c>
      <c r="M76" s="30">
        <v>360</v>
      </c>
      <c r="N76" s="30">
        <f>Table1[[#This Row],[Min laatste 5]]/Table1[[#This Row],['#minuten]]*100</f>
        <v>100</v>
      </c>
      <c r="O76" s="30">
        <v>0</v>
      </c>
      <c r="P76" s="30">
        <v>0</v>
      </c>
      <c r="Q76" s="32">
        <v>0</v>
      </c>
      <c r="R76" s="30">
        <v>0</v>
      </c>
      <c r="S76" s="30">
        <v>1</v>
      </c>
      <c r="T76" s="33">
        <f>ROUND(Table1[[#This Row],['#punten]]/Table1[[#This Row],['#Wed]],1)</f>
        <v>40</v>
      </c>
      <c r="U76" s="31">
        <f>ROUND(Table1[[#This Row],['#punten]]/Table1[[#This Row],['#minuten]],2)</f>
        <v>0.44</v>
      </c>
      <c r="V76" s="30">
        <f>ROUND((Table1[[#This Row],['#punten]]/(Table1[[#This Row],['#minuten]]/90)),2)</f>
        <v>40</v>
      </c>
      <c r="W76" s="30">
        <f>ROUND(Table1[[#This Row],[Prijs]]/Table1[[#This Row],['#punten]],0)</f>
        <v>12500</v>
      </c>
      <c r="X76" s="34">
        <f>ROUND((Table1[[#This Row],[Goals]]+Table1[[#This Row],[Asissts]])/(Table1[[#This Row],['#minuten]]/90),2)</f>
        <v>0</v>
      </c>
    </row>
    <row r="77" spans="1:24" x14ac:dyDescent="0.2">
      <c r="A77" s="2" t="s">
        <v>199</v>
      </c>
      <c r="B77" s="28" t="s">
        <v>45</v>
      </c>
      <c r="C77" s="29">
        <v>3000000</v>
      </c>
      <c r="D77" s="30" t="s">
        <v>149</v>
      </c>
      <c r="E77" s="30">
        <v>27</v>
      </c>
      <c r="F77" s="30" t="s">
        <v>200</v>
      </c>
      <c r="G77" s="31">
        <v>126</v>
      </c>
      <c r="H77" s="32">
        <v>126</v>
      </c>
      <c r="I77" s="32">
        <f>Table1[[#This Row],[laatste 5 wed.]]/Table1[[#This Row],['#punten]]*100</f>
        <v>100</v>
      </c>
      <c r="J77" s="30">
        <v>3</v>
      </c>
      <c r="K77" s="30">
        <v>3</v>
      </c>
      <c r="L77" s="30">
        <v>270</v>
      </c>
      <c r="M77" s="30">
        <v>270</v>
      </c>
      <c r="N77" s="30">
        <f>Table1[[#This Row],[Min laatste 5]]/Table1[[#This Row],['#minuten]]*100</f>
        <v>100</v>
      </c>
      <c r="O77" s="30">
        <v>0</v>
      </c>
      <c r="P77" s="30">
        <v>0</v>
      </c>
      <c r="Q77" s="32">
        <v>0</v>
      </c>
      <c r="R77" s="30">
        <v>0</v>
      </c>
      <c r="S77" s="30">
        <v>0</v>
      </c>
      <c r="T77" s="33">
        <f>ROUND(Table1[[#This Row],['#punten]]/Table1[[#This Row],['#Wed]],1)</f>
        <v>42</v>
      </c>
      <c r="U77" s="31">
        <f>ROUND(Table1[[#This Row],['#punten]]/Table1[[#This Row],['#minuten]],2)</f>
        <v>0.47</v>
      </c>
      <c r="V77" s="30">
        <f>ROUND((Table1[[#This Row],['#punten]]/(Table1[[#This Row],['#minuten]]/90)),2)</f>
        <v>42</v>
      </c>
      <c r="W77" s="30">
        <f>ROUND(Table1[[#This Row],[Prijs]]/Table1[[#This Row],['#punten]],0)</f>
        <v>23810</v>
      </c>
      <c r="X77" s="34">
        <f>ROUND((Table1[[#This Row],[Goals]]+Table1[[#This Row],[Asissts]])/(Table1[[#This Row],['#minuten]]/90),2)</f>
        <v>0</v>
      </c>
    </row>
    <row r="78" spans="1:24" x14ac:dyDescent="0.2">
      <c r="A78" s="2" t="s">
        <v>18</v>
      </c>
      <c r="B78" s="28" t="s">
        <v>45</v>
      </c>
      <c r="C78" s="29">
        <v>3000000</v>
      </c>
      <c r="D78" s="30" t="s">
        <v>149</v>
      </c>
      <c r="E78" s="30">
        <v>25</v>
      </c>
      <c r="F78" s="30" t="s">
        <v>141</v>
      </c>
      <c r="G78" s="31">
        <v>106</v>
      </c>
      <c r="H78" s="32">
        <v>106</v>
      </c>
      <c r="I78" s="32">
        <f>Table1[[#This Row],[laatste 5 wed.]]/Table1[[#This Row],['#punten]]*100</f>
        <v>100</v>
      </c>
      <c r="J78" s="30">
        <v>1</v>
      </c>
      <c r="K78" s="30">
        <v>1</v>
      </c>
      <c r="L78" s="30">
        <v>90</v>
      </c>
      <c r="M78" s="30">
        <v>90</v>
      </c>
      <c r="N78" s="30">
        <f>Table1[[#This Row],[Min laatste 5]]/Table1[[#This Row],['#minuten]]*100</f>
        <v>100</v>
      </c>
      <c r="O78" s="30">
        <v>0</v>
      </c>
      <c r="P78" s="30">
        <v>0</v>
      </c>
      <c r="Q78" s="32">
        <v>0</v>
      </c>
      <c r="R78" s="30">
        <v>0</v>
      </c>
      <c r="S78" s="30">
        <v>1</v>
      </c>
      <c r="T78" s="33">
        <f>ROUND(Table1[[#This Row],['#punten]]/Table1[[#This Row],['#Wed]],1)</f>
        <v>106</v>
      </c>
      <c r="U78" s="31">
        <f>ROUND(Table1[[#This Row],['#punten]]/Table1[[#This Row],['#minuten]],2)</f>
        <v>1.18</v>
      </c>
      <c r="V78" s="30">
        <f>ROUND((Table1[[#This Row],['#punten]]/(Table1[[#This Row],['#minuten]]/90)),2)</f>
        <v>106</v>
      </c>
      <c r="W78" s="30">
        <f>ROUND(Table1[[#This Row],[Prijs]]/Table1[[#This Row],['#punten]],0)</f>
        <v>28302</v>
      </c>
      <c r="X78" s="34">
        <f>ROUND((Table1[[#This Row],[Goals]]+Table1[[#This Row],[Asissts]])/(Table1[[#This Row],['#minuten]]/90),2)</f>
        <v>0</v>
      </c>
    </row>
    <row r="79" spans="1:24" x14ac:dyDescent="0.2">
      <c r="A79" s="2" t="s">
        <v>248</v>
      </c>
      <c r="B79" s="28" t="s">
        <v>239</v>
      </c>
      <c r="C79" s="29">
        <v>1000000</v>
      </c>
      <c r="D79" s="30" t="s">
        <v>149</v>
      </c>
      <c r="E79" s="30">
        <v>30</v>
      </c>
      <c r="F79" s="30" t="s">
        <v>141</v>
      </c>
      <c r="G79" s="31">
        <v>96</v>
      </c>
      <c r="H79" s="32">
        <v>96</v>
      </c>
      <c r="I79" s="32">
        <f>Table1[[#This Row],[laatste 5 wed.]]/Table1[[#This Row],['#punten]]*100</f>
        <v>100</v>
      </c>
      <c r="J79" s="30">
        <v>3</v>
      </c>
      <c r="K79" s="30">
        <v>3</v>
      </c>
      <c r="L79" s="30">
        <v>270</v>
      </c>
      <c r="M79" s="30">
        <v>270</v>
      </c>
      <c r="N79" s="30">
        <f>Table1[[#This Row],[Min laatste 5]]/Table1[[#This Row],['#minuten]]*100</f>
        <v>100</v>
      </c>
      <c r="O79" s="30">
        <v>0</v>
      </c>
      <c r="P79" s="30">
        <v>0</v>
      </c>
      <c r="Q79" s="32">
        <v>0</v>
      </c>
      <c r="R79" s="30">
        <v>0</v>
      </c>
      <c r="S79" s="30">
        <v>0</v>
      </c>
      <c r="T79" s="33">
        <f>ROUND(Table1[[#This Row],['#punten]]/Table1[[#This Row],['#Wed]],1)</f>
        <v>32</v>
      </c>
      <c r="U79" s="31">
        <f>ROUND(Table1[[#This Row],['#punten]]/Table1[[#This Row],['#minuten]],2)</f>
        <v>0.36</v>
      </c>
      <c r="V79" s="30">
        <f>ROUND((Table1[[#This Row],['#punten]]/(Table1[[#This Row],['#minuten]]/90)),2)</f>
        <v>32</v>
      </c>
      <c r="W79" s="30">
        <f>ROUND(Table1[[#This Row],[Prijs]]/Table1[[#This Row],['#punten]],0)</f>
        <v>10417</v>
      </c>
      <c r="X79" s="34">
        <f>ROUND((Table1[[#This Row],[Goals]]+Table1[[#This Row],[Asissts]])/(Table1[[#This Row],['#minuten]]/90),2)</f>
        <v>0</v>
      </c>
    </row>
    <row r="80" spans="1:24" x14ac:dyDescent="0.2">
      <c r="A80" s="2" t="s">
        <v>183</v>
      </c>
      <c r="B80" s="21" t="s">
        <v>44</v>
      </c>
      <c r="C80" s="22">
        <v>1000000</v>
      </c>
      <c r="D80" s="23" t="s">
        <v>149</v>
      </c>
      <c r="E80" s="23">
        <v>26</v>
      </c>
      <c r="F80" s="23" t="s">
        <v>141</v>
      </c>
      <c r="G80" s="24">
        <v>78</v>
      </c>
      <c r="H80" s="25">
        <v>78</v>
      </c>
      <c r="I80" s="25">
        <f>Table1[[#This Row],[laatste 5 wed.]]/Table1[[#This Row],['#punten]]*100</f>
        <v>100</v>
      </c>
      <c r="J80" s="23">
        <v>4</v>
      </c>
      <c r="K80" s="23">
        <v>4</v>
      </c>
      <c r="L80" s="23">
        <v>360</v>
      </c>
      <c r="M80" s="23">
        <v>360</v>
      </c>
      <c r="N80" s="23">
        <f>Table1[[#This Row],[Min laatste 5]]/Table1[[#This Row],['#minuten]]*100</f>
        <v>100</v>
      </c>
      <c r="O80" s="23">
        <v>0</v>
      </c>
      <c r="P80" s="23">
        <v>0</v>
      </c>
      <c r="Q80" s="25">
        <v>0</v>
      </c>
      <c r="R80" s="23">
        <v>0</v>
      </c>
      <c r="S80" s="23">
        <v>0</v>
      </c>
      <c r="T80" s="26">
        <f>ROUND(Table1[[#This Row],['#punten]]/Table1[[#This Row],['#Wed]],1)</f>
        <v>19.5</v>
      </c>
      <c r="U80" s="24">
        <f>ROUND(Table1[[#This Row],['#punten]]/Table1[[#This Row],['#minuten]],2)</f>
        <v>0.22</v>
      </c>
      <c r="V80" s="23">
        <f>ROUND((Table1[[#This Row],['#punten]]/(Table1[[#This Row],['#minuten]]/90)),2)</f>
        <v>19.5</v>
      </c>
      <c r="W80" s="23">
        <f>ROUND(Table1[[#This Row],[Prijs]]/Table1[[#This Row],['#punten]],0)</f>
        <v>12821</v>
      </c>
      <c r="X80" s="27">
        <f>ROUND((Table1[[#This Row],[Goals]]+Table1[[#This Row],[Asissts]])/(Table1[[#This Row],['#minuten]]/90),2)</f>
        <v>0</v>
      </c>
    </row>
    <row r="81" spans="1:25" x14ac:dyDescent="0.2">
      <c r="A81" s="2" t="s">
        <v>329</v>
      </c>
      <c r="B81" s="28" t="s">
        <v>50</v>
      </c>
      <c r="C81" s="29">
        <v>2000000</v>
      </c>
      <c r="D81" s="30" t="s">
        <v>149</v>
      </c>
      <c r="E81" s="30">
        <v>34</v>
      </c>
      <c r="F81" s="30" t="s">
        <v>141</v>
      </c>
      <c r="G81" s="31">
        <v>78</v>
      </c>
      <c r="H81" s="32">
        <v>78</v>
      </c>
      <c r="I81" s="32">
        <f>Table1[[#This Row],[laatste 5 wed.]]/Table1[[#This Row],['#punten]]*100</f>
        <v>100</v>
      </c>
      <c r="J81" s="30">
        <v>3</v>
      </c>
      <c r="K81" s="30">
        <v>3</v>
      </c>
      <c r="L81" s="30">
        <v>270</v>
      </c>
      <c r="M81" s="30">
        <v>270</v>
      </c>
      <c r="N81" s="30">
        <f>Table1[[#This Row],[Min laatste 5]]/Table1[[#This Row],['#minuten]]*100</f>
        <v>100</v>
      </c>
      <c r="O81" s="30">
        <v>0</v>
      </c>
      <c r="P81" s="30">
        <v>0</v>
      </c>
      <c r="Q81" s="32">
        <v>0</v>
      </c>
      <c r="R81" s="30">
        <v>0</v>
      </c>
      <c r="S81" s="30">
        <v>0</v>
      </c>
      <c r="T81" s="33">
        <f>ROUND(Table1[[#This Row],['#punten]]/Table1[[#This Row],['#Wed]],1)</f>
        <v>26</v>
      </c>
      <c r="U81" s="31">
        <f>ROUND(Table1[[#This Row],['#punten]]/Table1[[#This Row],['#minuten]],2)</f>
        <v>0.28999999999999998</v>
      </c>
      <c r="V81" s="30">
        <f>ROUND((Table1[[#This Row],['#punten]]/(Table1[[#This Row],['#minuten]]/90)),2)</f>
        <v>26</v>
      </c>
      <c r="W81" s="30">
        <f>ROUND(Table1[[#This Row],[Prijs]]/Table1[[#This Row],['#punten]],0)</f>
        <v>25641</v>
      </c>
      <c r="X81" s="34">
        <f>ROUND((Table1[[#This Row],[Goals]]+Table1[[#This Row],[Asissts]])/(Table1[[#This Row],['#minuten]]/90),2)</f>
        <v>0</v>
      </c>
    </row>
    <row r="82" spans="1:25" x14ac:dyDescent="0.2">
      <c r="A82" s="2" t="s">
        <v>223</v>
      </c>
      <c r="B82" s="21" t="s">
        <v>39</v>
      </c>
      <c r="C82" s="22">
        <v>1500000</v>
      </c>
      <c r="D82" s="23" t="s">
        <v>149</v>
      </c>
      <c r="E82" s="23">
        <v>25</v>
      </c>
      <c r="F82" s="23" t="s">
        <v>141</v>
      </c>
      <c r="G82" s="24">
        <v>72</v>
      </c>
      <c r="H82" s="25">
        <v>72</v>
      </c>
      <c r="I82" s="25">
        <f>Table1[[#This Row],[laatste 5 wed.]]/Table1[[#This Row],['#punten]]*100</f>
        <v>100</v>
      </c>
      <c r="J82" s="23">
        <v>3</v>
      </c>
      <c r="K82" s="23">
        <v>3</v>
      </c>
      <c r="L82" s="23">
        <v>270</v>
      </c>
      <c r="M82" s="23">
        <v>270</v>
      </c>
      <c r="N82" s="23">
        <f>Table1[[#This Row],[Min laatste 5]]/Table1[[#This Row],['#minuten]]*100</f>
        <v>100</v>
      </c>
      <c r="O82" s="23">
        <v>0</v>
      </c>
      <c r="P82" s="23">
        <v>0</v>
      </c>
      <c r="Q82" s="25">
        <v>0</v>
      </c>
      <c r="R82" s="23">
        <v>0</v>
      </c>
      <c r="S82" s="23">
        <v>0</v>
      </c>
      <c r="T82" s="26">
        <f>ROUND(Table1[[#This Row],['#punten]]/Table1[[#This Row],['#Wed]],1)</f>
        <v>24</v>
      </c>
      <c r="U82" s="24">
        <f>ROUND(Table1[[#This Row],['#punten]]/Table1[[#This Row],['#minuten]],2)</f>
        <v>0.27</v>
      </c>
      <c r="V82" s="23">
        <f>ROUND((Table1[[#This Row],['#punten]]/(Table1[[#This Row],['#minuten]]/90)),2)</f>
        <v>24</v>
      </c>
      <c r="W82" s="23">
        <f>ROUND(Table1[[#This Row],[Prijs]]/Table1[[#This Row],['#punten]],0)</f>
        <v>20833</v>
      </c>
      <c r="X82" s="27">
        <f>ROUND((Table1[[#This Row],[Goals]]+Table1[[#This Row],[Asissts]])/(Table1[[#This Row],['#minuten]]/90),2)</f>
        <v>0</v>
      </c>
    </row>
    <row r="83" spans="1:25" x14ac:dyDescent="0.2">
      <c r="A83" s="2" t="s">
        <v>328</v>
      </c>
      <c r="B83" s="28" t="s">
        <v>317</v>
      </c>
      <c r="C83" s="29">
        <v>2500000</v>
      </c>
      <c r="D83" s="30" t="s">
        <v>149</v>
      </c>
      <c r="E83" s="30">
        <v>29</v>
      </c>
      <c r="F83" s="30" t="s">
        <v>169</v>
      </c>
      <c r="G83" s="31">
        <v>48</v>
      </c>
      <c r="H83" s="32">
        <v>48</v>
      </c>
      <c r="I83" s="32">
        <f>Table1[[#This Row],[laatste 5 wed.]]/Table1[[#This Row],['#punten]]*100</f>
        <v>100</v>
      </c>
      <c r="J83" s="30">
        <v>4</v>
      </c>
      <c r="K83" s="30">
        <v>4</v>
      </c>
      <c r="L83" s="30">
        <v>360</v>
      </c>
      <c r="M83" s="30">
        <v>360</v>
      </c>
      <c r="N83" s="30">
        <f>Table1[[#This Row],[Min laatste 5]]/Table1[[#This Row],['#minuten]]*100</f>
        <v>100</v>
      </c>
      <c r="O83" s="30">
        <v>0</v>
      </c>
      <c r="P83" s="30">
        <v>0</v>
      </c>
      <c r="Q83" s="32">
        <v>0</v>
      </c>
      <c r="R83" s="30">
        <v>0</v>
      </c>
      <c r="S83" s="30">
        <v>0</v>
      </c>
      <c r="T83" s="33">
        <f>ROUND(Table1[[#This Row],['#punten]]/Table1[[#This Row],['#Wed]],1)</f>
        <v>12</v>
      </c>
      <c r="U83" s="31">
        <f>ROUND(Table1[[#This Row],['#punten]]/Table1[[#This Row],['#minuten]],2)</f>
        <v>0.13</v>
      </c>
      <c r="V83" s="30">
        <f>ROUND((Table1[[#This Row],['#punten]]/(Table1[[#This Row],['#minuten]]/90)),2)</f>
        <v>12</v>
      </c>
      <c r="W83" s="30">
        <f>ROUND(Table1[[#This Row],[Prijs]]/Table1[[#This Row],['#punten]],0)</f>
        <v>52083</v>
      </c>
      <c r="X83" s="34">
        <f>ROUND((Table1[[#This Row],[Goals]]+Table1[[#This Row],[Asissts]])/(Table1[[#This Row],['#minuten]]/90),2)</f>
        <v>0</v>
      </c>
    </row>
    <row r="84" spans="1:25" x14ac:dyDescent="0.2">
      <c r="A84" s="2" t="s">
        <v>27</v>
      </c>
      <c r="B84" s="28" t="s">
        <v>40</v>
      </c>
      <c r="C84" s="29">
        <v>1500000</v>
      </c>
      <c r="D84" s="30" t="s">
        <v>149</v>
      </c>
      <c r="E84" s="30">
        <v>28</v>
      </c>
      <c r="F84" s="30" t="s">
        <v>141</v>
      </c>
      <c r="G84" s="31">
        <v>24</v>
      </c>
      <c r="H84" s="32">
        <v>24</v>
      </c>
      <c r="I84" s="32">
        <f>Table1[[#This Row],[laatste 5 wed.]]/Table1[[#This Row],['#punten]]*100</f>
        <v>100</v>
      </c>
      <c r="J84" s="30">
        <v>4</v>
      </c>
      <c r="K84" s="30">
        <v>4</v>
      </c>
      <c r="L84" s="30">
        <v>360</v>
      </c>
      <c r="M84" s="30">
        <v>360</v>
      </c>
      <c r="N84" s="30">
        <f>Table1[[#This Row],[Min laatste 5]]/Table1[[#This Row],['#minuten]]*100</f>
        <v>100</v>
      </c>
      <c r="O84" s="30">
        <v>0</v>
      </c>
      <c r="P84" s="30">
        <v>0</v>
      </c>
      <c r="Q84" s="32">
        <v>0</v>
      </c>
      <c r="R84" s="30">
        <v>0</v>
      </c>
      <c r="S84" s="30">
        <v>0</v>
      </c>
      <c r="T84" s="26">
        <f>ROUND(Table1[[#This Row],['#punten]]/Table1[[#This Row],['#Wed]],1)</f>
        <v>6</v>
      </c>
      <c r="U84" s="24">
        <f>ROUND(Table1[[#This Row],['#punten]]/Table1[[#This Row],['#minuten]],2)</f>
        <v>7.0000000000000007E-2</v>
      </c>
      <c r="V84" s="23">
        <f>ROUND((Table1[[#This Row],['#punten]]/(Table1[[#This Row],['#minuten]]/90)),2)</f>
        <v>6</v>
      </c>
      <c r="W84" s="23">
        <f>ROUND(Table1[[#This Row],[Prijs]]/Table1[[#This Row],['#punten]],0)</f>
        <v>62500</v>
      </c>
      <c r="X84" s="27">
        <f>ROUND((Table1[[#This Row],[Goals]]+Table1[[#This Row],[Asissts]])/(Table1[[#This Row],['#minuten]]/90),2)</f>
        <v>0</v>
      </c>
    </row>
    <row r="85" spans="1:25" x14ac:dyDescent="0.2">
      <c r="A85" s="2" t="s">
        <v>345</v>
      </c>
      <c r="B85" s="28" t="s">
        <v>51</v>
      </c>
      <c r="C85" s="29">
        <v>1000000</v>
      </c>
      <c r="D85" s="30" t="s">
        <v>149</v>
      </c>
      <c r="E85" s="30">
        <v>19</v>
      </c>
      <c r="F85" s="30" t="s">
        <v>200</v>
      </c>
      <c r="G85" s="31">
        <v>-12</v>
      </c>
      <c r="H85" s="32">
        <v>-12</v>
      </c>
      <c r="I85" s="32">
        <f>Table1[[#This Row],[laatste 5 wed.]]/Table1[[#This Row],['#punten]]*100</f>
        <v>100</v>
      </c>
      <c r="J85" s="30">
        <v>3</v>
      </c>
      <c r="K85" s="30">
        <v>3</v>
      </c>
      <c r="L85" s="30">
        <v>270</v>
      </c>
      <c r="M85" s="30">
        <v>270</v>
      </c>
      <c r="N85" s="30">
        <f>Table1[[#This Row],[Min laatste 5]]/Table1[[#This Row],['#minuten]]*100</f>
        <v>100</v>
      </c>
      <c r="O85" s="30">
        <v>0</v>
      </c>
      <c r="P85" s="30">
        <v>0</v>
      </c>
      <c r="Q85" s="32">
        <v>1</v>
      </c>
      <c r="R85" s="30">
        <v>0</v>
      </c>
      <c r="S85" s="30">
        <v>0</v>
      </c>
      <c r="T85" s="33">
        <f>ROUND(Table1[[#This Row],['#punten]]/Table1[[#This Row],['#Wed]],1)</f>
        <v>-4</v>
      </c>
      <c r="U85" s="31">
        <f>ROUND(Table1[[#This Row],['#punten]]/Table1[[#This Row],['#minuten]],2)</f>
        <v>-0.04</v>
      </c>
      <c r="V85" s="30">
        <f>ROUND((Table1[[#This Row],['#punten]]/(Table1[[#This Row],['#minuten]]/90)),2)</f>
        <v>-4</v>
      </c>
      <c r="W85" s="30">
        <f>ROUND(Table1[[#This Row],[Prijs]]/Table1[[#This Row],['#punten]],0)</f>
        <v>-83333</v>
      </c>
      <c r="X85" s="34">
        <f>ROUND((Table1[[#This Row],[Goals]]+Table1[[#This Row],[Asissts]])/(Table1[[#This Row],['#minuten]]/90),2)</f>
        <v>0</v>
      </c>
    </row>
    <row r="86" spans="1:25" x14ac:dyDescent="0.2">
      <c r="A86" s="2" t="s">
        <v>161</v>
      </c>
      <c r="B86" s="28" t="s">
        <v>159</v>
      </c>
      <c r="C86" s="29">
        <v>750000</v>
      </c>
      <c r="D86" s="30" t="s">
        <v>149</v>
      </c>
      <c r="E86" s="30">
        <v>25</v>
      </c>
      <c r="F86" s="30" t="s">
        <v>141</v>
      </c>
      <c r="G86" s="31">
        <v>-24</v>
      </c>
      <c r="H86" s="32">
        <v>-24</v>
      </c>
      <c r="I86" s="32">
        <f>Table1[[#This Row],[laatste 5 wed.]]/Table1[[#This Row],['#punten]]*100</f>
        <v>100</v>
      </c>
      <c r="J86" s="30">
        <v>4</v>
      </c>
      <c r="K86" s="30">
        <v>4</v>
      </c>
      <c r="L86" s="30">
        <v>360</v>
      </c>
      <c r="M86" s="30">
        <v>360</v>
      </c>
      <c r="N86" s="30">
        <f>Table1[[#This Row],[Min laatste 5]]/Table1[[#This Row],['#minuten]]*100</f>
        <v>100</v>
      </c>
      <c r="O86" s="30">
        <v>0</v>
      </c>
      <c r="P86" s="30">
        <v>0</v>
      </c>
      <c r="Q86" s="32">
        <v>0</v>
      </c>
      <c r="R86" s="30">
        <v>0</v>
      </c>
      <c r="S86" s="30">
        <v>0</v>
      </c>
      <c r="T86" s="33">
        <f>ROUND(Table1[[#This Row],['#punten]]/Table1[[#This Row],['#Wed]],1)</f>
        <v>-6</v>
      </c>
      <c r="U86" s="31">
        <f>ROUND(Table1[[#This Row],['#punten]]/Table1[[#This Row],['#minuten]],2)</f>
        <v>-7.0000000000000007E-2</v>
      </c>
      <c r="V86" s="30">
        <f>ROUND((Table1[[#This Row],['#punten]]/(Table1[[#This Row],['#minuten]]/90)),2)</f>
        <v>-6</v>
      </c>
      <c r="W86" s="30">
        <f>ROUND(Table1[[#This Row],[Prijs]]/Table1[[#This Row],['#punten]],0)</f>
        <v>-31250</v>
      </c>
      <c r="X86" s="34">
        <f>ROUND((Table1[[#This Row],[Goals]]+Table1[[#This Row],[Asissts]])/(Table1[[#This Row],['#minuten]]/90),2)</f>
        <v>0</v>
      </c>
    </row>
    <row r="87" spans="1:25" x14ac:dyDescent="0.2">
      <c r="A87" s="39" t="s">
        <v>277</v>
      </c>
      <c r="B87" s="21" t="s">
        <v>45</v>
      </c>
      <c r="C87" s="22">
        <v>3500000</v>
      </c>
      <c r="D87" s="23" t="s">
        <v>140</v>
      </c>
      <c r="E87" s="23">
        <v>24</v>
      </c>
      <c r="F87" s="23" t="s">
        <v>278</v>
      </c>
      <c r="G87" s="24">
        <v>80</v>
      </c>
      <c r="H87" s="25">
        <v>80</v>
      </c>
      <c r="I87" s="25">
        <f>Table1[[#This Row],[laatste 5 wed.]]/Table1[[#This Row],['#punten]]*100</f>
        <v>100</v>
      </c>
      <c r="J87" s="23">
        <v>1</v>
      </c>
      <c r="K87" s="23">
        <v>0</v>
      </c>
      <c r="L87" s="23">
        <v>6</v>
      </c>
      <c r="M87" s="23">
        <v>6</v>
      </c>
      <c r="N87" s="23">
        <f>Table1[[#This Row],[Min laatste 5]]/Table1[[#This Row],['#minuten]]*100</f>
        <v>100</v>
      </c>
      <c r="O87" s="23">
        <v>0</v>
      </c>
      <c r="P87" s="23">
        <v>1</v>
      </c>
      <c r="Q87" s="25">
        <v>0</v>
      </c>
      <c r="R87" s="23">
        <v>0</v>
      </c>
      <c r="S87" s="23">
        <v>0</v>
      </c>
      <c r="T87" s="26">
        <f>ROUND(Table1[[#This Row],['#punten]]/Table1[[#This Row],['#Wed]],1)</f>
        <v>80</v>
      </c>
      <c r="U87" s="24">
        <f>ROUND(Table1[[#This Row],['#punten]]/Table1[[#This Row],['#minuten]],2)</f>
        <v>13.33</v>
      </c>
      <c r="V87" s="23">
        <f>ROUND((Table1[[#This Row],['#punten]]/(Table1[[#This Row],['#minuten]]/90)),2)</f>
        <v>1200</v>
      </c>
      <c r="W87" s="23">
        <f>ROUND(Table1[[#This Row],[Prijs]]/Table1[[#This Row],['#punten]],0)</f>
        <v>43750</v>
      </c>
      <c r="X87" s="27">
        <f>ROUND((Table1[[#This Row],[Goals]]+Table1[[#This Row],[Asissts]])/(Table1[[#This Row],['#minuten]]/90),2)</f>
        <v>15</v>
      </c>
    </row>
    <row r="88" spans="1:25" x14ac:dyDescent="0.2">
      <c r="A88" s="39" t="s">
        <v>271</v>
      </c>
      <c r="B88" s="28" t="s">
        <v>11</v>
      </c>
      <c r="C88" s="29">
        <v>3500000</v>
      </c>
      <c r="D88" s="30" t="s">
        <v>140</v>
      </c>
      <c r="E88" s="30">
        <v>21</v>
      </c>
      <c r="F88" s="30" t="s">
        <v>175</v>
      </c>
      <c r="G88" s="31">
        <v>160</v>
      </c>
      <c r="H88" s="32">
        <v>160</v>
      </c>
      <c r="I88" s="32">
        <f>Table1[[#This Row],[laatste 5 wed.]]/Table1[[#This Row],['#punten]]*100</f>
        <v>100</v>
      </c>
      <c r="J88" s="30">
        <v>1</v>
      </c>
      <c r="K88" s="30">
        <v>0</v>
      </c>
      <c r="L88" s="30">
        <v>19</v>
      </c>
      <c r="M88" s="30">
        <v>19</v>
      </c>
      <c r="N88" s="30">
        <f>Table1[[#This Row],[Min laatste 5]]/Table1[[#This Row],['#minuten]]*100</f>
        <v>100</v>
      </c>
      <c r="O88" s="30">
        <v>1</v>
      </c>
      <c r="P88" s="30">
        <v>0</v>
      </c>
      <c r="Q88" s="32">
        <v>0</v>
      </c>
      <c r="R88" s="30">
        <v>0</v>
      </c>
      <c r="S88" s="30">
        <v>0</v>
      </c>
      <c r="T88" s="33">
        <f>ROUND(Table1[[#This Row],['#punten]]/Table1[[#This Row],['#Wed]],1)</f>
        <v>160</v>
      </c>
      <c r="U88" s="31">
        <f>ROUND(Table1[[#This Row],['#punten]]/Table1[[#This Row],['#minuten]],2)</f>
        <v>8.42</v>
      </c>
      <c r="V88" s="30">
        <f>ROUND((Table1[[#This Row],['#punten]]/(Table1[[#This Row],['#minuten]]/90)),2)</f>
        <v>757.89</v>
      </c>
      <c r="W88" s="30">
        <f>ROUND(Table1[[#This Row],[Prijs]]/Table1[[#This Row],['#punten]],0)</f>
        <v>21875</v>
      </c>
      <c r="X88" s="34">
        <f>ROUND((Table1[[#This Row],[Goals]]+Table1[[#This Row],[Asissts]])/(Table1[[#This Row],['#minuten]]/90),2)</f>
        <v>4.74</v>
      </c>
    </row>
    <row r="89" spans="1:25" x14ac:dyDescent="0.2">
      <c r="A89" s="39" t="s">
        <v>219</v>
      </c>
      <c r="B89" s="21" t="s">
        <v>39</v>
      </c>
      <c r="C89" s="22">
        <v>1500000</v>
      </c>
      <c r="D89" s="23" t="s">
        <v>140</v>
      </c>
      <c r="E89" s="23">
        <v>26</v>
      </c>
      <c r="F89" s="23" t="s">
        <v>167</v>
      </c>
      <c r="G89" s="24">
        <v>364</v>
      </c>
      <c r="H89" s="25">
        <v>364</v>
      </c>
      <c r="I89" s="25">
        <f>Table1[[#This Row],[laatste 5 wed.]]/Table1[[#This Row],['#punten]]*100</f>
        <v>100</v>
      </c>
      <c r="J89" s="23">
        <v>3</v>
      </c>
      <c r="K89" s="23">
        <v>3</v>
      </c>
      <c r="L89" s="23">
        <v>222</v>
      </c>
      <c r="M89" s="23">
        <v>222</v>
      </c>
      <c r="N89" s="23">
        <f>Table1[[#This Row],[Min laatste 5]]/Table1[[#This Row],['#minuten]]*100</f>
        <v>100</v>
      </c>
      <c r="O89" s="23">
        <v>3</v>
      </c>
      <c r="P89" s="23">
        <v>1</v>
      </c>
      <c r="Q89" s="25">
        <v>0</v>
      </c>
      <c r="R89" s="23">
        <v>0</v>
      </c>
      <c r="S89" s="23">
        <v>0</v>
      </c>
      <c r="T89" s="26">
        <f>ROUND(Table1[[#This Row],['#punten]]/Table1[[#This Row],['#Wed]],1)</f>
        <v>121.3</v>
      </c>
      <c r="U89" s="24">
        <f>ROUND(Table1[[#This Row],['#punten]]/Table1[[#This Row],['#minuten]],2)</f>
        <v>1.64</v>
      </c>
      <c r="V89" s="23">
        <f>ROUND((Table1[[#This Row],['#punten]]/(Table1[[#This Row],['#minuten]]/90)),2)</f>
        <v>147.57</v>
      </c>
      <c r="W89" s="23">
        <f>ROUND(Table1[[#This Row],[Prijs]]/Table1[[#This Row],['#punten]],0)</f>
        <v>4121</v>
      </c>
      <c r="X89" s="27">
        <f>ROUND((Table1[[#This Row],[Goals]]+Table1[[#This Row],[Asissts]])/(Table1[[#This Row],['#minuten]]/90),2)</f>
        <v>1.62</v>
      </c>
      <c r="Y89" t="s">
        <v>395</v>
      </c>
    </row>
    <row r="90" spans="1:25" x14ac:dyDescent="0.2">
      <c r="A90" s="39" t="s">
        <v>121</v>
      </c>
      <c r="B90" s="21" t="s">
        <v>45</v>
      </c>
      <c r="C90" s="22">
        <v>3500000</v>
      </c>
      <c r="D90" s="23" t="s">
        <v>140</v>
      </c>
      <c r="E90" s="23">
        <v>24</v>
      </c>
      <c r="F90" s="23" t="s">
        <v>141</v>
      </c>
      <c r="G90" s="24">
        <v>372</v>
      </c>
      <c r="H90" s="25">
        <v>372</v>
      </c>
      <c r="I90" s="25">
        <f>Table1[[#This Row],[laatste 5 wed.]]/Table1[[#This Row],['#punten]]*100</f>
        <v>100</v>
      </c>
      <c r="J90" s="23">
        <v>4</v>
      </c>
      <c r="K90" s="23">
        <v>4</v>
      </c>
      <c r="L90" s="23">
        <v>320</v>
      </c>
      <c r="M90" s="23">
        <v>320</v>
      </c>
      <c r="N90" s="23">
        <f>Table1[[#This Row],[Min laatste 5]]/Table1[[#This Row],['#minuten]]*100</f>
        <v>100</v>
      </c>
      <c r="O90" s="23">
        <v>1</v>
      </c>
      <c r="P90" s="23">
        <v>3</v>
      </c>
      <c r="Q90" s="25">
        <v>0</v>
      </c>
      <c r="R90" s="23">
        <v>0</v>
      </c>
      <c r="S90" s="23">
        <v>1</v>
      </c>
      <c r="T90" s="26">
        <f>ROUND(Table1[[#This Row],['#punten]]/Table1[[#This Row],['#Wed]],1)</f>
        <v>93</v>
      </c>
      <c r="U90" s="24">
        <f>ROUND(Table1[[#This Row],['#punten]]/Table1[[#This Row],['#minuten]],2)</f>
        <v>1.1599999999999999</v>
      </c>
      <c r="V90" s="23">
        <f>ROUND((Table1[[#This Row],['#punten]]/(Table1[[#This Row],['#minuten]]/90)),2)</f>
        <v>104.63</v>
      </c>
      <c r="W90" s="23">
        <f>ROUND(Table1[[#This Row],[Prijs]]/Table1[[#This Row],['#punten]],0)</f>
        <v>9409</v>
      </c>
      <c r="X90" s="27">
        <f>ROUND((Table1[[#This Row],[Goals]]+Table1[[#This Row],[Asissts]])/(Table1[[#This Row],['#minuten]]/90),2)</f>
        <v>1.1299999999999999</v>
      </c>
    </row>
    <row r="91" spans="1:25" x14ac:dyDescent="0.2">
      <c r="A91" s="39" t="s">
        <v>273</v>
      </c>
      <c r="B91" s="28" t="s">
        <v>11</v>
      </c>
      <c r="C91" s="29">
        <v>2500000</v>
      </c>
      <c r="D91" s="30" t="s">
        <v>140</v>
      </c>
      <c r="E91" s="30">
        <v>22</v>
      </c>
      <c r="F91" s="30" t="s">
        <v>47</v>
      </c>
      <c r="G91" s="31">
        <v>306</v>
      </c>
      <c r="H91" s="32">
        <v>306</v>
      </c>
      <c r="I91" s="32">
        <f>Table1[[#This Row],[laatste 5 wed.]]/Table1[[#This Row],['#punten]]*100</f>
        <v>100</v>
      </c>
      <c r="J91" s="30">
        <v>3</v>
      </c>
      <c r="K91" s="30">
        <v>1</v>
      </c>
      <c r="L91" s="30">
        <v>161</v>
      </c>
      <c r="M91" s="30">
        <v>161</v>
      </c>
      <c r="N91" s="30">
        <f>Table1[[#This Row],[Min laatste 5]]/Table1[[#This Row],['#minuten]]*100</f>
        <v>100</v>
      </c>
      <c r="O91" s="30">
        <v>1</v>
      </c>
      <c r="P91" s="30">
        <v>1</v>
      </c>
      <c r="Q91" s="32">
        <v>0</v>
      </c>
      <c r="R91" s="30">
        <v>0</v>
      </c>
      <c r="S91" s="30">
        <v>2</v>
      </c>
      <c r="T91" s="33">
        <f>ROUND(Table1[[#This Row],['#punten]]/Table1[[#This Row],['#Wed]],1)</f>
        <v>102</v>
      </c>
      <c r="U91" s="31">
        <f>ROUND(Table1[[#This Row],['#punten]]/Table1[[#This Row],['#minuten]],2)</f>
        <v>1.9</v>
      </c>
      <c r="V91" s="30">
        <f>ROUND((Table1[[#This Row],['#punten]]/(Table1[[#This Row],['#minuten]]/90)),2)</f>
        <v>171.06</v>
      </c>
      <c r="W91" s="30">
        <f>ROUND(Table1[[#This Row],[Prijs]]/Table1[[#This Row],['#punten]],0)</f>
        <v>8170</v>
      </c>
      <c r="X91" s="34">
        <f>ROUND((Table1[[#This Row],[Goals]]+Table1[[#This Row],[Asissts]])/(Table1[[#This Row],['#minuten]]/90),2)</f>
        <v>1.1200000000000001</v>
      </c>
    </row>
    <row r="92" spans="1:25" x14ac:dyDescent="0.2">
      <c r="A92" s="39" t="s">
        <v>31</v>
      </c>
      <c r="B92" s="21" t="s">
        <v>6</v>
      </c>
      <c r="C92" s="22">
        <v>3000000</v>
      </c>
      <c r="D92" s="23" t="s">
        <v>140</v>
      </c>
      <c r="E92" s="23">
        <v>25</v>
      </c>
      <c r="F92" s="23" t="s">
        <v>141</v>
      </c>
      <c r="G92" s="24">
        <v>338</v>
      </c>
      <c r="H92" s="25">
        <v>338</v>
      </c>
      <c r="I92" s="25">
        <f>Table1[[#This Row],[laatste 5 wed.]]/Table1[[#This Row],['#punten]]*100</f>
        <v>100</v>
      </c>
      <c r="J92" s="23">
        <v>3</v>
      </c>
      <c r="K92" s="23">
        <v>3</v>
      </c>
      <c r="L92" s="23">
        <v>261</v>
      </c>
      <c r="M92" s="23">
        <v>261</v>
      </c>
      <c r="N92" s="23">
        <f>Table1[[#This Row],[Min laatste 5]]/Table1[[#This Row],['#minuten]]*100</f>
        <v>100</v>
      </c>
      <c r="O92" s="23">
        <v>2</v>
      </c>
      <c r="P92" s="23">
        <v>1</v>
      </c>
      <c r="Q92" s="25">
        <v>1</v>
      </c>
      <c r="R92" s="23">
        <v>0</v>
      </c>
      <c r="S92" s="23">
        <v>1</v>
      </c>
      <c r="T92" s="26">
        <f>ROUND(Table1[[#This Row],['#punten]]/Table1[[#This Row],['#Wed]],1)</f>
        <v>112.7</v>
      </c>
      <c r="U92" s="24">
        <f>ROUND(Table1[[#This Row],['#punten]]/Table1[[#This Row],['#minuten]],2)</f>
        <v>1.3</v>
      </c>
      <c r="V92" s="23">
        <f>ROUND((Table1[[#This Row],['#punten]]/(Table1[[#This Row],['#minuten]]/90)),2)</f>
        <v>116.55</v>
      </c>
      <c r="W92" s="23">
        <f>ROUND(Table1[[#This Row],[Prijs]]/Table1[[#This Row],['#punten]],0)</f>
        <v>8876</v>
      </c>
      <c r="X92" s="27">
        <f>ROUND((Table1[[#This Row],[Goals]]+Table1[[#This Row],[Asissts]])/(Table1[[#This Row],['#minuten]]/90),2)</f>
        <v>1.03</v>
      </c>
      <c r="Y92" t="s">
        <v>395</v>
      </c>
    </row>
    <row r="93" spans="1:25" x14ac:dyDescent="0.2">
      <c r="A93" s="39" t="s">
        <v>120</v>
      </c>
      <c r="B93" s="28" t="s">
        <v>11</v>
      </c>
      <c r="C93" s="29">
        <v>4000000</v>
      </c>
      <c r="D93" s="30" t="s">
        <v>140</v>
      </c>
      <c r="E93" s="30">
        <v>24</v>
      </c>
      <c r="F93" s="30" t="s">
        <v>141</v>
      </c>
      <c r="G93" s="31">
        <v>346</v>
      </c>
      <c r="H93" s="32">
        <v>346</v>
      </c>
      <c r="I93" s="32">
        <f>Table1[[#This Row],[laatste 5 wed.]]/Table1[[#This Row],['#punten]]*100</f>
        <v>100</v>
      </c>
      <c r="J93" s="30">
        <v>3</v>
      </c>
      <c r="K93" s="30">
        <v>3</v>
      </c>
      <c r="L93" s="30">
        <v>268</v>
      </c>
      <c r="M93" s="30">
        <v>268</v>
      </c>
      <c r="N93" s="30">
        <f>Table1[[#This Row],[Min laatste 5]]/Table1[[#This Row],['#minuten]]*100</f>
        <v>100</v>
      </c>
      <c r="O93" s="30">
        <v>1</v>
      </c>
      <c r="P93" s="30">
        <v>2</v>
      </c>
      <c r="Q93" s="32">
        <v>0</v>
      </c>
      <c r="R93" s="30">
        <v>0</v>
      </c>
      <c r="S93" s="30">
        <v>2</v>
      </c>
      <c r="T93" s="33">
        <f>ROUND(Table1[[#This Row],['#punten]]/Table1[[#This Row],['#Wed]],1)</f>
        <v>115.3</v>
      </c>
      <c r="U93" s="31">
        <f>ROUND(Table1[[#This Row],['#punten]]/Table1[[#This Row],['#minuten]],2)</f>
        <v>1.29</v>
      </c>
      <c r="V93" s="30">
        <f>ROUND((Table1[[#This Row],['#punten]]/(Table1[[#This Row],['#minuten]]/90)),2)</f>
        <v>116.19</v>
      </c>
      <c r="W93" s="30">
        <f>ROUND(Table1[[#This Row],[Prijs]]/Table1[[#This Row],['#punten]],0)</f>
        <v>11561</v>
      </c>
      <c r="X93" s="34">
        <f>ROUND((Table1[[#This Row],[Goals]]+Table1[[#This Row],[Asissts]])/(Table1[[#This Row],['#minuten]]/90),2)</f>
        <v>1.01</v>
      </c>
    </row>
    <row r="94" spans="1:25" x14ac:dyDescent="0.2">
      <c r="A94" s="39" t="s">
        <v>311</v>
      </c>
      <c r="B94" s="28" t="s">
        <v>49</v>
      </c>
      <c r="C94" s="29">
        <v>3000000</v>
      </c>
      <c r="D94" s="30" t="s">
        <v>140</v>
      </c>
      <c r="E94" s="30">
        <v>26</v>
      </c>
      <c r="F94" s="30" t="s">
        <v>141</v>
      </c>
      <c r="G94" s="31">
        <v>236</v>
      </c>
      <c r="H94" s="32">
        <v>236</v>
      </c>
      <c r="I94" s="32">
        <f>Table1[[#This Row],[laatste 5 wed.]]/Table1[[#This Row],['#punten]]*100</f>
        <v>100</v>
      </c>
      <c r="J94" s="30">
        <v>3</v>
      </c>
      <c r="K94" s="30">
        <v>2</v>
      </c>
      <c r="L94" s="30">
        <v>193</v>
      </c>
      <c r="M94" s="30">
        <v>193</v>
      </c>
      <c r="N94" s="30">
        <f>Table1[[#This Row],[Min laatste 5]]/Table1[[#This Row],['#minuten]]*100</f>
        <v>100</v>
      </c>
      <c r="O94" s="30">
        <v>1</v>
      </c>
      <c r="P94" s="30">
        <v>1</v>
      </c>
      <c r="Q94" s="32">
        <v>0</v>
      </c>
      <c r="R94" s="30">
        <v>0</v>
      </c>
      <c r="S94" s="30">
        <v>1</v>
      </c>
      <c r="T94" s="33">
        <f>ROUND(Table1[[#This Row],['#punten]]/Table1[[#This Row],['#Wed]],1)</f>
        <v>78.7</v>
      </c>
      <c r="U94" s="31">
        <f>ROUND(Table1[[#This Row],['#punten]]/Table1[[#This Row],['#minuten]],2)</f>
        <v>1.22</v>
      </c>
      <c r="V94" s="30">
        <f>ROUND((Table1[[#This Row],['#punten]]/(Table1[[#This Row],['#minuten]]/90)),2)</f>
        <v>110.05</v>
      </c>
      <c r="W94" s="30">
        <f>ROUND(Table1[[#This Row],[Prijs]]/Table1[[#This Row],['#punten]],0)</f>
        <v>12712</v>
      </c>
      <c r="X94" s="34">
        <f>ROUND((Table1[[#This Row],[Goals]]+Table1[[#This Row],[Asissts]])/(Table1[[#This Row],['#minuten]]/90),2)</f>
        <v>0.93</v>
      </c>
    </row>
    <row r="95" spans="1:25" x14ac:dyDescent="0.2">
      <c r="A95" s="39" t="s">
        <v>130</v>
      </c>
      <c r="B95" s="28" t="s">
        <v>50</v>
      </c>
      <c r="C95" s="29">
        <v>2000000</v>
      </c>
      <c r="D95" s="30" t="s">
        <v>140</v>
      </c>
      <c r="E95" s="30">
        <v>30</v>
      </c>
      <c r="F95" s="30" t="s">
        <v>141</v>
      </c>
      <c r="G95" s="31">
        <v>272</v>
      </c>
      <c r="H95" s="32">
        <v>272</v>
      </c>
      <c r="I95" s="32">
        <f>Table1[[#This Row],[laatste 5 wed.]]/Table1[[#This Row],['#punten]]*100</f>
        <v>100</v>
      </c>
      <c r="J95" s="30">
        <v>3</v>
      </c>
      <c r="K95" s="30">
        <v>2</v>
      </c>
      <c r="L95" s="30">
        <v>198</v>
      </c>
      <c r="M95" s="30">
        <v>198</v>
      </c>
      <c r="N95" s="30">
        <f>Table1[[#This Row],[Min laatste 5]]/Table1[[#This Row],['#minuten]]*100</f>
        <v>100</v>
      </c>
      <c r="O95" s="30">
        <v>2</v>
      </c>
      <c r="P95" s="30">
        <v>0</v>
      </c>
      <c r="Q95" s="32">
        <v>0</v>
      </c>
      <c r="R95" s="30">
        <v>0</v>
      </c>
      <c r="S95" s="30">
        <v>0</v>
      </c>
      <c r="T95" s="33">
        <f>ROUND(Table1[[#This Row],['#punten]]/Table1[[#This Row],['#Wed]],1)</f>
        <v>90.7</v>
      </c>
      <c r="U95" s="31">
        <f>ROUND(Table1[[#This Row],['#punten]]/Table1[[#This Row],['#minuten]],2)</f>
        <v>1.37</v>
      </c>
      <c r="V95" s="30">
        <f>ROUND((Table1[[#This Row],['#punten]]/(Table1[[#This Row],['#minuten]]/90)),2)</f>
        <v>123.64</v>
      </c>
      <c r="W95" s="30">
        <f>ROUND(Table1[[#This Row],[Prijs]]/Table1[[#This Row],['#punten]],0)</f>
        <v>7353</v>
      </c>
      <c r="X95" s="34">
        <f>ROUND((Table1[[#This Row],[Goals]]+Table1[[#This Row],[Asissts]])/(Table1[[#This Row],['#minuten]]/90),2)</f>
        <v>0.91</v>
      </c>
    </row>
    <row r="96" spans="1:25" x14ac:dyDescent="0.2">
      <c r="A96" s="39" t="s">
        <v>24</v>
      </c>
      <c r="B96" s="28" t="s">
        <v>49</v>
      </c>
      <c r="C96" s="29">
        <v>2500000</v>
      </c>
      <c r="D96" s="30" t="s">
        <v>140</v>
      </c>
      <c r="E96" s="30">
        <v>21</v>
      </c>
      <c r="F96" s="30" t="s">
        <v>141</v>
      </c>
      <c r="G96" s="31">
        <v>322</v>
      </c>
      <c r="H96" s="32">
        <v>322</v>
      </c>
      <c r="I96" s="32">
        <f>Table1[[#This Row],[laatste 5 wed.]]/Table1[[#This Row],['#punten]]*100</f>
        <v>100</v>
      </c>
      <c r="J96" s="30">
        <v>3</v>
      </c>
      <c r="K96" s="30">
        <v>3</v>
      </c>
      <c r="L96" s="30">
        <v>203</v>
      </c>
      <c r="M96" s="30">
        <v>203</v>
      </c>
      <c r="N96" s="30">
        <f>Table1[[#This Row],[Min laatste 5]]/Table1[[#This Row],['#minuten]]*100</f>
        <v>100</v>
      </c>
      <c r="O96" s="30">
        <v>2</v>
      </c>
      <c r="P96" s="30">
        <v>0</v>
      </c>
      <c r="Q96" s="32">
        <v>0</v>
      </c>
      <c r="R96" s="30">
        <v>0</v>
      </c>
      <c r="S96" s="30">
        <v>1</v>
      </c>
      <c r="T96" s="33">
        <f>ROUND(Table1[[#This Row],['#punten]]/Table1[[#This Row],['#Wed]],1)</f>
        <v>107.3</v>
      </c>
      <c r="U96" s="31">
        <f>ROUND(Table1[[#This Row],['#punten]]/Table1[[#This Row],['#minuten]],2)</f>
        <v>1.59</v>
      </c>
      <c r="V96" s="30">
        <f>ROUND((Table1[[#This Row],['#punten]]/(Table1[[#This Row],['#minuten]]/90)),2)</f>
        <v>142.76</v>
      </c>
      <c r="W96" s="30">
        <f>ROUND(Table1[[#This Row],[Prijs]]/Table1[[#This Row],['#punten]],0)</f>
        <v>7764</v>
      </c>
      <c r="X96" s="34">
        <f>ROUND((Table1[[#This Row],[Goals]]+Table1[[#This Row],[Asissts]])/(Table1[[#This Row],['#minuten]]/90),2)</f>
        <v>0.89</v>
      </c>
    </row>
    <row r="97" spans="1:24" x14ac:dyDescent="0.2">
      <c r="A97" s="39" t="s">
        <v>358</v>
      </c>
      <c r="B97" s="21" t="s">
        <v>159</v>
      </c>
      <c r="C97" s="22">
        <v>500000</v>
      </c>
      <c r="D97" s="23" t="s">
        <v>140</v>
      </c>
      <c r="E97" s="23">
        <v>19</v>
      </c>
      <c r="F97" s="23" t="s">
        <v>141</v>
      </c>
      <c r="G97" s="24">
        <v>164</v>
      </c>
      <c r="H97" s="25">
        <v>164</v>
      </c>
      <c r="I97" s="25">
        <f>Table1[[#This Row],[laatste 5 wed.]]/Table1[[#This Row],['#punten]]*100</f>
        <v>100</v>
      </c>
      <c r="J97" s="23">
        <v>3</v>
      </c>
      <c r="K97" s="23">
        <v>1</v>
      </c>
      <c r="L97" s="23">
        <v>106</v>
      </c>
      <c r="M97" s="23">
        <v>106</v>
      </c>
      <c r="N97" s="23">
        <f>Table1[[#This Row],[Min laatste 5]]/Table1[[#This Row],['#minuten]]*100</f>
        <v>100</v>
      </c>
      <c r="O97" s="23">
        <v>1</v>
      </c>
      <c r="P97" s="23">
        <v>0</v>
      </c>
      <c r="Q97" s="25">
        <v>0</v>
      </c>
      <c r="R97" s="23">
        <v>0</v>
      </c>
      <c r="S97" s="23">
        <v>0</v>
      </c>
      <c r="T97" s="26">
        <f>ROUND(Table1[[#This Row],['#punten]]/Table1[[#This Row],['#Wed]],1)</f>
        <v>54.7</v>
      </c>
      <c r="U97" s="24">
        <f>ROUND(Table1[[#This Row],['#punten]]/Table1[[#This Row],['#minuten]],2)</f>
        <v>1.55</v>
      </c>
      <c r="V97" s="23">
        <f>ROUND((Table1[[#This Row],['#punten]]/(Table1[[#This Row],['#minuten]]/90)),2)</f>
        <v>139.25</v>
      </c>
      <c r="W97" s="23">
        <f>ROUND(Table1[[#This Row],[Prijs]]/Table1[[#This Row],['#punten]],0)</f>
        <v>3049</v>
      </c>
      <c r="X97" s="27">
        <f>ROUND((Table1[[#This Row],[Goals]]+Table1[[#This Row],[Asissts]])/(Table1[[#This Row],['#minuten]]/90),2)</f>
        <v>0.85</v>
      </c>
    </row>
    <row r="98" spans="1:24" x14ac:dyDescent="0.2">
      <c r="A98" s="39" t="s">
        <v>367</v>
      </c>
      <c r="B98" s="28" t="s">
        <v>10</v>
      </c>
      <c r="C98" s="29">
        <v>1500000</v>
      </c>
      <c r="D98" s="30" t="s">
        <v>140</v>
      </c>
      <c r="E98" s="30">
        <v>22</v>
      </c>
      <c r="F98" s="30" t="s">
        <v>47</v>
      </c>
      <c r="G98" s="31">
        <v>170</v>
      </c>
      <c r="H98" s="32">
        <v>170</v>
      </c>
      <c r="I98" s="32">
        <f>Table1[[#This Row],[laatste 5 wed.]]/Table1[[#This Row],['#punten]]*100</f>
        <v>100</v>
      </c>
      <c r="J98" s="30">
        <v>3</v>
      </c>
      <c r="K98" s="30">
        <v>1</v>
      </c>
      <c r="L98" s="30">
        <v>132</v>
      </c>
      <c r="M98" s="30">
        <v>132</v>
      </c>
      <c r="N98" s="30">
        <f>Table1[[#This Row],[Min laatste 5]]/Table1[[#This Row],['#minuten]]*100</f>
        <v>100</v>
      </c>
      <c r="O98" s="30">
        <v>1</v>
      </c>
      <c r="P98" s="30">
        <v>0</v>
      </c>
      <c r="Q98" s="32">
        <v>1</v>
      </c>
      <c r="R98" s="30">
        <v>0</v>
      </c>
      <c r="S98" s="30">
        <v>0</v>
      </c>
      <c r="T98" s="33">
        <f>ROUND(Table1[[#This Row],['#punten]]/Table1[[#This Row],['#Wed]],1)</f>
        <v>56.7</v>
      </c>
      <c r="U98" s="31">
        <f>ROUND(Table1[[#This Row],['#punten]]/Table1[[#This Row],['#minuten]],2)</f>
        <v>1.29</v>
      </c>
      <c r="V98" s="30">
        <f>ROUND((Table1[[#This Row],['#punten]]/(Table1[[#This Row],['#minuten]]/90)),2)</f>
        <v>115.91</v>
      </c>
      <c r="W98" s="30">
        <f>ROUND(Table1[[#This Row],[Prijs]]/Table1[[#This Row],['#punten]],0)</f>
        <v>8824</v>
      </c>
      <c r="X98" s="34">
        <f>ROUND((Table1[[#This Row],[Goals]]+Table1[[#This Row],[Asissts]])/(Table1[[#This Row],['#minuten]]/90),2)</f>
        <v>0.68</v>
      </c>
    </row>
    <row r="99" spans="1:24" x14ac:dyDescent="0.2">
      <c r="A99" s="39" t="s">
        <v>312</v>
      </c>
      <c r="B99" s="28" t="s">
        <v>49</v>
      </c>
      <c r="C99" s="29">
        <v>2000000</v>
      </c>
      <c r="D99" s="30" t="s">
        <v>140</v>
      </c>
      <c r="E99" s="30">
        <v>24</v>
      </c>
      <c r="F99" s="30" t="s">
        <v>278</v>
      </c>
      <c r="G99" s="31">
        <v>282</v>
      </c>
      <c r="H99" s="32">
        <v>282</v>
      </c>
      <c r="I99" s="32">
        <f>Table1[[#This Row],[laatste 5 wed.]]/Table1[[#This Row],['#punten]]*100</f>
        <v>100</v>
      </c>
      <c r="J99" s="30">
        <v>3</v>
      </c>
      <c r="K99" s="30">
        <v>3</v>
      </c>
      <c r="L99" s="30">
        <v>270</v>
      </c>
      <c r="M99" s="30">
        <v>270</v>
      </c>
      <c r="N99" s="30">
        <f>Table1[[#This Row],[Min laatste 5]]/Table1[[#This Row],['#minuten]]*100</f>
        <v>100</v>
      </c>
      <c r="O99" s="30">
        <v>1</v>
      </c>
      <c r="P99" s="30">
        <v>1</v>
      </c>
      <c r="Q99" s="32">
        <v>0</v>
      </c>
      <c r="R99" s="30">
        <v>0</v>
      </c>
      <c r="S99" s="30">
        <v>1</v>
      </c>
      <c r="T99" s="33">
        <f>ROUND(Table1[[#This Row],['#punten]]/Table1[[#This Row],['#Wed]],1)</f>
        <v>94</v>
      </c>
      <c r="U99" s="31">
        <f>ROUND(Table1[[#This Row],['#punten]]/Table1[[#This Row],['#minuten]],2)</f>
        <v>1.04</v>
      </c>
      <c r="V99" s="30">
        <f>ROUND((Table1[[#This Row],['#punten]]/(Table1[[#This Row],['#minuten]]/90)),2)</f>
        <v>94</v>
      </c>
      <c r="W99" s="30">
        <f>ROUND(Table1[[#This Row],[Prijs]]/Table1[[#This Row],['#punten]],0)</f>
        <v>7092</v>
      </c>
      <c r="X99" s="34">
        <f>ROUND((Table1[[#This Row],[Goals]]+Table1[[#This Row],[Asissts]])/(Table1[[#This Row],['#minuten]]/90),2)</f>
        <v>0.67</v>
      </c>
    </row>
    <row r="100" spans="1:24" x14ac:dyDescent="0.2">
      <c r="A100" s="39" t="s">
        <v>253</v>
      </c>
      <c r="B100" s="28" t="s">
        <v>10</v>
      </c>
      <c r="C100" s="29">
        <v>1500000</v>
      </c>
      <c r="D100" s="30" t="s">
        <v>140</v>
      </c>
      <c r="E100" s="30">
        <v>21</v>
      </c>
      <c r="F100" s="30" t="s">
        <v>141</v>
      </c>
      <c r="G100" s="31">
        <v>240</v>
      </c>
      <c r="H100" s="32">
        <v>240</v>
      </c>
      <c r="I100" s="32">
        <f>Table1[[#This Row],[laatste 5 wed.]]/Table1[[#This Row],['#punten]]*100</f>
        <v>100</v>
      </c>
      <c r="J100" s="30">
        <v>3</v>
      </c>
      <c r="K100" s="30">
        <v>3</v>
      </c>
      <c r="L100" s="30">
        <v>270</v>
      </c>
      <c r="M100" s="30">
        <v>270</v>
      </c>
      <c r="N100" s="30">
        <f>Table1[[#This Row],[Min laatste 5]]/Table1[[#This Row],['#minuten]]*100</f>
        <v>100</v>
      </c>
      <c r="O100" s="30">
        <v>1</v>
      </c>
      <c r="P100" s="30">
        <v>1</v>
      </c>
      <c r="Q100" s="32">
        <v>0</v>
      </c>
      <c r="R100" s="30">
        <v>0</v>
      </c>
      <c r="S100" s="30">
        <v>1</v>
      </c>
      <c r="T100" s="33">
        <f>ROUND(Table1[[#This Row],['#punten]]/Table1[[#This Row],['#Wed]],1)</f>
        <v>80</v>
      </c>
      <c r="U100" s="31">
        <f>ROUND(Table1[[#This Row],['#punten]]/Table1[[#This Row],['#minuten]],2)</f>
        <v>0.89</v>
      </c>
      <c r="V100" s="30">
        <f>ROUND((Table1[[#This Row],['#punten]]/(Table1[[#This Row],['#minuten]]/90)),2)</f>
        <v>80</v>
      </c>
      <c r="W100" s="30">
        <f>ROUND(Table1[[#This Row],[Prijs]]/Table1[[#This Row],['#punten]],0)</f>
        <v>6250</v>
      </c>
      <c r="X100" s="34">
        <f>ROUND((Table1[[#This Row],[Goals]]+Table1[[#This Row],[Asissts]])/(Table1[[#This Row],['#minuten]]/90),2)</f>
        <v>0.67</v>
      </c>
    </row>
    <row r="101" spans="1:24" x14ac:dyDescent="0.2">
      <c r="A101" s="39" t="s">
        <v>201</v>
      </c>
      <c r="B101" s="21" t="s">
        <v>45</v>
      </c>
      <c r="C101" s="22">
        <v>2500000</v>
      </c>
      <c r="D101" s="23" t="s">
        <v>140</v>
      </c>
      <c r="E101" s="23">
        <v>22</v>
      </c>
      <c r="F101" s="23" t="s">
        <v>141</v>
      </c>
      <c r="G101" s="24">
        <v>292</v>
      </c>
      <c r="H101" s="25">
        <v>292</v>
      </c>
      <c r="I101" s="25">
        <f>Table1[[#This Row],[laatste 5 wed.]]/Table1[[#This Row],['#punten]]*100</f>
        <v>100</v>
      </c>
      <c r="J101" s="23">
        <v>4</v>
      </c>
      <c r="K101" s="23">
        <v>4</v>
      </c>
      <c r="L101" s="23">
        <v>337</v>
      </c>
      <c r="M101" s="23">
        <v>337</v>
      </c>
      <c r="N101" s="23">
        <f>Table1[[#This Row],[Min laatste 5]]/Table1[[#This Row],['#minuten]]*100</f>
        <v>100</v>
      </c>
      <c r="O101" s="23">
        <v>1</v>
      </c>
      <c r="P101" s="23">
        <v>1</v>
      </c>
      <c r="Q101" s="25">
        <v>0</v>
      </c>
      <c r="R101" s="23">
        <v>0</v>
      </c>
      <c r="S101" s="23">
        <v>1</v>
      </c>
      <c r="T101" s="26">
        <f>ROUND(Table1[[#This Row],['#punten]]/Table1[[#This Row],['#Wed]],1)</f>
        <v>73</v>
      </c>
      <c r="U101" s="24">
        <f>ROUND(Table1[[#This Row],['#punten]]/Table1[[#This Row],['#minuten]],2)</f>
        <v>0.87</v>
      </c>
      <c r="V101" s="23">
        <f>ROUND((Table1[[#This Row],['#punten]]/(Table1[[#This Row],['#minuten]]/90)),2)</f>
        <v>77.98</v>
      </c>
      <c r="W101" s="23">
        <f>ROUND(Table1[[#This Row],[Prijs]]/Table1[[#This Row],['#punten]],0)</f>
        <v>8562</v>
      </c>
      <c r="X101" s="27">
        <f>ROUND((Table1[[#This Row],[Goals]]+Table1[[#This Row],[Asissts]])/(Table1[[#This Row],['#minuten]]/90),2)</f>
        <v>0.53</v>
      </c>
    </row>
    <row r="102" spans="1:24" x14ac:dyDescent="0.2">
      <c r="A102" s="39" t="s">
        <v>176</v>
      </c>
      <c r="B102" s="28" t="s">
        <v>6</v>
      </c>
      <c r="C102" s="29">
        <v>2000000</v>
      </c>
      <c r="D102" s="30" t="s">
        <v>140</v>
      </c>
      <c r="E102" s="30">
        <v>32</v>
      </c>
      <c r="F102" s="30" t="s">
        <v>141</v>
      </c>
      <c r="G102" s="31">
        <v>196</v>
      </c>
      <c r="H102" s="32">
        <v>196</v>
      </c>
      <c r="I102" s="32">
        <f>Table1[[#This Row],[laatste 5 wed.]]/Table1[[#This Row],['#punten]]*100</f>
        <v>100</v>
      </c>
      <c r="J102" s="30">
        <v>2</v>
      </c>
      <c r="K102" s="30">
        <v>2</v>
      </c>
      <c r="L102" s="30">
        <v>171</v>
      </c>
      <c r="M102" s="30">
        <v>171</v>
      </c>
      <c r="N102" s="30">
        <f>Table1[[#This Row],[Min laatste 5]]/Table1[[#This Row],['#minuten]]*100</f>
        <v>100</v>
      </c>
      <c r="O102" s="30">
        <v>1</v>
      </c>
      <c r="P102" s="30">
        <v>0</v>
      </c>
      <c r="Q102" s="32">
        <v>0</v>
      </c>
      <c r="R102" s="30">
        <v>0</v>
      </c>
      <c r="S102" s="30">
        <v>1</v>
      </c>
      <c r="T102" s="33">
        <f>ROUND(Table1[[#This Row],['#punten]]/Table1[[#This Row],['#Wed]],1)</f>
        <v>98</v>
      </c>
      <c r="U102" s="31">
        <f>ROUND(Table1[[#This Row],['#punten]]/Table1[[#This Row],['#minuten]],2)</f>
        <v>1.1499999999999999</v>
      </c>
      <c r="V102" s="30">
        <f>ROUND((Table1[[#This Row],['#punten]]/(Table1[[#This Row],['#minuten]]/90)),2)</f>
        <v>103.16</v>
      </c>
      <c r="W102" s="30">
        <f>ROUND(Table1[[#This Row],[Prijs]]/Table1[[#This Row],['#punten]],0)</f>
        <v>10204</v>
      </c>
      <c r="X102" s="34">
        <f>ROUND((Table1[[#This Row],[Goals]]+Table1[[#This Row],[Asissts]])/(Table1[[#This Row],['#minuten]]/90),2)</f>
        <v>0.53</v>
      </c>
    </row>
    <row r="103" spans="1:24" x14ac:dyDescent="0.2">
      <c r="A103" s="39" t="s">
        <v>336</v>
      </c>
      <c r="B103" s="28" t="s">
        <v>50</v>
      </c>
      <c r="C103" s="29">
        <v>2000000</v>
      </c>
      <c r="D103" s="30" t="s">
        <v>140</v>
      </c>
      <c r="E103" s="30">
        <v>19</v>
      </c>
      <c r="F103" s="30" t="s">
        <v>226</v>
      </c>
      <c r="G103" s="31">
        <v>94</v>
      </c>
      <c r="H103" s="32">
        <v>94</v>
      </c>
      <c r="I103" s="32">
        <f>Table1[[#This Row],[laatste 5 wed.]]/Table1[[#This Row],['#punten]]*100</f>
        <v>100</v>
      </c>
      <c r="J103" s="30">
        <v>3</v>
      </c>
      <c r="K103" s="30">
        <v>3</v>
      </c>
      <c r="L103" s="30">
        <v>174</v>
      </c>
      <c r="M103" s="30">
        <v>174</v>
      </c>
      <c r="N103" s="30">
        <f>Table1[[#This Row],[Min laatste 5]]/Table1[[#This Row],['#minuten]]*100</f>
        <v>100</v>
      </c>
      <c r="O103" s="30">
        <v>0</v>
      </c>
      <c r="P103" s="30">
        <v>1</v>
      </c>
      <c r="Q103" s="32">
        <v>1</v>
      </c>
      <c r="R103" s="30">
        <v>0</v>
      </c>
      <c r="S103" s="30">
        <v>0</v>
      </c>
      <c r="T103" s="33">
        <f>ROUND(Table1[[#This Row],['#punten]]/Table1[[#This Row],['#Wed]],1)</f>
        <v>31.3</v>
      </c>
      <c r="U103" s="31">
        <f>ROUND(Table1[[#This Row],['#punten]]/Table1[[#This Row],['#minuten]],2)</f>
        <v>0.54</v>
      </c>
      <c r="V103" s="30">
        <f>ROUND((Table1[[#This Row],['#punten]]/(Table1[[#This Row],['#minuten]]/90)),2)</f>
        <v>48.62</v>
      </c>
      <c r="W103" s="30">
        <f>ROUND(Table1[[#This Row],[Prijs]]/Table1[[#This Row],['#punten]],0)</f>
        <v>21277</v>
      </c>
      <c r="X103" s="34">
        <f>ROUND((Table1[[#This Row],[Goals]]+Table1[[#This Row],[Asissts]])/(Table1[[#This Row],['#minuten]]/90),2)</f>
        <v>0.52</v>
      </c>
    </row>
    <row r="104" spans="1:24" x14ac:dyDescent="0.2">
      <c r="A104" s="39" t="s">
        <v>254</v>
      </c>
      <c r="B104" s="28" t="s">
        <v>10</v>
      </c>
      <c r="C104" s="29">
        <v>1500000</v>
      </c>
      <c r="D104" s="30" t="s">
        <v>140</v>
      </c>
      <c r="E104" s="30">
        <v>37</v>
      </c>
      <c r="F104" s="30" t="s">
        <v>141</v>
      </c>
      <c r="G104" s="31">
        <v>60</v>
      </c>
      <c r="H104" s="32">
        <v>60</v>
      </c>
      <c r="I104" s="32">
        <f>Table1[[#This Row],[laatste 5 wed.]]/Table1[[#This Row],['#punten]]*100</f>
        <v>100</v>
      </c>
      <c r="J104" s="30">
        <v>2</v>
      </c>
      <c r="K104" s="30">
        <v>2</v>
      </c>
      <c r="L104" s="30">
        <v>180</v>
      </c>
      <c r="M104" s="30">
        <v>180</v>
      </c>
      <c r="N104" s="30">
        <f>Table1[[#This Row],[Min laatste 5]]/Table1[[#This Row],['#minuten]]*100</f>
        <v>100</v>
      </c>
      <c r="O104" s="30">
        <v>0</v>
      </c>
      <c r="P104" s="30">
        <v>1</v>
      </c>
      <c r="Q104" s="32">
        <v>0</v>
      </c>
      <c r="R104" s="30">
        <v>0</v>
      </c>
      <c r="S104" s="30">
        <v>0</v>
      </c>
      <c r="T104" s="33">
        <f>ROUND(Table1[[#This Row],['#punten]]/Table1[[#This Row],['#Wed]],1)</f>
        <v>30</v>
      </c>
      <c r="U104" s="31">
        <f>ROUND(Table1[[#This Row],['#punten]]/Table1[[#This Row],['#minuten]],2)</f>
        <v>0.33</v>
      </c>
      <c r="V104" s="30">
        <f>ROUND((Table1[[#This Row],['#punten]]/(Table1[[#This Row],['#minuten]]/90)),2)</f>
        <v>30</v>
      </c>
      <c r="W104" s="30">
        <f>ROUND(Table1[[#This Row],[Prijs]]/Table1[[#This Row],['#punten]],0)</f>
        <v>25000</v>
      </c>
      <c r="X104" s="34">
        <f>ROUND((Table1[[#This Row],[Goals]]+Table1[[#This Row],[Asissts]])/(Table1[[#This Row],['#minuten]]/90),2)</f>
        <v>0.5</v>
      </c>
    </row>
    <row r="105" spans="1:24" x14ac:dyDescent="0.2">
      <c r="A105" s="39" t="s">
        <v>243</v>
      </c>
      <c r="B105" s="28" t="s">
        <v>239</v>
      </c>
      <c r="C105" s="29">
        <v>1500000</v>
      </c>
      <c r="D105" s="30" t="s">
        <v>140</v>
      </c>
      <c r="E105" s="30">
        <v>25</v>
      </c>
      <c r="F105" s="30" t="s">
        <v>200</v>
      </c>
      <c r="G105" s="31">
        <v>152</v>
      </c>
      <c r="H105" s="32">
        <v>152</v>
      </c>
      <c r="I105" s="32">
        <f>Table1[[#This Row],[laatste 5 wed.]]/Table1[[#This Row],['#punten]]*100</f>
        <v>100</v>
      </c>
      <c r="J105" s="30">
        <v>3</v>
      </c>
      <c r="K105" s="30">
        <v>3</v>
      </c>
      <c r="L105" s="30">
        <v>227</v>
      </c>
      <c r="M105" s="30">
        <v>227</v>
      </c>
      <c r="N105" s="30">
        <f>Table1[[#This Row],[Min laatste 5]]/Table1[[#This Row],['#minuten]]*100</f>
        <v>100</v>
      </c>
      <c r="O105" s="30">
        <v>1</v>
      </c>
      <c r="P105" s="30">
        <v>0</v>
      </c>
      <c r="Q105" s="32">
        <v>1</v>
      </c>
      <c r="R105" s="30">
        <v>0</v>
      </c>
      <c r="S105" s="30">
        <v>0</v>
      </c>
      <c r="T105" s="33">
        <f>ROUND(Table1[[#This Row],['#punten]]/Table1[[#This Row],['#Wed]],1)</f>
        <v>50.7</v>
      </c>
      <c r="U105" s="31">
        <f>ROUND(Table1[[#This Row],['#punten]]/Table1[[#This Row],['#minuten]],2)</f>
        <v>0.67</v>
      </c>
      <c r="V105" s="30">
        <f>ROUND((Table1[[#This Row],['#punten]]/(Table1[[#This Row],['#minuten]]/90)),2)</f>
        <v>60.26</v>
      </c>
      <c r="W105" s="30">
        <f>ROUND(Table1[[#This Row],[Prijs]]/Table1[[#This Row],['#punten]],0)</f>
        <v>9868</v>
      </c>
      <c r="X105" s="34">
        <f>ROUND((Table1[[#This Row],[Goals]]+Table1[[#This Row],[Asissts]])/(Table1[[#This Row],['#minuten]]/90),2)</f>
        <v>0.4</v>
      </c>
    </row>
    <row r="106" spans="1:24" x14ac:dyDescent="0.2">
      <c r="A106" s="39" t="s">
        <v>147</v>
      </c>
      <c r="B106" s="28" t="s">
        <v>43</v>
      </c>
      <c r="C106" s="29">
        <v>2500000</v>
      </c>
      <c r="D106" s="30" t="s">
        <v>140</v>
      </c>
      <c r="E106" s="30">
        <v>20</v>
      </c>
      <c r="F106" s="30" t="s">
        <v>144</v>
      </c>
      <c r="G106" s="31">
        <v>142</v>
      </c>
      <c r="H106" s="32">
        <v>142</v>
      </c>
      <c r="I106" s="32">
        <f>Table1[[#This Row],[laatste 5 wed.]]/Table1[[#This Row],['#punten]]*100</f>
        <v>100</v>
      </c>
      <c r="J106" s="30">
        <v>3</v>
      </c>
      <c r="K106" s="30">
        <v>3</v>
      </c>
      <c r="L106" s="30">
        <v>251</v>
      </c>
      <c r="M106" s="30">
        <v>251</v>
      </c>
      <c r="N106" s="30">
        <f>Table1[[#This Row],[Min laatste 5]]/Table1[[#This Row],['#minuten]]*100</f>
        <v>100</v>
      </c>
      <c r="O106" s="30">
        <v>0</v>
      </c>
      <c r="P106" s="30">
        <v>1</v>
      </c>
      <c r="Q106" s="32">
        <v>1</v>
      </c>
      <c r="R106" s="30">
        <v>0</v>
      </c>
      <c r="S106" s="30">
        <v>1</v>
      </c>
      <c r="T106" s="33">
        <f>ROUND(Table1[[#This Row],['#punten]]/Table1[[#This Row],['#Wed]],1)</f>
        <v>47.3</v>
      </c>
      <c r="U106" s="31">
        <f>ROUND(Table1[[#This Row],['#punten]]/Table1[[#This Row],['#minuten]],2)</f>
        <v>0.56999999999999995</v>
      </c>
      <c r="V106" s="30">
        <f>ROUND((Table1[[#This Row],['#punten]]/(Table1[[#This Row],['#minuten]]/90)),2)</f>
        <v>50.92</v>
      </c>
      <c r="W106" s="30">
        <f>ROUND(Table1[[#This Row],[Prijs]]/Table1[[#This Row],['#punten]],0)</f>
        <v>17606</v>
      </c>
      <c r="X106" s="34">
        <f>ROUND((Table1[[#This Row],[Goals]]+Table1[[#This Row],[Asissts]])/(Table1[[#This Row],['#minuten]]/90),2)</f>
        <v>0.36</v>
      </c>
    </row>
    <row r="107" spans="1:24" x14ac:dyDescent="0.2">
      <c r="A107" s="39" t="s">
        <v>302</v>
      </c>
      <c r="B107" s="28" t="s">
        <v>47</v>
      </c>
      <c r="C107" s="29">
        <v>1500000</v>
      </c>
      <c r="D107" s="30" t="s">
        <v>140</v>
      </c>
      <c r="E107" s="30">
        <v>35</v>
      </c>
      <c r="F107" s="30" t="s">
        <v>141</v>
      </c>
      <c r="G107" s="31">
        <v>164</v>
      </c>
      <c r="H107" s="32">
        <v>164</v>
      </c>
      <c r="I107" s="32">
        <f>Table1[[#This Row],[laatste 5 wed.]]/Table1[[#This Row],['#punten]]*100</f>
        <v>100</v>
      </c>
      <c r="J107" s="30">
        <v>4</v>
      </c>
      <c r="K107" s="30">
        <v>4</v>
      </c>
      <c r="L107" s="30">
        <v>258</v>
      </c>
      <c r="M107" s="30">
        <v>258</v>
      </c>
      <c r="N107" s="30">
        <f>Table1[[#This Row],[Min laatste 5]]/Table1[[#This Row],['#minuten]]*100</f>
        <v>100</v>
      </c>
      <c r="O107" s="30">
        <v>0</v>
      </c>
      <c r="P107" s="30">
        <v>1</v>
      </c>
      <c r="Q107" s="32">
        <v>1</v>
      </c>
      <c r="R107" s="30">
        <v>0</v>
      </c>
      <c r="S107" s="30">
        <v>0</v>
      </c>
      <c r="T107" s="33">
        <f>ROUND(Table1[[#This Row],['#punten]]/Table1[[#This Row],['#Wed]],1)</f>
        <v>41</v>
      </c>
      <c r="U107" s="31">
        <f>ROUND(Table1[[#This Row],['#punten]]/Table1[[#This Row],['#minuten]],2)</f>
        <v>0.64</v>
      </c>
      <c r="V107" s="30">
        <f>ROUND((Table1[[#This Row],['#punten]]/(Table1[[#This Row],['#minuten]]/90)),2)</f>
        <v>57.21</v>
      </c>
      <c r="W107" s="30">
        <f>ROUND(Table1[[#This Row],[Prijs]]/Table1[[#This Row],['#punten]],0)</f>
        <v>9146</v>
      </c>
      <c r="X107" s="34">
        <f>ROUND((Table1[[#This Row],[Goals]]+Table1[[#This Row],[Asissts]])/(Table1[[#This Row],['#minuten]]/90),2)</f>
        <v>0.35</v>
      </c>
    </row>
    <row r="108" spans="1:24" x14ac:dyDescent="0.2">
      <c r="A108" s="39" t="s">
        <v>337</v>
      </c>
      <c r="B108" s="28" t="s">
        <v>50</v>
      </c>
      <c r="C108" s="29">
        <v>1500000</v>
      </c>
      <c r="D108" s="30" t="s">
        <v>140</v>
      </c>
      <c r="E108" s="30">
        <v>21</v>
      </c>
      <c r="F108" s="30" t="s">
        <v>141</v>
      </c>
      <c r="G108" s="31">
        <v>134</v>
      </c>
      <c r="H108" s="32">
        <v>134</v>
      </c>
      <c r="I108" s="32">
        <f>Table1[[#This Row],[laatste 5 wed.]]/Table1[[#This Row],['#punten]]*100</f>
        <v>100</v>
      </c>
      <c r="J108" s="30">
        <v>3</v>
      </c>
      <c r="K108" s="30">
        <v>3</v>
      </c>
      <c r="L108" s="30">
        <v>255</v>
      </c>
      <c r="M108" s="30">
        <v>255</v>
      </c>
      <c r="N108" s="30">
        <f>Table1[[#This Row],[Min laatste 5]]/Table1[[#This Row],['#minuten]]*100</f>
        <v>100</v>
      </c>
      <c r="O108" s="30">
        <v>1</v>
      </c>
      <c r="P108" s="30">
        <v>0</v>
      </c>
      <c r="Q108" s="32">
        <v>1</v>
      </c>
      <c r="R108" s="30">
        <v>0</v>
      </c>
      <c r="S108" s="30">
        <v>0</v>
      </c>
      <c r="T108" s="33">
        <f>ROUND(Table1[[#This Row],['#punten]]/Table1[[#This Row],['#Wed]],1)</f>
        <v>44.7</v>
      </c>
      <c r="U108" s="31">
        <f>ROUND(Table1[[#This Row],['#punten]]/Table1[[#This Row],['#minuten]],2)</f>
        <v>0.53</v>
      </c>
      <c r="V108" s="30">
        <f>ROUND((Table1[[#This Row],['#punten]]/(Table1[[#This Row],['#minuten]]/90)),2)</f>
        <v>47.29</v>
      </c>
      <c r="W108" s="30">
        <f>ROUND(Table1[[#This Row],[Prijs]]/Table1[[#This Row],['#punten]],0)</f>
        <v>11194</v>
      </c>
      <c r="X108" s="34">
        <f>ROUND((Table1[[#This Row],[Goals]]+Table1[[#This Row],[Asissts]])/(Table1[[#This Row],['#minuten]]/90),2)</f>
        <v>0.35</v>
      </c>
    </row>
    <row r="109" spans="1:24" x14ac:dyDescent="0.2">
      <c r="A109" s="39" t="s">
        <v>217</v>
      </c>
      <c r="B109" s="21" t="s">
        <v>39</v>
      </c>
      <c r="C109" s="22">
        <v>2000000</v>
      </c>
      <c r="D109" s="23" t="s">
        <v>140</v>
      </c>
      <c r="E109" s="23">
        <v>24</v>
      </c>
      <c r="F109" s="23" t="s">
        <v>218</v>
      </c>
      <c r="G109" s="24">
        <v>164</v>
      </c>
      <c r="H109" s="25">
        <v>164</v>
      </c>
      <c r="I109" s="25">
        <f>Table1[[#This Row],[laatste 5 wed.]]/Table1[[#This Row],['#punten]]*100</f>
        <v>100</v>
      </c>
      <c r="J109" s="23">
        <v>3</v>
      </c>
      <c r="K109" s="23">
        <v>3</v>
      </c>
      <c r="L109" s="23">
        <v>270</v>
      </c>
      <c r="M109" s="23">
        <v>270</v>
      </c>
      <c r="N109" s="23">
        <f>Table1[[#This Row],[Min laatste 5]]/Table1[[#This Row],['#minuten]]*100</f>
        <v>100</v>
      </c>
      <c r="O109" s="23">
        <v>1</v>
      </c>
      <c r="P109" s="23">
        <v>0</v>
      </c>
      <c r="Q109" s="25">
        <v>0</v>
      </c>
      <c r="R109" s="23">
        <v>0</v>
      </c>
      <c r="S109" s="23">
        <v>0</v>
      </c>
      <c r="T109" s="26">
        <f>ROUND(Table1[[#This Row],['#punten]]/Table1[[#This Row],['#Wed]],1)</f>
        <v>54.7</v>
      </c>
      <c r="U109" s="24">
        <f>ROUND(Table1[[#This Row],['#punten]]/Table1[[#This Row],['#minuten]],2)</f>
        <v>0.61</v>
      </c>
      <c r="V109" s="23">
        <f>ROUND((Table1[[#This Row],['#punten]]/(Table1[[#This Row],['#minuten]]/90)),2)</f>
        <v>54.67</v>
      </c>
      <c r="W109" s="23">
        <f>ROUND(Table1[[#This Row],[Prijs]]/Table1[[#This Row],['#punten]],0)</f>
        <v>12195</v>
      </c>
      <c r="X109" s="27">
        <f>ROUND((Table1[[#This Row],[Goals]]+Table1[[#This Row],[Asissts]])/(Table1[[#This Row],['#minuten]]/90),2)</f>
        <v>0.33</v>
      </c>
    </row>
    <row r="110" spans="1:24" x14ac:dyDescent="0.2">
      <c r="A110" s="39" t="s">
        <v>232</v>
      </c>
      <c r="B110" s="28" t="s">
        <v>48</v>
      </c>
      <c r="C110" s="29">
        <v>1750000</v>
      </c>
      <c r="D110" s="30" t="s">
        <v>140</v>
      </c>
      <c r="E110" s="30">
        <v>28</v>
      </c>
      <c r="F110" s="30" t="s">
        <v>141</v>
      </c>
      <c r="G110" s="31">
        <v>124</v>
      </c>
      <c r="H110" s="32">
        <v>124</v>
      </c>
      <c r="I110" s="32">
        <f>Table1[[#This Row],[laatste 5 wed.]]/Table1[[#This Row],['#punten]]*100</f>
        <v>100</v>
      </c>
      <c r="J110" s="30">
        <v>3</v>
      </c>
      <c r="K110" s="30">
        <v>3</v>
      </c>
      <c r="L110" s="30">
        <v>270</v>
      </c>
      <c r="M110" s="30">
        <v>270</v>
      </c>
      <c r="N110" s="30">
        <f>Table1[[#This Row],[Min laatste 5]]/Table1[[#This Row],['#minuten]]*100</f>
        <v>100</v>
      </c>
      <c r="O110" s="30">
        <v>0</v>
      </c>
      <c r="P110" s="30">
        <v>1</v>
      </c>
      <c r="Q110" s="32">
        <v>0</v>
      </c>
      <c r="R110" s="30">
        <v>1</v>
      </c>
      <c r="S110" s="30">
        <v>1</v>
      </c>
      <c r="T110" s="33">
        <f>ROUND(Table1[[#This Row],['#punten]]/Table1[[#This Row],['#Wed]],1)</f>
        <v>41.3</v>
      </c>
      <c r="U110" s="31">
        <f>ROUND(Table1[[#This Row],['#punten]]/Table1[[#This Row],['#minuten]],2)</f>
        <v>0.46</v>
      </c>
      <c r="V110" s="30">
        <f>ROUND((Table1[[#This Row],['#punten]]/(Table1[[#This Row],['#minuten]]/90)),2)</f>
        <v>41.33</v>
      </c>
      <c r="W110" s="30">
        <f>ROUND(Table1[[#This Row],[Prijs]]/Table1[[#This Row],['#punten]],0)</f>
        <v>14113</v>
      </c>
      <c r="X110" s="34">
        <f>ROUND((Table1[[#This Row],[Goals]]+Table1[[#This Row],[Asissts]])/(Table1[[#This Row],['#minuten]]/90),2)</f>
        <v>0.33</v>
      </c>
    </row>
    <row r="111" spans="1:24" x14ac:dyDescent="0.2">
      <c r="A111" s="39" t="s">
        <v>162</v>
      </c>
      <c r="B111" s="28" t="s">
        <v>159</v>
      </c>
      <c r="C111" s="29">
        <v>1250000</v>
      </c>
      <c r="D111" s="30" t="s">
        <v>140</v>
      </c>
      <c r="E111" s="30">
        <v>24</v>
      </c>
      <c r="F111" s="30" t="s">
        <v>141</v>
      </c>
      <c r="G111" s="31">
        <v>40</v>
      </c>
      <c r="H111" s="32">
        <v>40</v>
      </c>
      <c r="I111" s="32">
        <f>Table1[[#This Row],[laatste 5 wed.]]/Table1[[#This Row],['#punten]]*100</f>
        <v>100</v>
      </c>
      <c r="J111" s="30">
        <v>4</v>
      </c>
      <c r="K111" s="30">
        <v>3</v>
      </c>
      <c r="L111" s="30">
        <v>276</v>
      </c>
      <c r="M111" s="30">
        <v>276</v>
      </c>
      <c r="N111" s="30">
        <f>Table1[[#This Row],[Min laatste 5]]/Table1[[#This Row],['#minuten]]*100</f>
        <v>100</v>
      </c>
      <c r="O111" s="30">
        <v>0</v>
      </c>
      <c r="P111" s="30">
        <v>1</v>
      </c>
      <c r="Q111" s="32">
        <v>1</v>
      </c>
      <c r="R111" s="30">
        <v>0</v>
      </c>
      <c r="S111" s="30">
        <v>0</v>
      </c>
      <c r="T111" s="26">
        <f>ROUND(Table1[[#This Row],['#punten]]/Table1[[#This Row],['#Wed]],1)</f>
        <v>10</v>
      </c>
      <c r="U111" s="24">
        <f>ROUND(Table1[[#This Row],['#punten]]/Table1[[#This Row],['#minuten]],2)</f>
        <v>0.14000000000000001</v>
      </c>
      <c r="V111" s="23">
        <f>ROUND((Table1[[#This Row],['#punten]]/(Table1[[#This Row],['#minuten]]/90)),2)</f>
        <v>13.04</v>
      </c>
      <c r="W111" s="23">
        <f>ROUND(Table1[[#This Row],[Prijs]]/Table1[[#This Row],['#punten]],0)</f>
        <v>31250</v>
      </c>
      <c r="X111" s="27">
        <f>ROUND((Table1[[#This Row],[Goals]]+Table1[[#This Row],[Asissts]])/(Table1[[#This Row],['#minuten]]/90),2)</f>
        <v>0.33</v>
      </c>
    </row>
    <row r="112" spans="1:24" x14ac:dyDescent="0.2">
      <c r="A112" s="39" t="s">
        <v>244</v>
      </c>
      <c r="B112" s="28" t="s">
        <v>239</v>
      </c>
      <c r="C112" s="29">
        <v>1000000</v>
      </c>
      <c r="D112" s="30" t="s">
        <v>140</v>
      </c>
      <c r="E112" s="30">
        <v>23</v>
      </c>
      <c r="F112" s="30" t="s">
        <v>167</v>
      </c>
      <c r="G112" s="31">
        <v>136</v>
      </c>
      <c r="H112" s="32">
        <v>136</v>
      </c>
      <c r="I112" s="32">
        <f>Table1[[#This Row],[laatste 5 wed.]]/Table1[[#This Row],['#punten]]*100</f>
        <v>100</v>
      </c>
      <c r="J112" s="30">
        <v>3</v>
      </c>
      <c r="K112" s="30">
        <v>3</v>
      </c>
      <c r="L112" s="30">
        <v>270</v>
      </c>
      <c r="M112" s="30">
        <v>270</v>
      </c>
      <c r="N112" s="30">
        <f>Table1[[#This Row],[Min laatste 5]]/Table1[[#This Row],['#minuten]]*100</f>
        <v>100</v>
      </c>
      <c r="O112" s="30">
        <v>0</v>
      </c>
      <c r="P112" s="30">
        <v>1</v>
      </c>
      <c r="Q112" s="32">
        <v>0</v>
      </c>
      <c r="R112" s="30">
        <v>0</v>
      </c>
      <c r="S112" s="30">
        <v>0</v>
      </c>
      <c r="T112" s="33">
        <f>ROUND(Table1[[#This Row],['#punten]]/Table1[[#This Row],['#Wed]],1)</f>
        <v>45.3</v>
      </c>
      <c r="U112" s="31">
        <f>ROUND(Table1[[#This Row],['#punten]]/Table1[[#This Row],['#minuten]],2)</f>
        <v>0.5</v>
      </c>
      <c r="V112" s="30">
        <f>ROUND((Table1[[#This Row],['#punten]]/(Table1[[#This Row],['#minuten]]/90)),2)</f>
        <v>45.33</v>
      </c>
      <c r="W112" s="30">
        <f>ROUND(Table1[[#This Row],[Prijs]]/Table1[[#This Row],['#punten]],0)</f>
        <v>7353</v>
      </c>
      <c r="X112" s="34">
        <f>ROUND((Table1[[#This Row],[Goals]]+Table1[[#This Row],[Asissts]])/(Table1[[#This Row],['#minuten]]/90),2)</f>
        <v>0.33</v>
      </c>
    </row>
    <row r="113" spans="1:25" x14ac:dyDescent="0.2">
      <c r="A113" s="39" t="s">
        <v>231</v>
      </c>
      <c r="B113" s="28" t="s">
        <v>48</v>
      </c>
      <c r="C113" s="29">
        <v>1750000</v>
      </c>
      <c r="D113" s="30" t="s">
        <v>140</v>
      </c>
      <c r="E113" s="30">
        <v>28</v>
      </c>
      <c r="F113" s="30" t="s">
        <v>167</v>
      </c>
      <c r="G113" s="31">
        <v>188</v>
      </c>
      <c r="H113" s="32">
        <v>188</v>
      </c>
      <c r="I113" s="32">
        <f>Table1[[#This Row],[laatste 5 wed.]]/Table1[[#This Row],['#punten]]*100</f>
        <v>100</v>
      </c>
      <c r="J113" s="30">
        <v>4</v>
      </c>
      <c r="K113" s="30">
        <v>4</v>
      </c>
      <c r="L113" s="30">
        <v>315</v>
      </c>
      <c r="M113" s="30">
        <v>315</v>
      </c>
      <c r="N113" s="30">
        <f>Table1[[#This Row],[Min laatste 5]]/Table1[[#This Row],['#minuten]]*100</f>
        <v>100</v>
      </c>
      <c r="O113" s="30">
        <v>0</v>
      </c>
      <c r="P113" s="30">
        <v>1</v>
      </c>
      <c r="Q113" s="32">
        <v>0</v>
      </c>
      <c r="R113" s="30">
        <v>0</v>
      </c>
      <c r="S113" s="30">
        <v>1</v>
      </c>
      <c r="T113" s="33">
        <f>ROUND(Table1[[#This Row],['#punten]]/Table1[[#This Row],['#Wed]],1)</f>
        <v>47</v>
      </c>
      <c r="U113" s="31">
        <f>ROUND(Table1[[#This Row],['#punten]]/Table1[[#This Row],['#minuten]],2)</f>
        <v>0.6</v>
      </c>
      <c r="V113" s="30">
        <f>ROUND((Table1[[#This Row],['#punten]]/(Table1[[#This Row],['#minuten]]/90)),2)</f>
        <v>53.71</v>
      </c>
      <c r="W113" s="30">
        <f>ROUND(Table1[[#This Row],[Prijs]]/Table1[[#This Row],['#punten]],0)</f>
        <v>9309</v>
      </c>
      <c r="X113" s="34">
        <f>ROUND((Table1[[#This Row],[Goals]]+Table1[[#This Row],[Asissts]])/(Table1[[#This Row],['#minuten]]/90),2)</f>
        <v>0.28999999999999998</v>
      </c>
    </row>
    <row r="114" spans="1:25" x14ac:dyDescent="0.2">
      <c r="A114" s="39" t="s">
        <v>262</v>
      </c>
      <c r="B114" s="28" t="s">
        <v>260</v>
      </c>
      <c r="C114" s="29">
        <v>1250000</v>
      </c>
      <c r="D114" s="30" t="s">
        <v>140</v>
      </c>
      <c r="E114" s="30">
        <v>23</v>
      </c>
      <c r="F114" s="30" t="s">
        <v>141</v>
      </c>
      <c r="G114" s="31">
        <v>204</v>
      </c>
      <c r="H114" s="32">
        <v>204</v>
      </c>
      <c r="I114" s="32">
        <f>Table1[[#This Row],[laatste 5 wed.]]/Table1[[#This Row],['#punten]]*100</f>
        <v>100</v>
      </c>
      <c r="J114" s="30">
        <v>4</v>
      </c>
      <c r="K114" s="30">
        <v>4</v>
      </c>
      <c r="L114" s="30">
        <v>320</v>
      </c>
      <c r="M114" s="30">
        <v>320</v>
      </c>
      <c r="N114" s="30">
        <f>Table1[[#This Row],[Min laatste 5]]/Table1[[#This Row],['#minuten]]*100</f>
        <v>100</v>
      </c>
      <c r="O114" s="30">
        <v>1</v>
      </c>
      <c r="P114" s="30">
        <v>0</v>
      </c>
      <c r="Q114" s="32">
        <v>1</v>
      </c>
      <c r="R114" s="30">
        <v>0</v>
      </c>
      <c r="S114" s="30">
        <v>1</v>
      </c>
      <c r="T114" s="33">
        <f>ROUND(Table1[[#This Row],['#punten]]/Table1[[#This Row],['#Wed]],1)</f>
        <v>51</v>
      </c>
      <c r="U114" s="31">
        <f>ROUND(Table1[[#This Row],['#punten]]/Table1[[#This Row],['#minuten]],2)</f>
        <v>0.64</v>
      </c>
      <c r="V114" s="30">
        <f>ROUND((Table1[[#This Row],['#punten]]/(Table1[[#This Row],['#minuten]]/90)),2)</f>
        <v>57.38</v>
      </c>
      <c r="W114" s="30">
        <f>ROUND(Table1[[#This Row],[Prijs]]/Table1[[#This Row],['#punten]],0)</f>
        <v>6127</v>
      </c>
      <c r="X114" s="34">
        <f>ROUND((Table1[[#This Row],[Goals]]+Table1[[#This Row],[Asissts]])/(Table1[[#This Row],['#minuten]]/90),2)</f>
        <v>0.28000000000000003</v>
      </c>
    </row>
    <row r="115" spans="1:25" x14ac:dyDescent="0.2">
      <c r="A115" s="39" t="s">
        <v>300</v>
      </c>
      <c r="B115" s="28" t="s">
        <v>47</v>
      </c>
      <c r="C115" s="29">
        <v>2500000</v>
      </c>
      <c r="D115" s="30" t="s">
        <v>140</v>
      </c>
      <c r="E115" s="30">
        <v>26</v>
      </c>
      <c r="F115" s="30" t="s">
        <v>167</v>
      </c>
      <c r="G115" s="31">
        <v>164</v>
      </c>
      <c r="H115" s="32">
        <v>164</v>
      </c>
      <c r="I115" s="32">
        <f>Table1[[#This Row],[laatste 5 wed.]]/Table1[[#This Row],['#punten]]*100</f>
        <v>100</v>
      </c>
      <c r="J115" s="30">
        <v>4</v>
      </c>
      <c r="K115" s="30">
        <v>4</v>
      </c>
      <c r="L115" s="30">
        <v>328</v>
      </c>
      <c r="M115" s="30">
        <v>328</v>
      </c>
      <c r="N115" s="30">
        <f>Table1[[#This Row],[Min laatste 5]]/Table1[[#This Row],['#minuten]]*100</f>
        <v>100</v>
      </c>
      <c r="O115" s="30">
        <v>0</v>
      </c>
      <c r="P115" s="30">
        <v>1</v>
      </c>
      <c r="Q115" s="32">
        <v>1</v>
      </c>
      <c r="R115" s="30">
        <v>0</v>
      </c>
      <c r="S115" s="30">
        <v>0</v>
      </c>
      <c r="T115" s="33">
        <f>ROUND(Table1[[#This Row],['#punten]]/Table1[[#This Row],['#Wed]],1)</f>
        <v>41</v>
      </c>
      <c r="U115" s="31">
        <f>ROUND(Table1[[#This Row],['#punten]]/Table1[[#This Row],['#minuten]],2)</f>
        <v>0.5</v>
      </c>
      <c r="V115" s="30">
        <f>ROUND((Table1[[#This Row],['#punten]]/(Table1[[#This Row],['#minuten]]/90)),2)</f>
        <v>45</v>
      </c>
      <c r="W115" s="30">
        <f>ROUND(Table1[[#This Row],[Prijs]]/Table1[[#This Row],['#punten]],0)</f>
        <v>15244</v>
      </c>
      <c r="X115" s="34">
        <f>ROUND((Table1[[#This Row],[Goals]]+Table1[[#This Row],[Asissts]])/(Table1[[#This Row],['#minuten]]/90),2)</f>
        <v>0.27</v>
      </c>
    </row>
    <row r="116" spans="1:25" x14ac:dyDescent="0.2">
      <c r="A116" s="39" t="s">
        <v>301</v>
      </c>
      <c r="B116" s="28" t="s">
        <v>47</v>
      </c>
      <c r="C116" s="29">
        <v>1750000</v>
      </c>
      <c r="D116" s="30" t="s">
        <v>140</v>
      </c>
      <c r="E116" s="30">
        <v>22</v>
      </c>
      <c r="F116" s="30" t="s">
        <v>179</v>
      </c>
      <c r="G116" s="31">
        <v>204</v>
      </c>
      <c r="H116" s="32">
        <v>204</v>
      </c>
      <c r="I116" s="32">
        <f>Table1[[#This Row],[laatste 5 wed.]]/Table1[[#This Row],['#punten]]*100</f>
        <v>100</v>
      </c>
      <c r="J116" s="30">
        <v>4</v>
      </c>
      <c r="K116" s="30">
        <v>4</v>
      </c>
      <c r="L116" s="30">
        <v>332</v>
      </c>
      <c r="M116" s="30">
        <v>332</v>
      </c>
      <c r="N116" s="30">
        <f>Table1[[#This Row],[Min laatste 5]]/Table1[[#This Row],['#minuten]]*100</f>
        <v>100</v>
      </c>
      <c r="O116" s="30">
        <v>1</v>
      </c>
      <c r="P116" s="30">
        <v>0</v>
      </c>
      <c r="Q116" s="32">
        <v>1</v>
      </c>
      <c r="R116" s="30">
        <v>0</v>
      </c>
      <c r="S116" s="30">
        <v>0</v>
      </c>
      <c r="T116" s="33">
        <f>ROUND(Table1[[#This Row],['#punten]]/Table1[[#This Row],['#Wed]],1)</f>
        <v>51</v>
      </c>
      <c r="U116" s="31">
        <f>ROUND(Table1[[#This Row],['#punten]]/Table1[[#This Row],['#minuten]],2)</f>
        <v>0.61</v>
      </c>
      <c r="V116" s="30">
        <f>ROUND((Table1[[#This Row],['#punten]]/(Table1[[#This Row],['#minuten]]/90)),2)</f>
        <v>55.3</v>
      </c>
      <c r="W116" s="30">
        <f>ROUND(Table1[[#This Row],[Prijs]]/Table1[[#This Row],['#punten]],0)</f>
        <v>8578</v>
      </c>
      <c r="X116" s="34">
        <f>ROUND((Table1[[#This Row],[Goals]]+Table1[[#This Row],[Asissts]])/(Table1[[#This Row],['#minuten]]/90),2)</f>
        <v>0.27</v>
      </c>
      <c r="Y116" t="s">
        <v>395</v>
      </c>
    </row>
    <row r="117" spans="1:25" x14ac:dyDescent="0.2">
      <c r="A117" s="39" t="s">
        <v>235</v>
      </c>
      <c r="B117" s="21" t="s">
        <v>48</v>
      </c>
      <c r="C117" s="22">
        <v>1500000</v>
      </c>
      <c r="D117" s="23" t="s">
        <v>140</v>
      </c>
      <c r="E117" s="23">
        <v>25</v>
      </c>
      <c r="F117" s="23" t="s">
        <v>187</v>
      </c>
      <c r="G117" s="24">
        <v>188</v>
      </c>
      <c r="H117" s="25">
        <v>188</v>
      </c>
      <c r="I117" s="25">
        <f>Table1[[#This Row],[laatste 5 wed.]]/Table1[[#This Row],['#punten]]*100</f>
        <v>100</v>
      </c>
      <c r="J117" s="23">
        <v>4</v>
      </c>
      <c r="K117" s="23">
        <v>4</v>
      </c>
      <c r="L117" s="23">
        <v>331</v>
      </c>
      <c r="M117" s="23">
        <v>331</v>
      </c>
      <c r="N117" s="23">
        <f>Table1[[#This Row],[Min laatste 5]]/Table1[[#This Row],['#minuten]]*100</f>
        <v>100</v>
      </c>
      <c r="O117" s="23">
        <v>0</v>
      </c>
      <c r="P117" s="23">
        <v>1</v>
      </c>
      <c r="Q117" s="25">
        <v>0</v>
      </c>
      <c r="R117" s="23">
        <v>0</v>
      </c>
      <c r="S117" s="23">
        <v>1</v>
      </c>
      <c r="T117" s="26">
        <f>ROUND(Table1[[#This Row],['#punten]]/Table1[[#This Row],['#Wed]],1)</f>
        <v>47</v>
      </c>
      <c r="U117" s="24">
        <f>ROUND(Table1[[#This Row],['#punten]]/Table1[[#This Row],['#minuten]],2)</f>
        <v>0.56999999999999995</v>
      </c>
      <c r="V117" s="23">
        <f>ROUND((Table1[[#This Row],['#punten]]/(Table1[[#This Row],['#minuten]]/90)),2)</f>
        <v>51.12</v>
      </c>
      <c r="W117" s="23">
        <f>ROUND(Table1[[#This Row],[Prijs]]/Table1[[#This Row],['#punten]],0)</f>
        <v>7979</v>
      </c>
      <c r="X117" s="27">
        <f>ROUND((Table1[[#This Row],[Goals]]+Table1[[#This Row],[Asissts]])/(Table1[[#This Row],['#minuten]]/90),2)</f>
        <v>0.27</v>
      </c>
    </row>
    <row r="118" spans="1:25" x14ac:dyDescent="0.2">
      <c r="A118" s="39" t="s">
        <v>32</v>
      </c>
      <c r="B118" s="28" t="s">
        <v>45</v>
      </c>
      <c r="C118" s="29">
        <v>2500000</v>
      </c>
      <c r="D118" s="30" t="s">
        <v>140</v>
      </c>
      <c r="E118" s="30">
        <v>23</v>
      </c>
      <c r="F118" s="30" t="s">
        <v>141</v>
      </c>
      <c r="G118" s="31">
        <v>252</v>
      </c>
      <c r="H118" s="32">
        <v>252</v>
      </c>
      <c r="I118" s="32">
        <f>Table1[[#This Row],[laatste 5 wed.]]/Table1[[#This Row],['#punten]]*100</f>
        <v>100</v>
      </c>
      <c r="J118" s="30">
        <v>4</v>
      </c>
      <c r="K118" s="30">
        <v>4</v>
      </c>
      <c r="L118" s="30">
        <v>340</v>
      </c>
      <c r="M118" s="30">
        <v>340</v>
      </c>
      <c r="N118" s="30">
        <f>Table1[[#This Row],[Min laatste 5]]/Table1[[#This Row],['#minuten]]*100</f>
        <v>100</v>
      </c>
      <c r="O118" s="30">
        <v>1</v>
      </c>
      <c r="P118" s="30">
        <v>0</v>
      </c>
      <c r="Q118" s="32">
        <v>0</v>
      </c>
      <c r="R118" s="30">
        <v>0</v>
      </c>
      <c r="S118" s="30">
        <v>1</v>
      </c>
      <c r="T118" s="33">
        <f>ROUND(Table1[[#This Row],['#punten]]/Table1[[#This Row],['#Wed]],1)</f>
        <v>63</v>
      </c>
      <c r="U118" s="31">
        <f>ROUND(Table1[[#This Row],['#punten]]/Table1[[#This Row],['#minuten]],2)</f>
        <v>0.74</v>
      </c>
      <c r="V118" s="30">
        <f>ROUND((Table1[[#This Row],['#punten]]/(Table1[[#This Row],['#minuten]]/90)),2)</f>
        <v>66.709999999999994</v>
      </c>
      <c r="W118" s="30">
        <f>ROUND(Table1[[#This Row],[Prijs]]/Table1[[#This Row],['#punten]],0)</f>
        <v>9921</v>
      </c>
      <c r="X118" s="34">
        <f>ROUND((Table1[[#This Row],[Goals]]+Table1[[#This Row],[Asissts]])/(Table1[[#This Row],['#minuten]]/90),2)</f>
        <v>0.26</v>
      </c>
    </row>
    <row r="119" spans="1:25" x14ac:dyDescent="0.2">
      <c r="A119" s="39" t="s">
        <v>214</v>
      </c>
      <c r="B119" s="28" t="s">
        <v>46</v>
      </c>
      <c r="C119" s="29">
        <v>1250000</v>
      </c>
      <c r="D119" s="30" t="s">
        <v>140</v>
      </c>
      <c r="E119" s="30">
        <v>25</v>
      </c>
      <c r="F119" s="30" t="s">
        <v>160</v>
      </c>
      <c r="G119" s="31">
        <v>216</v>
      </c>
      <c r="H119" s="32">
        <v>216</v>
      </c>
      <c r="I119" s="32">
        <f>Table1[[#This Row],[laatste 5 wed.]]/Table1[[#This Row],['#punten]]*100</f>
        <v>100</v>
      </c>
      <c r="J119" s="30">
        <v>4</v>
      </c>
      <c r="K119" s="30">
        <v>4</v>
      </c>
      <c r="L119" s="30">
        <v>342</v>
      </c>
      <c r="M119" s="30">
        <v>342</v>
      </c>
      <c r="N119" s="30">
        <f>Table1[[#This Row],[Min laatste 5]]/Table1[[#This Row],['#minuten]]*100</f>
        <v>100</v>
      </c>
      <c r="O119" s="30">
        <v>1</v>
      </c>
      <c r="P119" s="30">
        <v>0</v>
      </c>
      <c r="Q119" s="32">
        <v>2</v>
      </c>
      <c r="R119" s="30">
        <v>0</v>
      </c>
      <c r="S119" s="30">
        <v>2</v>
      </c>
      <c r="T119" s="33">
        <f>ROUND(Table1[[#This Row],['#punten]]/Table1[[#This Row],['#Wed]],1)</f>
        <v>54</v>
      </c>
      <c r="U119" s="31">
        <f>ROUND(Table1[[#This Row],['#punten]]/Table1[[#This Row],['#minuten]],2)</f>
        <v>0.63</v>
      </c>
      <c r="V119" s="30">
        <f>ROUND((Table1[[#This Row],['#punten]]/(Table1[[#This Row],['#minuten]]/90)),2)</f>
        <v>56.84</v>
      </c>
      <c r="W119" s="30">
        <f>ROUND(Table1[[#This Row],[Prijs]]/Table1[[#This Row],['#punten]],0)</f>
        <v>5787</v>
      </c>
      <c r="X119" s="34">
        <f>ROUND((Table1[[#This Row],[Goals]]+Table1[[#This Row],[Asissts]])/(Table1[[#This Row],['#minuten]]/90),2)</f>
        <v>0.26</v>
      </c>
    </row>
    <row r="120" spans="1:25" x14ac:dyDescent="0.2">
      <c r="A120" s="39" t="s">
        <v>213</v>
      </c>
      <c r="B120" s="28" t="s">
        <v>46</v>
      </c>
      <c r="C120" s="29">
        <v>1250000</v>
      </c>
      <c r="D120" s="30" t="s">
        <v>140</v>
      </c>
      <c r="E120" s="30">
        <v>24</v>
      </c>
      <c r="F120" s="30" t="s">
        <v>141</v>
      </c>
      <c r="G120" s="31">
        <v>240</v>
      </c>
      <c r="H120" s="32">
        <v>240</v>
      </c>
      <c r="I120" s="32">
        <f>Table1[[#This Row],[laatste 5 wed.]]/Table1[[#This Row],['#punten]]*100</f>
        <v>100</v>
      </c>
      <c r="J120" s="30">
        <v>4</v>
      </c>
      <c r="K120" s="30">
        <v>4</v>
      </c>
      <c r="L120" s="30">
        <v>360</v>
      </c>
      <c r="M120" s="30">
        <v>360</v>
      </c>
      <c r="N120" s="30">
        <f>Table1[[#This Row],[Min laatste 5]]/Table1[[#This Row],['#minuten]]*100</f>
        <v>100</v>
      </c>
      <c r="O120" s="30">
        <v>1</v>
      </c>
      <c r="P120" s="30">
        <v>0</v>
      </c>
      <c r="Q120" s="32">
        <v>1</v>
      </c>
      <c r="R120" s="30">
        <v>0</v>
      </c>
      <c r="S120" s="30">
        <v>2</v>
      </c>
      <c r="T120" s="33">
        <f>ROUND(Table1[[#This Row],['#punten]]/Table1[[#This Row],['#Wed]],1)</f>
        <v>60</v>
      </c>
      <c r="U120" s="31">
        <f>ROUND(Table1[[#This Row],['#punten]]/Table1[[#This Row],['#minuten]],2)</f>
        <v>0.67</v>
      </c>
      <c r="V120" s="30">
        <f>ROUND((Table1[[#This Row],['#punten]]/(Table1[[#This Row],['#minuten]]/90)),2)</f>
        <v>60</v>
      </c>
      <c r="W120" s="30">
        <f>ROUND(Table1[[#This Row],[Prijs]]/Table1[[#This Row],['#punten]],0)</f>
        <v>5208</v>
      </c>
      <c r="X120" s="34">
        <f>ROUND((Table1[[#This Row],[Goals]]+Table1[[#This Row],[Asissts]])/(Table1[[#This Row],['#minuten]]/90),2)</f>
        <v>0.25</v>
      </c>
    </row>
    <row r="121" spans="1:25" x14ac:dyDescent="0.2">
      <c r="A121" s="39" t="s">
        <v>139</v>
      </c>
      <c r="B121" s="28" t="s">
        <v>43</v>
      </c>
      <c r="C121" s="29">
        <v>5000000</v>
      </c>
      <c r="D121" s="30" t="s">
        <v>140</v>
      </c>
      <c r="E121" s="30">
        <v>31</v>
      </c>
      <c r="F121" s="30" t="s">
        <v>141</v>
      </c>
      <c r="G121" s="31">
        <v>0</v>
      </c>
      <c r="H121" s="32">
        <v>0</v>
      </c>
      <c r="I121" s="32">
        <v>100</v>
      </c>
      <c r="J121" s="30">
        <v>0</v>
      </c>
      <c r="K121" s="30">
        <v>0</v>
      </c>
      <c r="L121" s="30">
        <v>0</v>
      </c>
      <c r="M121" s="30">
        <v>0</v>
      </c>
      <c r="N121" s="30">
        <v>100</v>
      </c>
      <c r="O121" s="30">
        <v>0</v>
      </c>
      <c r="P121" s="30">
        <v>0</v>
      </c>
      <c r="Q121" s="32">
        <v>0</v>
      </c>
      <c r="R121" s="30">
        <v>0</v>
      </c>
      <c r="S121" s="30">
        <v>0</v>
      </c>
      <c r="T121" s="33">
        <v>0</v>
      </c>
      <c r="U121" s="31">
        <v>0</v>
      </c>
      <c r="V121" s="30">
        <v>0</v>
      </c>
      <c r="W121" s="30">
        <v>0</v>
      </c>
      <c r="X121" s="34">
        <v>0</v>
      </c>
    </row>
    <row r="122" spans="1:25" x14ac:dyDescent="0.2">
      <c r="A122" s="39" t="s">
        <v>145</v>
      </c>
      <c r="B122" s="28" t="s">
        <v>43</v>
      </c>
      <c r="C122" s="29">
        <v>4000000</v>
      </c>
      <c r="D122" s="30" t="s">
        <v>140</v>
      </c>
      <c r="E122" s="30">
        <v>28</v>
      </c>
      <c r="F122" s="30" t="s">
        <v>141</v>
      </c>
      <c r="G122" s="31">
        <v>126</v>
      </c>
      <c r="H122" s="32">
        <v>126</v>
      </c>
      <c r="I122" s="32">
        <f>Table1[[#This Row],[laatste 5 wed.]]/Table1[[#This Row],['#punten]]*100</f>
        <v>100</v>
      </c>
      <c r="J122" s="30">
        <v>3</v>
      </c>
      <c r="K122" s="30">
        <v>3</v>
      </c>
      <c r="L122" s="30">
        <v>239</v>
      </c>
      <c r="M122" s="30">
        <v>239</v>
      </c>
      <c r="N122" s="30">
        <f>Table1[[#This Row],[Min laatste 5]]/Table1[[#This Row],['#minuten]]*100</f>
        <v>100</v>
      </c>
      <c r="O122" s="30">
        <v>0</v>
      </c>
      <c r="P122" s="30">
        <v>0</v>
      </c>
      <c r="Q122" s="32">
        <v>0</v>
      </c>
      <c r="R122" s="30">
        <v>0</v>
      </c>
      <c r="S122" s="30">
        <v>1</v>
      </c>
      <c r="T122" s="33">
        <f>ROUND(Table1[[#This Row],['#punten]]/Table1[[#This Row],['#Wed]],1)</f>
        <v>42</v>
      </c>
      <c r="U122" s="31">
        <f>ROUND(Table1[[#This Row],['#punten]]/Table1[[#This Row],['#minuten]],2)</f>
        <v>0.53</v>
      </c>
      <c r="V122" s="30">
        <f>ROUND((Table1[[#This Row],['#punten]]/(Table1[[#This Row],['#minuten]]/90)),2)</f>
        <v>47.45</v>
      </c>
      <c r="W122" s="30">
        <f>ROUND(Table1[[#This Row],[Prijs]]/Table1[[#This Row],['#punten]],0)</f>
        <v>31746</v>
      </c>
      <c r="X122" s="34">
        <f>ROUND((Table1[[#This Row],[Goals]]+Table1[[#This Row],[Asissts]])/(Table1[[#This Row],['#minuten]]/90),2)</f>
        <v>0</v>
      </c>
    </row>
    <row r="123" spans="1:25" x14ac:dyDescent="0.2">
      <c r="A123" s="39" t="s">
        <v>173</v>
      </c>
      <c r="B123" s="28" t="s">
        <v>6</v>
      </c>
      <c r="C123" s="29">
        <v>3000000</v>
      </c>
      <c r="D123" s="30" t="s">
        <v>140</v>
      </c>
      <c r="E123" s="30">
        <v>23</v>
      </c>
      <c r="F123" s="30" t="s">
        <v>141</v>
      </c>
      <c r="G123" s="31">
        <v>162</v>
      </c>
      <c r="H123" s="32">
        <v>162</v>
      </c>
      <c r="I123" s="32">
        <f>Table1[[#This Row],[laatste 5 wed.]]/Table1[[#This Row],['#punten]]*100</f>
        <v>100</v>
      </c>
      <c r="J123" s="30">
        <v>3</v>
      </c>
      <c r="K123" s="30">
        <v>3</v>
      </c>
      <c r="L123" s="30">
        <v>270</v>
      </c>
      <c r="M123" s="30">
        <v>270</v>
      </c>
      <c r="N123" s="30">
        <f>Table1[[#This Row],[Min laatste 5]]/Table1[[#This Row],['#minuten]]*100</f>
        <v>100</v>
      </c>
      <c r="O123" s="30">
        <v>0</v>
      </c>
      <c r="P123" s="30">
        <v>0</v>
      </c>
      <c r="Q123" s="32">
        <v>0</v>
      </c>
      <c r="R123" s="30">
        <v>0</v>
      </c>
      <c r="S123" s="30">
        <v>1</v>
      </c>
      <c r="T123" s="33">
        <f>ROUND(Table1[[#This Row],['#punten]]/Table1[[#This Row],['#Wed]],1)</f>
        <v>54</v>
      </c>
      <c r="U123" s="31">
        <f>ROUND(Table1[[#This Row],['#punten]]/Table1[[#This Row],['#minuten]],2)</f>
        <v>0.6</v>
      </c>
      <c r="V123" s="30">
        <f>ROUND((Table1[[#This Row],['#punten]]/(Table1[[#This Row],['#minuten]]/90)),2)</f>
        <v>54</v>
      </c>
      <c r="W123" s="30">
        <f>ROUND(Table1[[#This Row],[Prijs]]/Table1[[#This Row],['#punten]],0)</f>
        <v>18519</v>
      </c>
      <c r="X123" s="34">
        <f>ROUND((Table1[[#This Row],[Goals]]+Table1[[#This Row],[Asissts]])/(Table1[[#This Row],['#minuten]]/90),2)</f>
        <v>0</v>
      </c>
    </row>
    <row r="124" spans="1:25" x14ac:dyDescent="0.2">
      <c r="A124" s="39" t="s">
        <v>272</v>
      </c>
      <c r="B124" s="28" t="s">
        <v>11</v>
      </c>
      <c r="C124" s="29">
        <v>3000000</v>
      </c>
      <c r="D124" s="30" t="s">
        <v>140</v>
      </c>
      <c r="E124" s="30">
        <v>25</v>
      </c>
      <c r="F124" s="30" t="s">
        <v>141</v>
      </c>
      <c r="G124" s="31">
        <v>116</v>
      </c>
      <c r="H124" s="32">
        <v>116</v>
      </c>
      <c r="I124" s="32">
        <f>Table1[[#This Row],[laatste 5 wed.]]/Table1[[#This Row],['#punten]]*100</f>
        <v>100</v>
      </c>
      <c r="J124" s="30">
        <v>3</v>
      </c>
      <c r="K124" s="30">
        <v>1</v>
      </c>
      <c r="L124" s="30">
        <v>143</v>
      </c>
      <c r="M124" s="30">
        <v>143</v>
      </c>
      <c r="N124" s="30">
        <f>Table1[[#This Row],[Min laatste 5]]/Table1[[#This Row],['#minuten]]*100</f>
        <v>100</v>
      </c>
      <c r="O124" s="30">
        <v>0</v>
      </c>
      <c r="P124" s="30">
        <v>0</v>
      </c>
      <c r="Q124" s="32">
        <v>0</v>
      </c>
      <c r="R124" s="30">
        <v>0</v>
      </c>
      <c r="S124" s="30">
        <v>1</v>
      </c>
      <c r="T124" s="33">
        <f>ROUND(Table1[[#This Row],['#punten]]/Table1[[#This Row],['#Wed]],1)</f>
        <v>38.700000000000003</v>
      </c>
      <c r="U124" s="31">
        <f>ROUND(Table1[[#This Row],['#punten]]/Table1[[#This Row],['#minuten]],2)</f>
        <v>0.81</v>
      </c>
      <c r="V124" s="30">
        <f>ROUND((Table1[[#This Row],['#punten]]/(Table1[[#This Row],['#minuten]]/90)),2)</f>
        <v>73.010000000000005</v>
      </c>
      <c r="W124" s="30">
        <f>ROUND(Table1[[#This Row],[Prijs]]/Table1[[#This Row],['#punten]],0)</f>
        <v>25862</v>
      </c>
      <c r="X124" s="34">
        <f>ROUND((Table1[[#This Row],[Goals]]+Table1[[#This Row],[Asissts]])/(Table1[[#This Row],['#minuten]]/90),2)</f>
        <v>0</v>
      </c>
    </row>
    <row r="125" spans="1:25" x14ac:dyDescent="0.2">
      <c r="A125" s="39" t="s">
        <v>146</v>
      </c>
      <c r="B125" s="28" t="s">
        <v>43</v>
      </c>
      <c r="C125" s="29">
        <v>3000000</v>
      </c>
      <c r="D125" s="30" t="s">
        <v>140</v>
      </c>
      <c r="E125" s="30">
        <v>21</v>
      </c>
      <c r="F125" s="30" t="s">
        <v>141</v>
      </c>
      <c r="G125" s="31">
        <v>46</v>
      </c>
      <c r="H125" s="32">
        <v>46</v>
      </c>
      <c r="I125" s="32">
        <f>Table1[[#This Row],[laatste 5 wed.]]/Table1[[#This Row],['#punten]]*100</f>
        <v>100</v>
      </c>
      <c r="J125" s="30">
        <v>3</v>
      </c>
      <c r="K125" s="30">
        <v>1</v>
      </c>
      <c r="L125" s="30">
        <v>110</v>
      </c>
      <c r="M125" s="30">
        <v>110</v>
      </c>
      <c r="N125" s="30">
        <f>Table1[[#This Row],[Min laatste 5]]/Table1[[#This Row],['#minuten]]*100</f>
        <v>100</v>
      </c>
      <c r="O125" s="30">
        <v>0</v>
      </c>
      <c r="P125" s="30">
        <v>0</v>
      </c>
      <c r="Q125" s="32">
        <v>0</v>
      </c>
      <c r="R125" s="30">
        <v>0</v>
      </c>
      <c r="S125" s="30">
        <v>0</v>
      </c>
      <c r="T125" s="33">
        <f>ROUND(Table1[[#This Row],['#punten]]/Table1[[#This Row],['#Wed]],1)</f>
        <v>15.3</v>
      </c>
      <c r="U125" s="31">
        <f>ROUND(Table1[[#This Row],['#punten]]/Table1[[#This Row],['#minuten]],2)</f>
        <v>0.42</v>
      </c>
      <c r="V125" s="30">
        <f>ROUND((Table1[[#This Row],['#punten]]/(Table1[[#This Row],['#minuten]]/90)),2)</f>
        <v>37.64</v>
      </c>
      <c r="W125" s="30">
        <f>ROUND(Table1[[#This Row],[Prijs]]/Table1[[#This Row],['#punten]],0)</f>
        <v>65217</v>
      </c>
      <c r="X125" s="34">
        <f>ROUND((Table1[[#This Row],[Goals]]+Table1[[#This Row],[Asissts]])/(Table1[[#This Row],['#minuten]]/90),2)</f>
        <v>0</v>
      </c>
    </row>
    <row r="126" spans="1:25" x14ac:dyDescent="0.2">
      <c r="A126" s="39" t="s">
        <v>356</v>
      </c>
      <c r="B126" s="21" t="s">
        <v>43</v>
      </c>
      <c r="C126" s="22">
        <v>2500000</v>
      </c>
      <c r="D126" s="23" t="s">
        <v>140</v>
      </c>
      <c r="E126" s="23">
        <v>21</v>
      </c>
      <c r="F126" s="23" t="s">
        <v>179</v>
      </c>
      <c r="G126" s="24">
        <v>0</v>
      </c>
      <c r="H126" s="25">
        <v>0</v>
      </c>
      <c r="I126" s="25">
        <v>100</v>
      </c>
      <c r="J126" s="23">
        <v>0</v>
      </c>
      <c r="K126" s="23">
        <v>0</v>
      </c>
      <c r="L126" s="23">
        <v>0</v>
      </c>
      <c r="M126" s="23">
        <v>0</v>
      </c>
      <c r="N126" s="23">
        <v>100</v>
      </c>
      <c r="O126" s="23">
        <v>0</v>
      </c>
      <c r="P126" s="23">
        <v>0</v>
      </c>
      <c r="Q126" s="25">
        <v>0</v>
      </c>
      <c r="R126" s="23">
        <v>0</v>
      </c>
      <c r="S126" s="23">
        <v>0</v>
      </c>
      <c r="T126" s="26">
        <v>0</v>
      </c>
      <c r="U126" s="24">
        <v>0</v>
      </c>
      <c r="V126" s="23">
        <v>0</v>
      </c>
      <c r="W126" s="23">
        <v>0</v>
      </c>
      <c r="X126" s="27">
        <v>0</v>
      </c>
    </row>
    <row r="127" spans="1:25" x14ac:dyDescent="0.2">
      <c r="A127" s="39" t="s">
        <v>174</v>
      </c>
      <c r="B127" s="21" t="s">
        <v>6</v>
      </c>
      <c r="C127" s="22">
        <v>2500000</v>
      </c>
      <c r="D127" s="23" t="s">
        <v>140</v>
      </c>
      <c r="E127" s="23">
        <v>24</v>
      </c>
      <c r="F127" s="23" t="s">
        <v>175</v>
      </c>
      <c r="G127" s="24">
        <v>0</v>
      </c>
      <c r="H127" s="25">
        <v>0</v>
      </c>
      <c r="I127" s="25">
        <v>100</v>
      </c>
      <c r="J127" s="23">
        <v>3</v>
      </c>
      <c r="K127" s="23">
        <v>0</v>
      </c>
      <c r="L127" s="23">
        <v>39</v>
      </c>
      <c r="M127" s="23">
        <v>39</v>
      </c>
      <c r="N127" s="23">
        <f>Table1[[#This Row],[Min laatste 5]]/Table1[[#This Row],['#minuten]]*100</f>
        <v>100</v>
      </c>
      <c r="O127" s="23">
        <v>0</v>
      </c>
      <c r="P127" s="23">
        <v>0</v>
      </c>
      <c r="Q127" s="25">
        <v>0</v>
      </c>
      <c r="R127" s="23">
        <v>0</v>
      </c>
      <c r="S127" s="23">
        <v>0</v>
      </c>
      <c r="T127" s="26">
        <f>ROUND(Table1[[#This Row],['#punten]]/Table1[[#This Row],['#Wed]],1)</f>
        <v>0</v>
      </c>
      <c r="U127" s="24">
        <f>ROUND(Table1[[#This Row],['#punten]]/Table1[[#This Row],['#minuten]],2)</f>
        <v>0</v>
      </c>
      <c r="V127" s="23">
        <f>ROUND((Table1[[#This Row],['#punten]]/(Table1[[#This Row],['#minuten]]/90)),2)</f>
        <v>0</v>
      </c>
      <c r="W127" s="23">
        <v>0</v>
      </c>
      <c r="X127" s="27">
        <f>ROUND((Table1[[#This Row],[Goals]]+Table1[[#This Row],[Asissts]])/(Table1[[#This Row],['#minuten]]/90),2)</f>
        <v>0</v>
      </c>
    </row>
    <row r="128" spans="1:25" x14ac:dyDescent="0.2">
      <c r="A128" s="39" t="s">
        <v>320</v>
      </c>
      <c r="B128" s="28" t="s">
        <v>317</v>
      </c>
      <c r="C128" s="29">
        <v>2500000</v>
      </c>
      <c r="D128" s="30" t="s">
        <v>140</v>
      </c>
      <c r="E128" s="30">
        <v>22</v>
      </c>
      <c r="F128" s="30" t="s">
        <v>175</v>
      </c>
      <c r="G128" s="31">
        <v>0</v>
      </c>
      <c r="H128" s="32">
        <v>0</v>
      </c>
      <c r="I128" s="32">
        <v>100</v>
      </c>
      <c r="J128" s="30">
        <v>1</v>
      </c>
      <c r="K128" s="30">
        <v>1</v>
      </c>
      <c r="L128" s="30">
        <v>40</v>
      </c>
      <c r="M128" s="30">
        <v>40</v>
      </c>
      <c r="N128" s="30">
        <f>Table1[[#This Row],[Min laatste 5]]/Table1[[#This Row],['#minuten]]*100</f>
        <v>100</v>
      </c>
      <c r="O128" s="30">
        <v>0</v>
      </c>
      <c r="P128" s="30">
        <v>0</v>
      </c>
      <c r="Q128" s="32">
        <v>0</v>
      </c>
      <c r="R128" s="30">
        <v>0</v>
      </c>
      <c r="S128" s="30">
        <v>0</v>
      </c>
      <c r="T128" s="33">
        <f>ROUND(Table1[[#This Row],['#punten]]/Table1[[#This Row],['#Wed]],1)</f>
        <v>0</v>
      </c>
      <c r="U128" s="31">
        <f>ROUND(Table1[[#This Row],['#punten]]/Table1[[#This Row],['#minuten]],2)</f>
        <v>0</v>
      </c>
      <c r="V128" s="30">
        <f>ROUND((Table1[[#This Row],['#punten]]/(Table1[[#This Row],['#minuten]]/90)),2)</f>
        <v>0</v>
      </c>
      <c r="W128" s="30">
        <v>0</v>
      </c>
      <c r="X128" s="34">
        <f>ROUND((Table1[[#This Row],[Goals]]+Table1[[#This Row],[Asissts]])/(Table1[[#This Row],['#minuten]]/90),2)</f>
        <v>0</v>
      </c>
    </row>
    <row r="129" spans="1:24" x14ac:dyDescent="0.2">
      <c r="A129" s="39" t="s">
        <v>274</v>
      </c>
      <c r="B129" s="28" t="s">
        <v>11</v>
      </c>
      <c r="C129" s="29">
        <v>2500000</v>
      </c>
      <c r="D129" s="30" t="s">
        <v>140</v>
      </c>
      <c r="E129" s="30">
        <v>18</v>
      </c>
      <c r="F129" s="30" t="s">
        <v>141</v>
      </c>
      <c r="G129" s="31">
        <v>116</v>
      </c>
      <c r="H129" s="32">
        <v>116</v>
      </c>
      <c r="I129" s="32">
        <f>Table1[[#This Row],[laatste 5 wed.]]/Table1[[#This Row],['#punten]]*100</f>
        <v>100</v>
      </c>
      <c r="J129" s="30">
        <v>3</v>
      </c>
      <c r="K129" s="30">
        <v>2</v>
      </c>
      <c r="L129" s="30">
        <v>96</v>
      </c>
      <c r="M129" s="30">
        <v>96</v>
      </c>
      <c r="N129" s="30">
        <f>Table1[[#This Row],[Min laatste 5]]/Table1[[#This Row],['#minuten]]*100</f>
        <v>100</v>
      </c>
      <c r="O129" s="30">
        <v>0</v>
      </c>
      <c r="P129" s="30">
        <v>0</v>
      </c>
      <c r="Q129" s="32">
        <v>0</v>
      </c>
      <c r="R129" s="30">
        <v>0</v>
      </c>
      <c r="S129" s="30">
        <v>1</v>
      </c>
      <c r="T129" s="33">
        <f>ROUND(Table1[[#This Row],['#punten]]/Table1[[#This Row],['#Wed]],1)</f>
        <v>38.700000000000003</v>
      </c>
      <c r="U129" s="31">
        <f>ROUND(Table1[[#This Row],['#punten]]/Table1[[#This Row],['#minuten]],2)</f>
        <v>1.21</v>
      </c>
      <c r="V129" s="30">
        <f>ROUND((Table1[[#This Row],['#punten]]/(Table1[[#This Row],['#minuten]]/90)),2)</f>
        <v>108.75</v>
      </c>
      <c r="W129" s="30">
        <f>ROUND(Table1[[#This Row],[Prijs]]/Table1[[#This Row],['#punten]],0)</f>
        <v>21552</v>
      </c>
      <c r="X129" s="34">
        <f>ROUND((Table1[[#This Row],[Goals]]+Table1[[#This Row],[Asissts]])/(Table1[[#This Row],['#minuten]]/90),2)</f>
        <v>0</v>
      </c>
    </row>
    <row r="130" spans="1:24" x14ac:dyDescent="0.2">
      <c r="A130" s="39" t="s">
        <v>275</v>
      </c>
      <c r="B130" s="28" t="s">
        <v>11</v>
      </c>
      <c r="C130" s="29">
        <v>2500000</v>
      </c>
      <c r="D130" s="30" t="s">
        <v>140</v>
      </c>
      <c r="E130" s="30">
        <v>26</v>
      </c>
      <c r="F130" s="30" t="s">
        <v>141</v>
      </c>
      <c r="G130" s="31">
        <v>92</v>
      </c>
      <c r="H130" s="32">
        <v>92</v>
      </c>
      <c r="I130" s="32">
        <f>Table1[[#This Row],[laatste 5 wed.]]/Table1[[#This Row],['#punten]]*100</f>
        <v>100</v>
      </c>
      <c r="J130" s="30">
        <v>2</v>
      </c>
      <c r="K130" s="30">
        <v>1</v>
      </c>
      <c r="L130" s="30">
        <v>135</v>
      </c>
      <c r="M130" s="30">
        <v>135</v>
      </c>
      <c r="N130" s="30">
        <f>Table1[[#This Row],[Min laatste 5]]/Table1[[#This Row],['#minuten]]*100</f>
        <v>100</v>
      </c>
      <c r="O130" s="30">
        <v>0</v>
      </c>
      <c r="P130" s="30">
        <v>0</v>
      </c>
      <c r="Q130" s="32">
        <v>1</v>
      </c>
      <c r="R130" s="30">
        <v>0</v>
      </c>
      <c r="S130" s="30">
        <v>1</v>
      </c>
      <c r="T130" s="33">
        <f>ROUND(Table1[[#This Row],['#punten]]/Table1[[#This Row],['#Wed]],1)</f>
        <v>46</v>
      </c>
      <c r="U130" s="31">
        <f>ROUND(Table1[[#This Row],['#punten]]/Table1[[#This Row],['#minuten]],2)</f>
        <v>0.68</v>
      </c>
      <c r="V130" s="30">
        <f>ROUND((Table1[[#This Row],['#punten]]/(Table1[[#This Row],['#minuten]]/90)),2)</f>
        <v>61.33</v>
      </c>
      <c r="W130" s="30">
        <f>ROUND(Table1[[#This Row],[Prijs]]/Table1[[#This Row],['#punten]],0)</f>
        <v>27174</v>
      </c>
      <c r="X130" s="34">
        <f>ROUND((Table1[[#This Row],[Goals]]+Table1[[#This Row],[Asissts]])/(Table1[[#This Row],['#minuten]]/90),2)</f>
        <v>0</v>
      </c>
    </row>
    <row r="131" spans="1:24" x14ac:dyDescent="0.2">
      <c r="A131" s="39" t="s">
        <v>343</v>
      </c>
      <c r="B131" s="28" t="s">
        <v>49</v>
      </c>
      <c r="C131" s="29">
        <v>2000000</v>
      </c>
      <c r="D131" s="30" t="s">
        <v>140</v>
      </c>
      <c r="E131" s="30">
        <v>25</v>
      </c>
      <c r="F131" s="30" t="s">
        <v>141</v>
      </c>
      <c r="G131" s="31">
        <v>0</v>
      </c>
      <c r="H131" s="32">
        <v>0</v>
      </c>
      <c r="I131" s="32">
        <v>100</v>
      </c>
      <c r="J131" s="30">
        <v>0</v>
      </c>
      <c r="K131" s="30">
        <v>0</v>
      </c>
      <c r="L131" s="30">
        <v>0</v>
      </c>
      <c r="M131" s="30">
        <v>0</v>
      </c>
      <c r="N131" s="30">
        <v>100</v>
      </c>
      <c r="O131" s="30">
        <v>0</v>
      </c>
      <c r="P131" s="30">
        <v>0</v>
      </c>
      <c r="Q131" s="32">
        <v>0</v>
      </c>
      <c r="R131" s="30">
        <v>0</v>
      </c>
      <c r="S131" s="30">
        <v>0</v>
      </c>
      <c r="T131" s="33">
        <v>0</v>
      </c>
      <c r="U131" s="31">
        <v>0</v>
      </c>
      <c r="V131" s="30">
        <v>0</v>
      </c>
      <c r="W131" s="30">
        <v>0</v>
      </c>
      <c r="X131" s="34">
        <v>0</v>
      </c>
    </row>
    <row r="132" spans="1:24" x14ac:dyDescent="0.2">
      <c r="A132" s="39" t="s">
        <v>322</v>
      </c>
      <c r="B132" s="28" t="s">
        <v>317</v>
      </c>
      <c r="C132" s="29">
        <v>2000000</v>
      </c>
      <c r="D132" s="30" t="s">
        <v>140</v>
      </c>
      <c r="E132" s="30">
        <v>22</v>
      </c>
      <c r="F132" s="30" t="s">
        <v>200</v>
      </c>
      <c r="G132" s="31">
        <v>64</v>
      </c>
      <c r="H132" s="32">
        <v>64</v>
      </c>
      <c r="I132" s="32">
        <f>Table1[[#This Row],[laatste 5 wed.]]/Table1[[#This Row],['#punten]]*100</f>
        <v>100</v>
      </c>
      <c r="J132" s="30">
        <v>4</v>
      </c>
      <c r="K132" s="30">
        <v>4</v>
      </c>
      <c r="L132" s="30">
        <v>334</v>
      </c>
      <c r="M132" s="30">
        <v>334</v>
      </c>
      <c r="N132" s="30">
        <f>Table1[[#This Row],[Min laatste 5]]/Table1[[#This Row],['#minuten]]*100</f>
        <v>100</v>
      </c>
      <c r="O132" s="30">
        <v>0</v>
      </c>
      <c r="P132" s="30">
        <v>0</v>
      </c>
      <c r="Q132" s="32">
        <v>0</v>
      </c>
      <c r="R132" s="30">
        <v>0</v>
      </c>
      <c r="S132" s="30">
        <v>0</v>
      </c>
      <c r="T132" s="33">
        <f>ROUND(Table1[[#This Row],['#punten]]/Table1[[#This Row],['#Wed]],1)</f>
        <v>16</v>
      </c>
      <c r="U132" s="31">
        <f>ROUND(Table1[[#This Row],['#punten]]/Table1[[#This Row],['#minuten]],2)</f>
        <v>0.19</v>
      </c>
      <c r="V132" s="30">
        <f>ROUND((Table1[[#This Row],['#punten]]/(Table1[[#This Row],['#minuten]]/90)),2)</f>
        <v>17.25</v>
      </c>
      <c r="W132" s="30">
        <f>ROUND(Table1[[#This Row],[Prijs]]/Table1[[#This Row],['#punten]],0)</f>
        <v>31250</v>
      </c>
      <c r="X132" s="34">
        <f>ROUND((Table1[[#This Row],[Goals]]+Table1[[#This Row],[Asissts]])/(Table1[[#This Row],['#minuten]]/90),2)</f>
        <v>0</v>
      </c>
    </row>
    <row r="133" spans="1:24" x14ac:dyDescent="0.2">
      <c r="A133" s="39" t="s">
        <v>321</v>
      </c>
      <c r="B133" s="28" t="s">
        <v>317</v>
      </c>
      <c r="C133" s="29">
        <v>2000000</v>
      </c>
      <c r="D133" s="30" t="s">
        <v>140</v>
      </c>
      <c r="E133" s="30">
        <v>34</v>
      </c>
      <c r="F133" s="30" t="s">
        <v>141</v>
      </c>
      <c r="G133" s="31">
        <v>40</v>
      </c>
      <c r="H133" s="32">
        <v>40</v>
      </c>
      <c r="I133" s="32">
        <f>Table1[[#This Row],[laatste 5 wed.]]/Table1[[#This Row],['#punten]]*100</f>
        <v>100</v>
      </c>
      <c r="J133" s="30">
        <v>4</v>
      </c>
      <c r="K133" s="30">
        <v>4</v>
      </c>
      <c r="L133" s="30">
        <v>292</v>
      </c>
      <c r="M133" s="30">
        <v>292</v>
      </c>
      <c r="N133" s="30">
        <f>Table1[[#This Row],[Min laatste 5]]/Table1[[#This Row],['#minuten]]*100</f>
        <v>100</v>
      </c>
      <c r="O133" s="30">
        <v>0</v>
      </c>
      <c r="P133" s="30">
        <v>0</v>
      </c>
      <c r="Q133" s="32">
        <v>1</v>
      </c>
      <c r="R133" s="30">
        <v>0</v>
      </c>
      <c r="S133" s="30">
        <v>0</v>
      </c>
      <c r="T133" s="33">
        <f>ROUND(Table1[[#This Row],['#punten]]/Table1[[#This Row],['#Wed]],1)</f>
        <v>10</v>
      </c>
      <c r="U133" s="31">
        <f>ROUND(Table1[[#This Row],['#punten]]/Table1[[#This Row],['#minuten]],2)</f>
        <v>0.14000000000000001</v>
      </c>
      <c r="V133" s="30">
        <f>ROUND((Table1[[#This Row],['#punten]]/(Table1[[#This Row],['#minuten]]/90)),2)</f>
        <v>12.33</v>
      </c>
      <c r="W133" s="30">
        <f>ROUND(Table1[[#This Row],[Prijs]]/Table1[[#This Row],['#punten]],0)</f>
        <v>50000</v>
      </c>
      <c r="X133" s="34">
        <f>ROUND((Table1[[#This Row],[Goals]]+Table1[[#This Row],[Asissts]])/(Table1[[#This Row],['#minuten]]/90),2)</f>
        <v>0</v>
      </c>
    </row>
    <row r="134" spans="1:24" x14ac:dyDescent="0.2">
      <c r="A134" s="39" t="s">
        <v>375</v>
      </c>
      <c r="B134" s="28" t="s">
        <v>49</v>
      </c>
      <c r="C134" s="29">
        <v>1750000</v>
      </c>
      <c r="D134" s="30" t="s">
        <v>140</v>
      </c>
      <c r="E134" s="30">
        <v>22</v>
      </c>
      <c r="F134" s="30" t="s">
        <v>179</v>
      </c>
      <c r="G134" s="31">
        <v>138</v>
      </c>
      <c r="H134" s="32">
        <v>138</v>
      </c>
      <c r="I134" s="32">
        <f>Table1[[#This Row],[laatste 5 wed.]]/Table1[[#This Row],['#punten]]*100</f>
        <v>100</v>
      </c>
      <c r="J134" s="30">
        <v>3</v>
      </c>
      <c r="K134" s="30">
        <v>2</v>
      </c>
      <c r="L134" s="30">
        <v>162</v>
      </c>
      <c r="M134" s="30">
        <v>162</v>
      </c>
      <c r="N134" s="30">
        <f>Table1[[#This Row],[Min laatste 5]]/Table1[[#This Row],['#minuten]]*100</f>
        <v>100</v>
      </c>
      <c r="O134" s="30">
        <v>0</v>
      </c>
      <c r="P134" s="30">
        <v>0</v>
      </c>
      <c r="Q134" s="32">
        <v>1</v>
      </c>
      <c r="R134" s="30">
        <v>0</v>
      </c>
      <c r="S134" s="30">
        <v>1</v>
      </c>
      <c r="T134" s="33">
        <f>ROUND(Table1[[#This Row],['#punten]]/Table1[[#This Row],['#Wed]],1)</f>
        <v>46</v>
      </c>
      <c r="U134" s="31">
        <f>ROUND(Table1[[#This Row],['#punten]]/Table1[[#This Row],['#minuten]],2)</f>
        <v>0.85</v>
      </c>
      <c r="V134" s="30">
        <f>ROUND((Table1[[#This Row],['#punten]]/(Table1[[#This Row],['#minuten]]/90)),2)</f>
        <v>76.67</v>
      </c>
      <c r="W134" s="30">
        <f>ROUND(Table1[[#This Row],[Prijs]]/Table1[[#This Row],['#punten]],0)</f>
        <v>12681</v>
      </c>
      <c r="X134" s="34">
        <f>ROUND((Table1[[#This Row],[Goals]]+Table1[[#This Row],[Asissts]])/(Table1[[#This Row],['#minuten]]/90),2)</f>
        <v>0</v>
      </c>
    </row>
    <row r="135" spans="1:24" x14ac:dyDescent="0.2">
      <c r="A135" s="39" t="s">
        <v>376</v>
      </c>
      <c r="B135" s="28" t="s">
        <v>49</v>
      </c>
      <c r="C135" s="29">
        <v>1750000</v>
      </c>
      <c r="D135" s="30" t="s">
        <v>140</v>
      </c>
      <c r="E135" s="30">
        <v>20</v>
      </c>
      <c r="F135" s="30" t="s">
        <v>141</v>
      </c>
      <c r="G135" s="31">
        <v>70</v>
      </c>
      <c r="H135" s="32">
        <v>70</v>
      </c>
      <c r="I135" s="32">
        <f>Table1[[#This Row],[laatste 5 wed.]]/Table1[[#This Row],['#punten]]*100</f>
        <v>100</v>
      </c>
      <c r="J135" s="30">
        <v>3</v>
      </c>
      <c r="K135" s="30">
        <v>2</v>
      </c>
      <c r="L135" s="30">
        <v>144</v>
      </c>
      <c r="M135" s="30">
        <v>144</v>
      </c>
      <c r="N135" s="30">
        <f>Table1[[#This Row],[Min laatste 5]]/Table1[[#This Row],['#minuten]]*100</f>
        <v>100</v>
      </c>
      <c r="O135" s="30">
        <v>0</v>
      </c>
      <c r="P135" s="30">
        <v>0</v>
      </c>
      <c r="Q135" s="32">
        <v>0</v>
      </c>
      <c r="R135" s="30">
        <v>0</v>
      </c>
      <c r="S135" s="30">
        <v>1</v>
      </c>
      <c r="T135" s="33">
        <f>ROUND(Table1[[#This Row],['#punten]]/Table1[[#This Row],['#Wed]],1)</f>
        <v>23.3</v>
      </c>
      <c r="U135" s="31">
        <f>ROUND(Table1[[#This Row],['#punten]]/Table1[[#This Row],['#minuten]],2)</f>
        <v>0.49</v>
      </c>
      <c r="V135" s="30">
        <f>ROUND((Table1[[#This Row],['#punten]]/(Table1[[#This Row],['#minuten]]/90)),2)</f>
        <v>43.75</v>
      </c>
      <c r="W135" s="30">
        <f>ROUND(Table1[[#This Row],[Prijs]]/Table1[[#This Row],['#punten]],0)</f>
        <v>25000</v>
      </c>
      <c r="X135" s="34">
        <f>ROUND((Table1[[#This Row],[Goals]]+Table1[[#This Row],[Asissts]])/(Table1[[#This Row],['#minuten]]/90),2)</f>
        <v>0</v>
      </c>
    </row>
    <row r="136" spans="1:24" x14ac:dyDescent="0.2">
      <c r="A136" s="39" t="s">
        <v>233</v>
      </c>
      <c r="B136" s="28" t="s">
        <v>48</v>
      </c>
      <c r="C136" s="29">
        <v>1750000</v>
      </c>
      <c r="D136" s="30" t="s">
        <v>140</v>
      </c>
      <c r="E136" s="30">
        <v>25</v>
      </c>
      <c r="F136" s="30" t="s">
        <v>141</v>
      </c>
      <c r="G136" s="31">
        <v>16</v>
      </c>
      <c r="H136" s="32">
        <v>16</v>
      </c>
      <c r="I136" s="32">
        <f>Table1[[#This Row],[laatste 5 wed.]]/Table1[[#This Row],['#punten]]*100</f>
        <v>100</v>
      </c>
      <c r="J136" s="30">
        <v>2</v>
      </c>
      <c r="K136" s="30">
        <v>1</v>
      </c>
      <c r="L136" s="30">
        <v>108</v>
      </c>
      <c r="M136" s="30">
        <v>108</v>
      </c>
      <c r="N136" s="30">
        <f>Table1[[#This Row],[Min laatste 5]]/Table1[[#This Row],['#minuten]]*100</f>
        <v>100</v>
      </c>
      <c r="O136" s="30">
        <v>0</v>
      </c>
      <c r="P136" s="30">
        <v>0</v>
      </c>
      <c r="Q136" s="32">
        <v>0</v>
      </c>
      <c r="R136" s="30">
        <v>0</v>
      </c>
      <c r="S136" s="30">
        <v>0</v>
      </c>
      <c r="T136" s="33">
        <f>ROUND(Table1[[#This Row],['#punten]]/Table1[[#This Row],['#Wed]],1)</f>
        <v>8</v>
      </c>
      <c r="U136" s="31">
        <f>ROUND(Table1[[#This Row],['#punten]]/Table1[[#This Row],['#minuten]],2)</f>
        <v>0.15</v>
      </c>
      <c r="V136" s="30">
        <f>ROUND((Table1[[#This Row],['#punten]]/(Table1[[#This Row],['#minuten]]/90)),2)</f>
        <v>13.33</v>
      </c>
      <c r="W136" s="30">
        <f>ROUND(Table1[[#This Row],[Prijs]]/Table1[[#This Row],['#punten]],0)</f>
        <v>109375</v>
      </c>
      <c r="X136" s="34">
        <f>ROUND((Table1[[#This Row],[Goals]]+Table1[[#This Row],[Asissts]])/(Table1[[#This Row],['#minuten]]/90),2)</f>
        <v>0</v>
      </c>
    </row>
    <row r="137" spans="1:24" x14ac:dyDescent="0.2">
      <c r="A137" s="39" t="s">
        <v>350</v>
      </c>
      <c r="B137" s="28" t="s">
        <v>317</v>
      </c>
      <c r="C137" s="29">
        <v>1500000</v>
      </c>
      <c r="D137" s="30" t="s">
        <v>140</v>
      </c>
      <c r="E137" s="30">
        <v>19</v>
      </c>
      <c r="F137" s="30" t="s">
        <v>156</v>
      </c>
      <c r="G137" s="31">
        <v>0</v>
      </c>
      <c r="H137" s="32">
        <v>0</v>
      </c>
      <c r="I137" s="32">
        <v>100</v>
      </c>
      <c r="J137" s="30">
        <v>2</v>
      </c>
      <c r="K137" s="30">
        <v>0</v>
      </c>
      <c r="L137" s="30">
        <v>40</v>
      </c>
      <c r="M137" s="30">
        <v>40</v>
      </c>
      <c r="N137" s="30">
        <f>Table1[[#This Row],[Min laatste 5]]/Table1[[#This Row],['#minuten]]*100</f>
        <v>100</v>
      </c>
      <c r="O137" s="30">
        <v>0</v>
      </c>
      <c r="P137" s="30">
        <v>0</v>
      </c>
      <c r="Q137" s="32">
        <v>0</v>
      </c>
      <c r="R137" s="30">
        <v>0</v>
      </c>
      <c r="S137" s="30">
        <v>0</v>
      </c>
      <c r="T137" s="33">
        <f>ROUND(Table1[[#This Row],['#punten]]/Table1[[#This Row],['#Wed]],1)</f>
        <v>0</v>
      </c>
      <c r="U137" s="31">
        <f>ROUND(Table1[[#This Row],['#punten]]/Table1[[#This Row],['#minuten]],2)</f>
        <v>0</v>
      </c>
      <c r="V137" s="30">
        <f>ROUND((Table1[[#This Row],['#punten]]/(Table1[[#This Row],['#minuten]]/90)),2)</f>
        <v>0</v>
      </c>
      <c r="W137" s="30">
        <v>0</v>
      </c>
      <c r="X137" s="34">
        <f>ROUND((Table1[[#This Row],[Goals]]+Table1[[#This Row],[Asissts]])/(Table1[[#This Row],['#minuten]]/90),2)</f>
        <v>0</v>
      </c>
    </row>
    <row r="138" spans="1:24" x14ac:dyDescent="0.2">
      <c r="A138" s="39" t="s">
        <v>212</v>
      </c>
      <c r="B138" s="28" t="s">
        <v>46</v>
      </c>
      <c r="C138" s="29">
        <v>1500000</v>
      </c>
      <c r="D138" s="30" t="s">
        <v>140</v>
      </c>
      <c r="E138" s="30">
        <v>27</v>
      </c>
      <c r="F138" s="30" t="s">
        <v>153</v>
      </c>
      <c r="G138" s="31">
        <v>184</v>
      </c>
      <c r="H138" s="32">
        <v>184</v>
      </c>
      <c r="I138" s="32">
        <f>Table1[[#This Row],[laatste 5 wed.]]/Table1[[#This Row],['#punten]]*100</f>
        <v>100</v>
      </c>
      <c r="J138" s="30">
        <v>4</v>
      </c>
      <c r="K138" s="30">
        <v>4</v>
      </c>
      <c r="L138" s="30">
        <v>328</v>
      </c>
      <c r="M138" s="30">
        <v>328</v>
      </c>
      <c r="N138" s="30">
        <f>Table1[[#This Row],[Min laatste 5]]/Table1[[#This Row],['#minuten]]*100</f>
        <v>100</v>
      </c>
      <c r="O138" s="30">
        <v>0</v>
      </c>
      <c r="P138" s="30">
        <v>0</v>
      </c>
      <c r="Q138" s="32">
        <v>0</v>
      </c>
      <c r="R138" s="30">
        <v>0</v>
      </c>
      <c r="S138" s="30">
        <v>2</v>
      </c>
      <c r="T138" s="33">
        <f>ROUND(Table1[[#This Row],['#punten]]/Table1[[#This Row],['#Wed]],1)</f>
        <v>46</v>
      </c>
      <c r="U138" s="31">
        <f>ROUND(Table1[[#This Row],['#punten]]/Table1[[#This Row],['#minuten]],2)</f>
        <v>0.56000000000000005</v>
      </c>
      <c r="V138" s="30">
        <f>ROUND((Table1[[#This Row],['#punten]]/(Table1[[#This Row],['#minuten]]/90)),2)</f>
        <v>50.49</v>
      </c>
      <c r="W138" s="30">
        <f>ROUND(Table1[[#This Row],[Prijs]]/Table1[[#This Row],['#punten]],0)</f>
        <v>8152</v>
      </c>
      <c r="X138" s="34">
        <f>ROUND((Table1[[#This Row],[Goals]]+Table1[[#This Row],[Asissts]])/(Table1[[#This Row],['#minuten]]/90),2)</f>
        <v>0</v>
      </c>
    </row>
    <row r="139" spans="1:24" x14ac:dyDescent="0.2">
      <c r="A139" s="39" t="s">
        <v>122</v>
      </c>
      <c r="B139" s="21" t="s">
        <v>260</v>
      </c>
      <c r="C139" s="22">
        <v>1500000</v>
      </c>
      <c r="D139" s="23" t="s">
        <v>140</v>
      </c>
      <c r="E139" s="23">
        <v>29</v>
      </c>
      <c r="F139" s="23" t="s">
        <v>156</v>
      </c>
      <c r="G139" s="24">
        <v>148</v>
      </c>
      <c r="H139" s="25">
        <v>148</v>
      </c>
      <c r="I139" s="25">
        <f>Table1[[#This Row],[laatste 5 wed.]]/Table1[[#This Row],['#punten]]*100</f>
        <v>100</v>
      </c>
      <c r="J139" s="23">
        <v>4</v>
      </c>
      <c r="K139" s="23">
        <v>4</v>
      </c>
      <c r="L139" s="23">
        <v>319</v>
      </c>
      <c r="M139" s="23">
        <v>319</v>
      </c>
      <c r="N139" s="23">
        <f>Table1[[#This Row],[Min laatste 5]]/Table1[[#This Row],['#minuten]]*100</f>
        <v>100</v>
      </c>
      <c r="O139" s="23">
        <v>0</v>
      </c>
      <c r="P139" s="23">
        <v>0</v>
      </c>
      <c r="Q139" s="25">
        <v>0</v>
      </c>
      <c r="R139" s="23">
        <v>0</v>
      </c>
      <c r="S139" s="23">
        <v>1</v>
      </c>
      <c r="T139" s="26">
        <f>ROUND(Table1[[#This Row],['#punten]]/Table1[[#This Row],['#Wed]],1)</f>
        <v>37</v>
      </c>
      <c r="U139" s="112">
        <f>ROUND(Table1[[#This Row],['#punten]]/Table1[[#This Row],['#minuten]],2)</f>
        <v>0.46</v>
      </c>
      <c r="V139" s="23">
        <f>ROUND((Table1[[#This Row],['#punten]]/(Table1[[#This Row],['#minuten]]/90)),2)</f>
        <v>41.76</v>
      </c>
      <c r="W139" s="23">
        <f>ROUND(Table1[[#This Row],[Prijs]]/Table1[[#This Row],['#punten]],0)</f>
        <v>10135</v>
      </c>
      <c r="X139" s="23">
        <f>ROUND((Table1[[#This Row],[Goals]]+Table1[[#This Row],[Asissts]])/(Table1[[#This Row],['#minuten]]/90),2)</f>
        <v>0</v>
      </c>
    </row>
    <row r="140" spans="1:24" x14ac:dyDescent="0.2">
      <c r="A140" s="39" t="s">
        <v>323</v>
      </c>
      <c r="B140" s="28" t="s">
        <v>317</v>
      </c>
      <c r="C140" s="29">
        <v>1500000</v>
      </c>
      <c r="D140" s="30" t="s">
        <v>140</v>
      </c>
      <c r="E140" s="30">
        <v>23</v>
      </c>
      <c r="F140" s="30" t="s">
        <v>156</v>
      </c>
      <c r="G140" s="31">
        <v>32</v>
      </c>
      <c r="H140" s="32">
        <v>32</v>
      </c>
      <c r="I140" s="32">
        <f>Table1[[#This Row],[laatste 5 wed.]]/Table1[[#This Row],['#punten]]*100</f>
        <v>100</v>
      </c>
      <c r="J140" s="30">
        <v>3</v>
      </c>
      <c r="K140" s="30">
        <v>2</v>
      </c>
      <c r="L140" s="30">
        <v>158</v>
      </c>
      <c r="M140" s="30">
        <v>158</v>
      </c>
      <c r="N140" s="30">
        <f>Table1[[#This Row],[Min laatste 5]]/Table1[[#This Row],['#minuten]]*100</f>
        <v>100</v>
      </c>
      <c r="O140" s="30">
        <v>0</v>
      </c>
      <c r="P140" s="30">
        <v>0</v>
      </c>
      <c r="Q140" s="32">
        <v>0</v>
      </c>
      <c r="R140" s="30">
        <v>0</v>
      </c>
      <c r="S140" s="30">
        <v>0</v>
      </c>
      <c r="T140" s="33">
        <f>ROUND(Table1[[#This Row],['#punten]]/Table1[[#This Row],['#Wed]],1)</f>
        <v>10.7</v>
      </c>
      <c r="U140" s="31">
        <f>ROUND(Table1[[#This Row],['#punten]]/Table1[[#This Row],['#minuten]],2)</f>
        <v>0.2</v>
      </c>
      <c r="V140" s="30">
        <f>ROUND((Table1[[#This Row],['#punten]]/(Table1[[#This Row],['#minuten]]/90)),2)</f>
        <v>18.23</v>
      </c>
      <c r="W140" s="30">
        <f>ROUND(Table1[[#This Row],[Prijs]]/Table1[[#This Row],['#punten]],0)</f>
        <v>46875</v>
      </c>
      <c r="X140" s="34">
        <f>ROUND((Table1[[#This Row],[Goals]]+Table1[[#This Row],[Asissts]])/(Table1[[#This Row],['#minuten]]/90),2)</f>
        <v>0</v>
      </c>
    </row>
    <row r="141" spans="1:24" x14ac:dyDescent="0.2">
      <c r="A141" s="39" t="s">
        <v>380</v>
      </c>
      <c r="B141" s="28" t="s">
        <v>317</v>
      </c>
      <c r="C141" s="29">
        <v>1500000</v>
      </c>
      <c r="D141" s="30" t="s">
        <v>140</v>
      </c>
      <c r="E141" s="30">
        <v>30</v>
      </c>
      <c r="F141" s="30" t="s">
        <v>381</v>
      </c>
      <c r="G141" s="31">
        <v>28</v>
      </c>
      <c r="H141" s="32">
        <v>28</v>
      </c>
      <c r="I141" s="32">
        <f>Table1[[#This Row],[laatste 5 wed.]]/Table1[[#This Row],['#punten]]*100</f>
        <v>100</v>
      </c>
      <c r="J141" s="30">
        <v>2</v>
      </c>
      <c r="K141" s="30">
        <v>1</v>
      </c>
      <c r="L141" s="30">
        <v>101</v>
      </c>
      <c r="M141" s="30">
        <v>101</v>
      </c>
      <c r="N141" s="30">
        <f>Table1[[#This Row],[Min laatste 5]]/Table1[[#This Row],['#minuten]]*100</f>
        <v>100</v>
      </c>
      <c r="O141" s="30">
        <v>0</v>
      </c>
      <c r="P141" s="30">
        <v>0</v>
      </c>
      <c r="Q141" s="32">
        <v>0</v>
      </c>
      <c r="R141" s="30">
        <v>0</v>
      </c>
      <c r="S141" s="30">
        <v>0</v>
      </c>
      <c r="T141" s="33">
        <f>ROUND(Table1[[#This Row],['#punten]]/Table1[[#This Row],['#Wed]],1)</f>
        <v>14</v>
      </c>
      <c r="U141" s="31">
        <f>ROUND(Table1[[#This Row],['#punten]]/Table1[[#This Row],['#minuten]],2)</f>
        <v>0.28000000000000003</v>
      </c>
      <c r="V141" s="30">
        <f>ROUND((Table1[[#This Row],['#punten]]/(Table1[[#This Row],['#minuten]]/90)),2)</f>
        <v>24.95</v>
      </c>
      <c r="W141" s="30">
        <f>ROUND(Table1[[#This Row],[Prijs]]/Table1[[#This Row],['#punten]],0)</f>
        <v>53571</v>
      </c>
      <c r="X141" s="34">
        <f>ROUND((Table1[[#This Row],[Goals]]+Table1[[#This Row],[Asissts]])/(Table1[[#This Row],['#minuten]]/90),2)</f>
        <v>0</v>
      </c>
    </row>
    <row r="142" spans="1:24" x14ac:dyDescent="0.2">
      <c r="A142" s="39" t="s">
        <v>234</v>
      </c>
      <c r="B142" s="51" t="s">
        <v>48</v>
      </c>
      <c r="C142" s="52">
        <v>1500000</v>
      </c>
      <c r="D142" s="53" t="s">
        <v>140</v>
      </c>
      <c r="E142" s="53">
        <v>27</v>
      </c>
      <c r="F142" s="53" t="s">
        <v>141</v>
      </c>
      <c r="G142" s="54">
        <v>16</v>
      </c>
      <c r="H142" s="55">
        <v>16</v>
      </c>
      <c r="I142" s="55">
        <f>Table1[[#This Row],[laatste 5 wed.]]/Table1[[#This Row],['#punten]]*100</f>
        <v>100</v>
      </c>
      <c r="J142" s="53">
        <v>1</v>
      </c>
      <c r="K142" s="53">
        <v>0</v>
      </c>
      <c r="L142" s="53">
        <v>45</v>
      </c>
      <c r="M142" s="53">
        <v>45</v>
      </c>
      <c r="N142" s="53">
        <f>Table1[[#This Row],[Min laatste 5]]/Table1[[#This Row],['#minuten]]*100</f>
        <v>100</v>
      </c>
      <c r="O142" s="53">
        <v>0</v>
      </c>
      <c r="P142" s="53">
        <v>0</v>
      </c>
      <c r="Q142" s="55">
        <v>0</v>
      </c>
      <c r="R142" s="53">
        <v>0</v>
      </c>
      <c r="S142" s="53">
        <v>0</v>
      </c>
      <c r="T142" s="56">
        <f>ROUND(Table1[[#This Row],['#punten]]/Table1[[#This Row],['#Wed]],1)</f>
        <v>16</v>
      </c>
      <c r="U142" s="54">
        <f>ROUND(Table1[[#This Row],['#punten]]/Table1[[#This Row],['#minuten]],2)</f>
        <v>0.36</v>
      </c>
      <c r="V142" s="53">
        <f>ROUND((Table1[[#This Row],['#punten]]/(Table1[[#This Row],['#minuten]]/90)),2)</f>
        <v>32</v>
      </c>
      <c r="W142" s="53">
        <f>ROUND(Table1[[#This Row],[Prijs]]/Table1[[#This Row],['#punten]],0)</f>
        <v>93750</v>
      </c>
      <c r="X142" s="57">
        <f>ROUND((Table1[[#This Row],[Goals]]+Table1[[#This Row],[Asissts]])/(Table1[[#This Row],['#minuten]]/90),2)</f>
        <v>0</v>
      </c>
    </row>
    <row r="143" spans="1:24" x14ac:dyDescent="0.2">
      <c r="A143" s="39" t="s">
        <v>303</v>
      </c>
      <c r="B143" s="51" t="s">
        <v>40</v>
      </c>
      <c r="C143" s="52">
        <v>1250000</v>
      </c>
      <c r="D143" s="53" t="s">
        <v>140</v>
      </c>
      <c r="E143" s="53">
        <v>28</v>
      </c>
      <c r="F143" s="53" t="s">
        <v>141</v>
      </c>
      <c r="G143" s="54">
        <v>0</v>
      </c>
      <c r="H143" s="55">
        <v>0</v>
      </c>
      <c r="I143" s="55">
        <v>100</v>
      </c>
      <c r="J143" s="53">
        <v>3</v>
      </c>
      <c r="K143" s="53">
        <v>0</v>
      </c>
      <c r="L143" s="53">
        <v>87</v>
      </c>
      <c r="M143" s="53">
        <v>87</v>
      </c>
      <c r="N143" s="53">
        <f>Table1[[#This Row],[Min laatste 5]]/Table1[[#This Row],['#minuten]]*100</f>
        <v>100</v>
      </c>
      <c r="O143" s="53">
        <v>0</v>
      </c>
      <c r="P143" s="53">
        <v>0</v>
      </c>
      <c r="Q143" s="55">
        <v>0</v>
      </c>
      <c r="R143" s="53">
        <v>0</v>
      </c>
      <c r="S143" s="53">
        <v>0</v>
      </c>
      <c r="T143" s="56">
        <f>ROUND(Table1[[#This Row],['#punten]]/Table1[[#This Row],['#Wed]],1)</f>
        <v>0</v>
      </c>
      <c r="U143" s="54">
        <f>ROUND(Table1[[#This Row],['#punten]]/Table1[[#This Row],['#minuten]],2)</f>
        <v>0</v>
      </c>
      <c r="V143" s="53">
        <f>ROUND((Table1[[#This Row],['#punten]]/(Table1[[#This Row],['#minuten]]/90)),2)</f>
        <v>0</v>
      </c>
      <c r="W143" s="53">
        <v>0</v>
      </c>
      <c r="X143" s="57">
        <f>ROUND((Table1[[#This Row],[Goals]]+Table1[[#This Row],[Asissts]])/(Table1[[#This Row],['#minuten]]/90),2)</f>
        <v>0</v>
      </c>
    </row>
    <row r="144" spans="1:24" x14ac:dyDescent="0.2">
      <c r="A144" s="39" t="s">
        <v>131</v>
      </c>
      <c r="B144" s="51" t="s">
        <v>47</v>
      </c>
      <c r="C144" s="52">
        <v>1250000</v>
      </c>
      <c r="D144" s="53" t="s">
        <v>140</v>
      </c>
      <c r="E144" s="53">
        <v>27</v>
      </c>
      <c r="F144" s="53" t="s">
        <v>141</v>
      </c>
      <c r="G144" s="54">
        <v>46</v>
      </c>
      <c r="H144" s="55">
        <v>46</v>
      </c>
      <c r="I144" s="55">
        <f>Table1[[#This Row],[laatste 5 wed.]]/Table1[[#This Row],['#punten]]*100</f>
        <v>100</v>
      </c>
      <c r="J144" s="53">
        <v>4</v>
      </c>
      <c r="K144" s="53">
        <v>1</v>
      </c>
      <c r="L144" s="53">
        <v>124</v>
      </c>
      <c r="M144" s="53">
        <v>124</v>
      </c>
      <c r="N144" s="53">
        <f>Table1[[#This Row],[Min laatste 5]]/Table1[[#This Row],['#minuten]]*100</f>
        <v>100</v>
      </c>
      <c r="O144" s="53">
        <v>0</v>
      </c>
      <c r="P144" s="53">
        <v>0</v>
      </c>
      <c r="Q144" s="55">
        <v>0</v>
      </c>
      <c r="R144" s="53">
        <v>0</v>
      </c>
      <c r="S144" s="53">
        <v>0</v>
      </c>
      <c r="T144" s="56">
        <f>ROUND(Table1[[#This Row],['#punten]]/Table1[[#This Row],['#Wed]],1)</f>
        <v>11.5</v>
      </c>
      <c r="U144" s="54">
        <f>ROUND(Table1[[#This Row],['#punten]]/Table1[[#This Row],['#minuten]],2)</f>
        <v>0.37</v>
      </c>
      <c r="V144" s="53">
        <f>ROUND((Table1[[#This Row],['#punten]]/(Table1[[#This Row],['#minuten]]/90)),2)</f>
        <v>33.39</v>
      </c>
      <c r="W144" s="53">
        <f>ROUND(Table1[[#This Row],[Prijs]]/Table1[[#This Row],['#punten]],0)</f>
        <v>27174</v>
      </c>
      <c r="X144" s="57">
        <f>ROUND((Table1[[#This Row],[Goals]]+Table1[[#This Row],[Asissts]])/(Table1[[#This Row],['#minuten]]/90),2)</f>
        <v>0</v>
      </c>
    </row>
    <row r="145" spans="1:24" x14ac:dyDescent="0.2">
      <c r="A145" s="39" t="s">
        <v>189</v>
      </c>
      <c r="B145" s="62" t="s">
        <v>44</v>
      </c>
      <c r="C145" s="63">
        <v>1250000</v>
      </c>
      <c r="D145" s="60" t="s">
        <v>140</v>
      </c>
      <c r="E145" s="60">
        <v>21</v>
      </c>
      <c r="F145" s="60" t="s">
        <v>141</v>
      </c>
      <c r="G145" s="58">
        <v>46</v>
      </c>
      <c r="H145" s="64">
        <v>46</v>
      </c>
      <c r="I145" s="64">
        <f>Table1[[#This Row],[laatste 5 wed.]]/Table1[[#This Row],['#punten]]*100</f>
        <v>100</v>
      </c>
      <c r="J145" s="60">
        <v>4</v>
      </c>
      <c r="K145" s="60">
        <v>4</v>
      </c>
      <c r="L145" s="60">
        <v>333</v>
      </c>
      <c r="M145" s="60">
        <v>333</v>
      </c>
      <c r="N145" s="60">
        <f>Table1[[#This Row],[Min laatste 5]]/Table1[[#This Row],['#minuten]]*100</f>
        <v>100</v>
      </c>
      <c r="O145" s="60">
        <v>0</v>
      </c>
      <c r="P145" s="60">
        <v>0</v>
      </c>
      <c r="Q145" s="64">
        <v>2</v>
      </c>
      <c r="R145" s="60">
        <v>0</v>
      </c>
      <c r="S145" s="60">
        <v>0</v>
      </c>
      <c r="T145" s="59">
        <f>ROUND(Table1[[#This Row],['#punten]]/Table1[[#This Row],['#Wed]],1)</f>
        <v>11.5</v>
      </c>
      <c r="U145" s="58">
        <f>ROUND(Table1[[#This Row],['#punten]]/Table1[[#This Row],['#minuten]],2)</f>
        <v>0.14000000000000001</v>
      </c>
      <c r="V145" s="60">
        <f>ROUND((Table1[[#This Row],['#punten]]/(Table1[[#This Row],['#minuten]]/90)),2)</f>
        <v>12.43</v>
      </c>
      <c r="W145" s="60">
        <f>ROUND(Table1[[#This Row],[Prijs]]/Table1[[#This Row],['#punten]],0)</f>
        <v>27174</v>
      </c>
      <c r="X145" s="61">
        <f>ROUND((Table1[[#This Row],[Goals]]+Table1[[#This Row],[Asissts]])/(Table1[[#This Row],['#minuten]]/90),2)</f>
        <v>0</v>
      </c>
    </row>
    <row r="146" spans="1:24" x14ac:dyDescent="0.2">
      <c r="A146" s="39" t="s">
        <v>344</v>
      </c>
      <c r="B146" s="51" t="s">
        <v>51</v>
      </c>
      <c r="C146" s="52">
        <v>1250000</v>
      </c>
      <c r="D146" s="53" t="s">
        <v>140</v>
      </c>
      <c r="E146" s="53">
        <v>20</v>
      </c>
      <c r="F146" s="53" t="s">
        <v>141</v>
      </c>
      <c r="G146" s="54">
        <v>36</v>
      </c>
      <c r="H146" s="55">
        <v>36</v>
      </c>
      <c r="I146" s="55">
        <f>Table1[[#This Row],[laatste 5 wed.]]/Table1[[#This Row],['#punten]]*100</f>
        <v>100</v>
      </c>
      <c r="J146" s="53">
        <v>3</v>
      </c>
      <c r="K146" s="53">
        <v>3</v>
      </c>
      <c r="L146" s="53">
        <v>264</v>
      </c>
      <c r="M146" s="53">
        <v>264</v>
      </c>
      <c r="N146" s="53">
        <f>Table1[[#This Row],[Min laatste 5]]/Table1[[#This Row],['#minuten]]*100</f>
        <v>100</v>
      </c>
      <c r="O146" s="53">
        <v>0</v>
      </c>
      <c r="P146" s="53">
        <v>0</v>
      </c>
      <c r="Q146" s="55">
        <v>0</v>
      </c>
      <c r="R146" s="53">
        <v>0</v>
      </c>
      <c r="S146" s="53">
        <v>0</v>
      </c>
      <c r="T146" s="56">
        <f>ROUND(Table1[[#This Row],['#punten]]/Table1[[#This Row],['#Wed]],1)</f>
        <v>12</v>
      </c>
      <c r="U146" s="54">
        <f>ROUND(Table1[[#This Row],['#punten]]/Table1[[#This Row],['#minuten]],2)</f>
        <v>0.14000000000000001</v>
      </c>
      <c r="V146" s="53">
        <f>ROUND((Table1[[#This Row],['#punten]]/(Table1[[#This Row],['#minuten]]/90)),2)</f>
        <v>12.27</v>
      </c>
      <c r="W146" s="53">
        <f>ROUND(Table1[[#This Row],[Prijs]]/Table1[[#This Row],['#punten]],0)</f>
        <v>34722</v>
      </c>
      <c r="X146" s="57">
        <f>ROUND((Table1[[#This Row],[Goals]]+Table1[[#This Row],[Asissts]])/(Table1[[#This Row],['#minuten]]/90),2)</f>
        <v>0</v>
      </c>
    </row>
    <row r="147" spans="1:24" x14ac:dyDescent="0.2">
      <c r="A147" s="39" t="s">
        <v>290</v>
      </c>
      <c r="B147" s="51" t="s">
        <v>40</v>
      </c>
      <c r="C147" s="52">
        <v>1250000</v>
      </c>
      <c r="D147" s="53" t="s">
        <v>140</v>
      </c>
      <c r="E147" s="53">
        <v>22</v>
      </c>
      <c r="F147" s="53" t="s">
        <v>141</v>
      </c>
      <c r="G147" s="54">
        <v>12</v>
      </c>
      <c r="H147" s="55">
        <v>12</v>
      </c>
      <c r="I147" s="55">
        <f>Table1[[#This Row],[laatste 5 wed.]]/Table1[[#This Row],['#punten]]*100</f>
        <v>100</v>
      </c>
      <c r="J147" s="53">
        <v>3</v>
      </c>
      <c r="K147" s="53">
        <v>3</v>
      </c>
      <c r="L147" s="53">
        <v>244</v>
      </c>
      <c r="M147" s="53">
        <v>244</v>
      </c>
      <c r="N147" s="53">
        <f>Table1[[#This Row],[Min laatste 5]]/Table1[[#This Row],['#minuten]]*100</f>
        <v>100</v>
      </c>
      <c r="O147" s="53">
        <v>0</v>
      </c>
      <c r="P147" s="53">
        <v>0</v>
      </c>
      <c r="Q147" s="55">
        <v>1</v>
      </c>
      <c r="R147" s="53">
        <v>0</v>
      </c>
      <c r="S147" s="53">
        <v>0</v>
      </c>
      <c r="T147" s="56">
        <f>ROUND(Table1[[#This Row],['#punten]]/Table1[[#This Row],['#Wed]],1)</f>
        <v>4</v>
      </c>
      <c r="U147" s="54">
        <f>ROUND(Table1[[#This Row],['#punten]]/Table1[[#This Row],['#minuten]],2)</f>
        <v>0.05</v>
      </c>
      <c r="V147" s="53">
        <f>ROUND((Table1[[#This Row],['#punten]]/(Table1[[#This Row],['#minuten]]/90)),2)</f>
        <v>4.43</v>
      </c>
      <c r="W147" s="53">
        <f>ROUND(Table1[[#This Row],[Prijs]]/Table1[[#This Row],['#punten]],0)</f>
        <v>104167</v>
      </c>
      <c r="X147" s="57">
        <f>ROUND((Table1[[#This Row],[Goals]]+Table1[[#This Row],[Asissts]])/(Table1[[#This Row],['#minuten]]/90),2)</f>
        <v>0</v>
      </c>
    </row>
    <row r="148" spans="1:24" x14ac:dyDescent="0.2">
      <c r="A148" s="39" t="s">
        <v>264</v>
      </c>
      <c r="B148" s="21" t="s">
        <v>260</v>
      </c>
      <c r="C148" s="22">
        <v>1000000</v>
      </c>
      <c r="D148" s="23" t="s">
        <v>140</v>
      </c>
      <c r="E148" s="23">
        <v>22</v>
      </c>
      <c r="F148" s="23" t="s">
        <v>141</v>
      </c>
      <c r="G148" s="24">
        <v>124</v>
      </c>
      <c r="H148" s="25">
        <v>124</v>
      </c>
      <c r="I148" s="25">
        <f>Table1[[#This Row],[laatste 5 wed.]]/Table1[[#This Row],['#punten]]*100</f>
        <v>100</v>
      </c>
      <c r="J148" s="23">
        <v>4</v>
      </c>
      <c r="K148" s="23">
        <v>4</v>
      </c>
      <c r="L148" s="23">
        <v>327</v>
      </c>
      <c r="M148" s="23">
        <v>327</v>
      </c>
      <c r="N148" s="23">
        <f>Table1[[#This Row],[Min laatste 5]]/Table1[[#This Row],['#minuten]]*100</f>
        <v>100</v>
      </c>
      <c r="O148" s="23">
        <v>0</v>
      </c>
      <c r="P148" s="23">
        <v>0</v>
      </c>
      <c r="Q148" s="25">
        <v>1</v>
      </c>
      <c r="R148" s="23">
        <v>0</v>
      </c>
      <c r="S148" s="23">
        <v>1</v>
      </c>
      <c r="T148" s="26">
        <f>ROUND(Table1[[#This Row],['#punten]]/Table1[[#This Row],['#Wed]],1)</f>
        <v>31</v>
      </c>
      <c r="U148" s="24">
        <f>ROUND(Table1[[#This Row],['#punten]]/Table1[[#This Row],['#minuten]],2)</f>
        <v>0.38</v>
      </c>
      <c r="V148" s="23">
        <f>ROUND((Table1[[#This Row],['#punten]]/(Table1[[#This Row],['#minuten]]/90)),2)</f>
        <v>34.130000000000003</v>
      </c>
      <c r="W148" s="23">
        <f>ROUND(Table1[[#This Row],[Prijs]]/Table1[[#This Row],['#punten]],0)</f>
        <v>8065</v>
      </c>
      <c r="X148" s="27">
        <f>ROUND((Table1[[#This Row],[Goals]]+Table1[[#This Row],[Asissts]])/(Table1[[#This Row],['#minuten]]/90),2)</f>
        <v>0</v>
      </c>
    </row>
    <row r="149" spans="1:24" x14ac:dyDescent="0.2">
      <c r="A149" s="39" t="s">
        <v>163</v>
      </c>
      <c r="B149" s="62" t="s">
        <v>159</v>
      </c>
      <c r="C149" s="63">
        <v>1000000</v>
      </c>
      <c r="D149" s="60" t="s">
        <v>140</v>
      </c>
      <c r="E149" s="60">
        <v>31</v>
      </c>
      <c r="F149" s="60" t="s">
        <v>47</v>
      </c>
      <c r="G149" s="58">
        <v>28</v>
      </c>
      <c r="H149" s="64">
        <v>28</v>
      </c>
      <c r="I149" s="64">
        <f>Table1[[#This Row],[laatste 5 wed.]]/Table1[[#This Row],['#punten]]*100</f>
        <v>100</v>
      </c>
      <c r="J149" s="60">
        <v>4</v>
      </c>
      <c r="K149" s="60">
        <v>4</v>
      </c>
      <c r="L149" s="60">
        <v>256</v>
      </c>
      <c r="M149" s="60">
        <v>256</v>
      </c>
      <c r="N149" s="60">
        <f>Table1[[#This Row],[Min laatste 5]]/Table1[[#This Row],['#minuten]]*100</f>
        <v>100</v>
      </c>
      <c r="O149" s="60">
        <v>0</v>
      </c>
      <c r="P149" s="60">
        <v>0</v>
      </c>
      <c r="Q149" s="64">
        <v>0</v>
      </c>
      <c r="R149" s="60">
        <v>0</v>
      </c>
      <c r="S149" s="60">
        <v>0</v>
      </c>
      <c r="T149" s="59">
        <f>ROUND(Table1[[#This Row],['#punten]]/Table1[[#This Row],['#Wed]],1)</f>
        <v>7</v>
      </c>
      <c r="U149" s="58">
        <f>ROUND(Table1[[#This Row],['#punten]]/Table1[[#This Row],['#minuten]],2)</f>
        <v>0.11</v>
      </c>
      <c r="V149" s="60">
        <f>ROUND((Table1[[#This Row],['#punten]]/(Table1[[#This Row],['#minuten]]/90)),2)</f>
        <v>9.84</v>
      </c>
      <c r="W149" s="60">
        <f>ROUND(Table1[[#This Row],[Prijs]]/Table1[[#This Row],['#punten]],0)</f>
        <v>35714</v>
      </c>
      <c r="X149" s="61">
        <f>ROUND((Table1[[#This Row],[Goals]]+Table1[[#This Row],[Asissts]])/(Table1[[#This Row],['#minuten]]/90),2)</f>
        <v>0</v>
      </c>
    </row>
    <row r="150" spans="1:24" x14ac:dyDescent="0.2">
      <c r="A150" s="39" t="s">
        <v>263</v>
      </c>
      <c r="B150" s="62" t="s">
        <v>260</v>
      </c>
      <c r="C150" s="63">
        <v>750000</v>
      </c>
      <c r="D150" s="60" t="s">
        <v>140</v>
      </c>
      <c r="E150" s="60">
        <v>21</v>
      </c>
      <c r="F150" s="60" t="s">
        <v>141</v>
      </c>
      <c r="G150" s="58">
        <v>148</v>
      </c>
      <c r="H150" s="64">
        <v>148</v>
      </c>
      <c r="I150" s="64">
        <f>Table1[[#This Row],[laatste 5 wed.]]/Table1[[#This Row],['#punten]]*100</f>
        <v>100</v>
      </c>
      <c r="J150" s="60">
        <v>4</v>
      </c>
      <c r="K150" s="60">
        <v>4</v>
      </c>
      <c r="L150" s="60">
        <v>360</v>
      </c>
      <c r="M150" s="60">
        <v>360</v>
      </c>
      <c r="N150" s="60">
        <f>Table1[[#This Row],[Min laatste 5]]/Table1[[#This Row],['#minuten]]*100</f>
        <v>100</v>
      </c>
      <c r="O150" s="60">
        <v>0</v>
      </c>
      <c r="P150" s="60">
        <v>0</v>
      </c>
      <c r="Q150" s="64">
        <v>0</v>
      </c>
      <c r="R150" s="60">
        <v>0</v>
      </c>
      <c r="S150" s="60">
        <v>1</v>
      </c>
      <c r="T150" s="59">
        <f>ROUND(Table1[[#This Row],['#punten]]/Table1[[#This Row],['#Wed]],1)</f>
        <v>37</v>
      </c>
      <c r="U150" s="58">
        <f>ROUND(Table1[[#This Row],['#punten]]/Table1[[#This Row],['#minuten]],2)</f>
        <v>0.41</v>
      </c>
      <c r="V150" s="60">
        <f>ROUND((Table1[[#This Row],['#punten]]/(Table1[[#This Row],['#minuten]]/90)),2)</f>
        <v>37</v>
      </c>
      <c r="W150" s="60">
        <f>ROUND(Table1[[#This Row],[Prijs]]/Table1[[#This Row],['#punten]],0)</f>
        <v>5068</v>
      </c>
      <c r="X150" s="61">
        <f>ROUND((Table1[[#This Row],[Goals]]+Table1[[#This Row],[Asissts]])/(Table1[[#This Row],['#minuten]]/90),2)</f>
        <v>0</v>
      </c>
    </row>
    <row r="151" spans="1:24" x14ac:dyDescent="0.2">
      <c r="A151" s="39" t="s">
        <v>289</v>
      </c>
      <c r="B151" s="51" t="s">
        <v>40</v>
      </c>
      <c r="C151" s="52">
        <v>750000</v>
      </c>
      <c r="D151" s="53" t="s">
        <v>140</v>
      </c>
      <c r="E151" s="53">
        <v>23</v>
      </c>
      <c r="F151" s="53" t="s">
        <v>141</v>
      </c>
      <c r="G151" s="54">
        <v>28</v>
      </c>
      <c r="H151" s="55">
        <v>28</v>
      </c>
      <c r="I151" s="55">
        <f>Table1[[#This Row],[laatste 5 wed.]]/Table1[[#This Row],['#punten]]*100</f>
        <v>100</v>
      </c>
      <c r="J151" s="53">
        <v>4</v>
      </c>
      <c r="K151" s="53">
        <v>4</v>
      </c>
      <c r="L151" s="53">
        <v>309</v>
      </c>
      <c r="M151" s="53">
        <v>309</v>
      </c>
      <c r="N151" s="53">
        <f>Table1[[#This Row],[Min laatste 5]]/Table1[[#This Row],['#minuten]]*100</f>
        <v>100</v>
      </c>
      <c r="O151" s="53">
        <v>0</v>
      </c>
      <c r="P151" s="53">
        <v>0</v>
      </c>
      <c r="Q151" s="55">
        <v>1</v>
      </c>
      <c r="R151" s="53">
        <v>0</v>
      </c>
      <c r="S151" s="53">
        <v>0</v>
      </c>
      <c r="T151" s="56">
        <f>ROUND(Table1[[#This Row],['#punten]]/Table1[[#This Row],['#Wed]],1)</f>
        <v>7</v>
      </c>
      <c r="U151" s="54">
        <f>ROUND(Table1[[#This Row],['#punten]]/Table1[[#This Row],['#minuten]],2)</f>
        <v>0.09</v>
      </c>
      <c r="V151" s="53">
        <f>ROUND((Table1[[#This Row],['#punten]]/(Table1[[#This Row],['#minuten]]/90)),2)</f>
        <v>8.16</v>
      </c>
      <c r="W151" s="53">
        <f>ROUND(Table1[[#This Row],[Prijs]]/Table1[[#This Row],['#punten]],0)</f>
        <v>26786</v>
      </c>
      <c r="X151" s="57">
        <f>ROUND((Table1[[#This Row],[Goals]]+Table1[[#This Row],[Asissts]])/(Table1[[#This Row],['#minuten]]/90),2)</f>
        <v>0</v>
      </c>
    </row>
    <row r="152" spans="1:24" x14ac:dyDescent="0.2">
      <c r="A152" s="39" t="s">
        <v>30</v>
      </c>
      <c r="B152" s="62" t="s">
        <v>159</v>
      </c>
      <c r="C152" s="63">
        <v>750000</v>
      </c>
      <c r="D152" s="60" t="s">
        <v>140</v>
      </c>
      <c r="E152" s="60">
        <v>23</v>
      </c>
      <c r="F152" s="60" t="s">
        <v>141</v>
      </c>
      <c r="G152" s="58">
        <v>4</v>
      </c>
      <c r="H152" s="64">
        <v>4</v>
      </c>
      <c r="I152" s="64">
        <f>Table1[[#This Row],[laatste 5 wed.]]/Table1[[#This Row],['#punten]]*100</f>
        <v>100</v>
      </c>
      <c r="J152" s="60">
        <v>4</v>
      </c>
      <c r="K152" s="60">
        <v>4</v>
      </c>
      <c r="L152" s="60">
        <v>351</v>
      </c>
      <c r="M152" s="60">
        <v>351</v>
      </c>
      <c r="N152" s="60">
        <f>Table1[[#This Row],[Min laatste 5]]/Table1[[#This Row],['#minuten]]*100</f>
        <v>100</v>
      </c>
      <c r="O152" s="60">
        <v>0</v>
      </c>
      <c r="P152" s="60">
        <v>0</v>
      </c>
      <c r="Q152" s="64">
        <v>1</v>
      </c>
      <c r="R152" s="60">
        <v>0</v>
      </c>
      <c r="S152" s="60">
        <v>0</v>
      </c>
      <c r="T152" s="59">
        <f>ROUND(Table1[[#This Row],['#punten]]/Table1[[#This Row],['#Wed]],1)</f>
        <v>1</v>
      </c>
      <c r="U152" s="58">
        <f>ROUND(Table1[[#This Row],['#punten]]/Table1[[#This Row],['#minuten]],2)</f>
        <v>0.01</v>
      </c>
      <c r="V152" s="60">
        <f>ROUND((Table1[[#This Row],['#punten]]/(Table1[[#This Row],['#minuten]]/90)),2)</f>
        <v>1.03</v>
      </c>
      <c r="W152" s="60">
        <f>ROUND(Table1[[#This Row],[Prijs]]/Table1[[#This Row],['#punten]],0)</f>
        <v>187500</v>
      </c>
      <c r="X152" s="61">
        <f>ROUND((Table1[[#This Row],[Goals]]+Table1[[#This Row],[Asissts]])/(Table1[[#This Row],['#minuten]]/90),2)</f>
        <v>0</v>
      </c>
    </row>
    <row r="153" spans="1:24" x14ac:dyDescent="0.2">
      <c r="A153" s="39" t="s">
        <v>29</v>
      </c>
      <c r="B153" s="28" t="s">
        <v>44</v>
      </c>
      <c r="C153" s="29">
        <v>500000</v>
      </c>
      <c r="D153" s="30" t="s">
        <v>140</v>
      </c>
      <c r="E153" s="30">
        <v>21</v>
      </c>
      <c r="F153" s="30" t="s">
        <v>141</v>
      </c>
      <c r="G153" s="31">
        <v>44</v>
      </c>
      <c r="H153" s="32">
        <v>44</v>
      </c>
      <c r="I153" s="32">
        <f>Table1[[#This Row],[laatste 5 wed.]]/Table1[[#This Row],['#punten]]*100</f>
        <v>100</v>
      </c>
      <c r="J153" s="30">
        <v>2</v>
      </c>
      <c r="K153" s="30">
        <v>2</v>
      </c>
      <c r="L153" s="30">
        <v>155</v>
      </c>
      <c r="M153" s="30">
        <v>155</v>
      </c>
      <c r="N153" s="30">
        <f>Table1[[#This Row],[Min laatste 5]]/Table1[[#This Row],['#minuten]]*100</f>
        <v>100</v>
      </c>
      <c r="O153" s="30">
        <v>0</v>
      </c>
      <c r="P153" s="30">
        <v>0</v>
      </c>
      <c r="Q153" s="32">
        <v>0</v>
      </c>
      <c r="R153" s="30">
        <v>0</v>
      </c>
      <c r="S153" s="30">
        <v>0</v>
      </c>
      <c r="T153" s="33">
        <f>ROUND(Table1[[#This Row],['#punten]]/Table1[[#This Row],['#Wed]],1)</f>
        <v>22</v>
      </c>
      <c r="U153" s="31">
        <f>ROUND(Table1[[#This Row],['#punten]]/Table1[[#This Row],['#minuten]],2)</f>
        <v>0.28000000000000003</v>
      </c>
      <c r="V153" s="30">
        <f>ROUND((Table1[[#This Row],['#punten]]/(Table1[[#This Row],['#minuten]]/90)),2)</f>
        <v>25.55</v>
      </c>
      <c r="W153" s="30">
        <f>ROUND(Table1[[#This Row],[Prijs]]/Table1[[#This Row],['#punten]],0)</f>
        <v>11364</v>
      </c>
      <c r="X153" s="34">
        <f>ROUND((Table1[[#This Row],[Goals]]+Table1[[#This Row],[Asissts]])/(Table1[[#This Row],['#minuten]]/90),2)</f>
        <v>0</v>
      </c>
    </row>
    <row r="154" spans="1:24" x14ac:dyDescent="0.2">
      <c r="A154" s="39" t="s">
        <v>384</v>
      </c>
      <c r="B154" s="51" t="s">
        <v>51</v>
      </c>
      <c r="C154" s="52">
        <v>500000</v>
      </c>
      <c r="D154" s="53" t="s">
        <v>140</v>
      </c>
      <c r="E154" s="53">
        <v>19</v>
      </c>
      <c r="F154" s="53" t="s">
        <v>141</v>
      </c>
      <c r="G154" s="54">
        <v>16</v>
      </c>
      <c r="H154" s="55">
        <v>16</v>
      </c>
      <c r="I154" s="55">
        <f>Table1[[#This Row],[laatste 5 wed.]]/Table1[[#This Row],['#punten]]*100</f>
        <v>100</v>
      </c>
      <c r="J154" s="53">
        <v>1</v>
      </c>
      <c r="K154" s="53">
        <v>1</v>
      </c>
      <c r="L154" s="53">
        <v>69</v>
      </c>
      <c r="M154" s="53">
        <v>69</v>
      </c>
      <c r="N154" s="53">
        <f>Table1[[#This Row],[Min laatste 5]]/Table1[[#This Row],['#minuten]]*100</f>
        <v>100</v>
      </c>
      <c r="O154" s="53">
        <v>0</v>
      </c>
      <c r="P154" s="53">
        <v>0</v>
      </c>
      <c r="Q154" s="55">
        <v>0</v>
      </c>
      <c r="R154" s="53">
        <v>0</v>
      </c>
      <c r="S154" s="53">
        <v>0</v>
      </c>
      <c r="T154" s="56">
        <f>ROUND(Table1[[#This Row],['#punten]]/Table1[[#This Row],['#Wed]],1)</f>
        <v>16</v>
      </c>
      <c r="U154" s="54">
        <f>ROUND(Table1[[#This Row],['#punten]]/Table1[[#This Row],['#minuten]],2)</f>
        <v>0.23</v>
      </c>
      <c r="V154" s="53">
        <f>ROUND((Table1[[#This Row],['#punten]]/(Table1[[#This Row],['#minuten]]/90)),2)</f>
        <v>20.87</v>
      </c>
      <c r="W154" s="53">
        <f>ROUND(Table1[[#This Row],[Prijs]]/Table1[[#This Row],['#punten]],0)</f>
        <v>31250</v>
      </c>
      <c r="X154" s="57">
        <f>ROUND((Table1[[#This Row],[Goals]]+Table1[[#This Row],[Asissts]])/(Table1[[#This Row],['#minuten]]/90),2)</f>
        <v>0</v>
      </c>
    </row>
    <row r="155" spans="1:24" x14ac:dyDescent="0.2">
      <c r="A155" s="39" t="s">
        <v>359</v>
      </c>
      <c r="B155" s="62" t="s">
        <v>159</v>
      </c>
      <c r="C155" s="63">
        <v>500000</v>
      </c>
      <c r="D155" s="60" t="s">
        <v>140</v>
      </c>
      <c r="E155" s="60">
        <v>20</v>
      </c>
      <c r="F155" s="60" t="s">
        <v>141</v>
      </c>
      <c r="G155" s="58">
        <v>8</v>
      </c>
      <c r="H155" s="64">
        <v>8</v>
      </c>
      <c r="I155" s="64">
        <f>Table1[[#This Row],[laatste 5 wed.]]/Table1[[#This Row],['#punten]]*100</f>
        <v>100</v>
      </c>
      <c r="J155" s="60">
        <v>3</v>
      </c>
      <c r="K155" s="60">
        <v>0</v>
      </c>
      <c r="L155" s="60">
        <v>110</v>
      </c>
      <c r="M155" s="60">
        <v>110</v>
      </c>
      <c r="N155" s="60">
        <f>Table1[[#This Row],[Min laatste 5]]/Table1[[#This Row],['#minuten]]*100</f>
        <v>100</v>
      </c>
      <c r="O155" s="60">
        <v>0</v>
      </c>
      <c r="P155" s="60">
        <v>0</v>
      </c>
      <c r="Q155" s="64">
        <v>0</v>
      </c>
      <c r="R155" s="60">
        <v>0</v>
      </c>
      <c r="S155" s="60">
        <v>0</v>
      </c>
      <c r="T155" s="59">
        <f>ROUND(Table1[[#This Row],['#punten]]/Table1[[#This Row],['#Wed]],1)</f>
        <v>2.7</v>
      </c>
      <c r="U155" s="58">
        <f>ROUND(Table1[[#This Row],['#punten]]/Table1[[#This Row],['#minuten]],2)</f>
        <v>7.0000000000000007E-2</v>
      </c>
      <c r="V155" s="60">
        <f>ROUND((Table1[[#This Row],['#punten]]/(Table1[[#This Row],['#minuten]]/90)),2)</f>
        <v>6.55</v>
      </c>
      <c r="W155" s="60">
        <f>ROUND(Table1[[#This Row],[Prijs]]/Table1[[#This Row],['#punten]],0)</f>
        <v>62500</v>
      </c>
      <c r="X155" s="61">
        <f>ROUND((Table1[[#This Row],[Goals]]+Table1[[#This Row],[Asissts]])/(Table1[[#This Row],['#minuten]]/90),2)</f>
        <v>0</v>
      </c>
    </row>
    <row r="156" spans="1:24" x14ac:dyDescent="0.2">
      <c r="A156" s="6" t="s">
        <v>382</v>
      </c>
      <c r="B156" s="51" t="s">
        <v>317</v>
      </c>
      <c r="C156" s="52">
        <v>2000000</v>
      </c>
      <c r="D156" s="53" t="s">
        <v>203</v>
      </c>
      <c r="E156" s="53">
        <v>20</v>
      </c>
      <c r="F156" s="53" t="s">
        <v>141</v>
      </c>
      <c r="G156" s="54">
        <v>120</v>
      </c>
      <c r="H156" s="55">
        <v>120</v>
      </c>
      <c r="I156" s="55">
        <f>Table1[[#This Row],[laatste 5 wed.]]/Table1[[#This Row],['#punten]]*100</f>
        <v>100</v>
      </c>
      <c r="J156" s="53">
        <v>2</v>
      </c>
      <c r="K156" s="53">
        <v>1</v>
      </c>
      <c r="L156" s="53">
        <v>121</v>
      </c>
      <c r="M156" s="53">
        <v>121</v>
      </c>
      <c r="N156" s="53">
        <f>Table1[[#This Row],[Min laatste 5]]/Table1[[#This Row],['#minuten]]*100</f>
        <v>100</v>
      </c>
      <c r="O156" s="53">
        <v>1</v>
      </c>
      <c r="P156" s="53">
        <v>0</v>
      </c>
      <c r="Q156" s="55">
        <v>0</v>
      </c>
      <c r="R156" s="53">
        <v>0</v>
      </c>
      <c r="S156" s="53">
        <v>0</v>
      </c>
      <c r="T156" s="56">
        <f>ROUND(Table1[[#This Row],['#punten]]/Table1[[#This Row],['#Wed]],1)</f>
        <v>60</v>
      </c>
      <c r="U156" s="54">
        <f>ROUND(Table1[[#This Row],['#punten]]/Table1[[#This Row],['#minuten]],2)</f>
        <v>0.99</v>
      </c>
      <c r="V156" s="53">
        <f>ROUND((Table1[[#This Row],['#punten]]/(Table1[[#This Row],['#minuten]]/90)),2)</f>
        <v>89.26</v>
      </c>
      <c r="W156" s="53">
        <f>ROUND(Table1[[#This Row],[Prijs]]/Table1[[#This Row],['#punten]],0)</f>
        <v>16667</v>
      </c>
      <c r="X156" s="57">
        <f>ROUND((Table1[[#This Row],[Goals]]+Table1[[#This Row],[Asissts]])/(Table1[[#This Row],['#minuten]]/90),2)</f>
        <v>0.74</v>
      </c>
    </row>
    <row r="157" spans="1:24" x14ac:dyDescent="0.2">
      <c r="A157" s="6" t="s">
        <v>221</v>
      </c>
      <c r="B157" s="51" t="s">
        <v>39</v>
      </c>
      <c r="C157" s="52">
        <v>1500000</v>
      </c>
      <c r="D157" s="53" t="s">
        <v>203</v>
      </c>
      <c r="E157" s="53">
        <v>29</v>
      </c>
      <c r="F157" s="53" t="s">
        <v>141</v>
      </c>
      <c r="G157" s="54">
        <v>240</v>
      </c>
      <c r="H157" s="55">
        <v>240</v>
      </c>
      <c r="I157" s="55">
        <f>Table1[[#This Row],[laatste 5 wed.]]/Table1[[#This Row],['#punten]]*100</f>
        <v>100</v>
      </c>
      <c r="J157" s="53">
        <v>3</v>
      </c>
      <c r="K157" s="53">
        <v>3</v>
      </c>
      <c r="L157" s="53">
        <v>270</v>
      </c>
      <c r="M157" s="53">
        <v>270</v>
      </c>
      <c r="N157" s="53">
        <f>Table1[[#This Row],[Min laatste 5]]/Table1[[#This Row],['#minuten]]*100</f>
        <v>100</v>
      </c>
      <c r="O157" s="53">
        <v>2</v>
      </c>
      <c r="P157" s="53">
        <v>0</v>
      </c>
      <c r="Q157" s="55">
        <v>1</v>
      </c>
      <c r="R157" s="53">
        <v>0</v>
      </c>
      <c r="S157" s="53">
        <v>0</v>
      </c>
      <c r="T157" s="56">
        <f>ROUND(Table1[[#This Row],['#punten]]/Table1[[#This Row],['#Wed]],1)</f>
        <v>80</v>
      </c>
      <c r="U157" s="54">
        <f>ROUND(Table1[[#This Row],['#punten]]/Table1[[#This Row],['#minuten]],2)</f>
        <v>0.89</v>
      </c>
      <c r="V157" s="53">
        <f>ROUND((Table1[[#This Row],['#punten]]/(Table1[[#This Row],['#minuten]]/90)),2)</f>
        <v>80</v>
      </c>
      <c r="W157" s="53">
        <f>ROUND(Table1[[#This Row],[Prijs]]/Table1[[#This Row],['#punten]],0)</f>
        <v>6250</v>
      </c>
      <c r="X157" s="57">
        <f>ROUND((Table1[[#This Row],[Goals]]+Table1[[#This Row],[Asissts]])/(Table1[[#This Row],['#minuten]]/90),2)</f>
        <v>0.67</v>
      </c>
    </row>
    <row r="158" spans="1:24" x14ac:dyDescent="0.2">
      <c r="A158" s="6" t="s">
        <v>22</v>
      </c>
      <c r="B158" s="51" t="s">
        <v>10</v>
      </c>
      <c r="C158" s="52">
        <v>1500000</v>
      </c>
      <c r="D158" s="53" t="s">
        <v>203</v>
      </c>
      <c r="E158" s="53">
        <v>22</v>
      </c>
      <c r="F158" s="53" t="s">
        <v>141</v>
      </c>
      <c r="G158" s="54">
        <v>48</v>
      </c>
      <c r="H158" s="55">
        <v>48</v>
      </c>
      <c r="I158" s="55">
        <f>Table1[[#This Row],[laatste 5 wed.]]/Table1[[#This Row],['#punten]]*100</f>
        <v>100</v>
      </c>
      <c r="J158" s="53">
        <v>2</v>
      </c>
      <c r="K158" s="53">
        <v>2</v>
      </c>
      <c r="L158" s="53">
        <v>154</v>
      </c>
      <c r="M158" s="53">
        <v>154</v>
      </c>
      <c r="N158" s="53">
        <f>Table1[[#This Row],[Min laatste 5]]/Table1[[#This Row],['#minuten]]*100</f>
        <v>100</v>
      </c>
      <c r="O158" s="53">
        <v>0</v>
      </c>
      <c r="P158" s="53">
        <v>1</v>
      </c>
      <c r="Q158" s="55">
        <v>0</v>
      </c>
      <c r="R158" s="53">
        <v>0</v>
      </c>
      <c r="S158" s="53">
        <v>0</v>
      </c>
      <c r="T158" s="56">
        <f>ROUND(Table1[[#This Row],['#punten]]/Table1[[#This Row],['#Wed]],1)</f>
        <v>24</v>
      </c>
      <c r="U158" s="54">
        <f>ROUND(Table1[[#This Row],['#punten]]/Table1[[#This Row],['#minuten]],2)</f>
        <v>0.31</v>
      </c>
      <c r="V158" s="53">
        <f>ROUND((Table1[[#This Row],['#punten]]/(Table1[[#This Row],['#minuten]]/90)),2)</f>
        <v>28.05</v>
      </c>
      <c r="W158" s="53">
        <f>ROUND(Table1[[#This Row],[Prijs]]/Table1[[#This Row],['#punten]],0)</f>
        <v>31250</v>
      </c>
      <c r="X158" s="57">
        <f>ROUND((Table1[[#This Row],[Goals]]+Table1[[#This Row],[Asissts]])/(Table1[[#This Row],['#minuten]]/90),2)</f>
        <v>0.57999999999999996</v>
      </c>
    </row>
    <row r="159" spans="1:24" x14ac:dyDescent="0.2">
      <c r="A159" s="6" t="s">
        <v>207</v>
      </c>
      <c r="B159" s="62" t="s">
        <v>45</v>
      </c>
      <c r="C159" s="63">
        <v>3000000</v>
      </c>
      <c r="D159" s="60" t="s">
        <v>203</v>
      </c>
      <c r="E159" s="60">
        <v>31</v>
      </c>
      <c r="F159" s="60" t="s">
        <v>182</v>
      </c>
      <c r="G159" s="58">
        <v>174</v>
      </c>
      <c r="H159" s="64">
        <v>174</v>
      </c>
      <c r="I159" s="64">
        <f>Table1[[#This Row],[laatste 5 wed.]]/Table1[[#This Row],['#punten]]*100</f>
        <v>100</v>
      </c>
      <c r="J159" s="60">
        <v>3</v>
      </c>
      <c r="K159" s="60">
        <v>2</v>
      </c>
      <c r="L159" s="60">
        <v>177</v>
      </c>
      <c r="M159" s="60">
        <v>177</v>
      </c>
      <c r="N159" s="60">
        <f>Table1[[#This Row],[Min laatste 5]]/Table1[[#This Row],['#minuten]]*100</f>
        <v>100</v>
      </c>
      <c r="O159" s="60">
        <v>0</v>
      </c>
      <c r="P159" s="60">
        <v>1</v>
      </c>
      <c r="Q159" s="64">
        <v>0</v>
      </c>
      <c r="R159" s="60">
        <v>0</v>
      </c>
      <c r="S159" s="60">
        <v>0</v>
      </c>
      <c r="T159" s="59">
        <f>ROUND(Table1[[#This Row],['#punten]]/Table1[[#This Row],['#Wed]],1)</f>
        <v>58</v>
      </c>
      <c r="U159" s="58">
        <f>ROUND(Table1[[#This Row],['#punten]]/Table1[[#This Row],['#minuten]],2)</f>
        <v>0.98</v>
      </c>
      <c r="V159" s="60">
        <f>ROUND((Table1[[#This Row],['#punten]]/(Table1[[#This Row],['#minuten]]/90)),2)</f>
        <v>88.47</v>
      </c>
      <c r="W159" s="60">
        <f>ROUND(Table1[[#This Row],[Prijs]]/Table1[[#This Row],['#punten]],0)</f>
        <v>17241</v>
      </c>
      <c r="X159" s="61">
        <f>ROUND((Table1[[#This Row],[Goals]]+Table1[[#This Row],[Asissts]])/(Table1[[#This Row],['#minuten]]/90),2)</f>
        <v>0.51</v>
      </c>
    </row>
    <row r="160" spans="1:24" x14ac:dyDescent="0.2">
      <c r="A160" s="6" t="s">
        <v>155</v>
      </c>
      <c r="B160" s="62" t="s">
        <v>43</v>
      </c>
      <c r="C160" s="63">
        <v>3000000</v>
      </c>
      <c r="D160" s="60" t="s">
        <v>203</v>
      </c>
      <c r="E160" s="60">
        <v>24</v>
      </c>
      <c r="F160" s="60" t="s">
        <v>153</v>
      </c>
      <c r="G160" s="58">
        <v>168</v>
      </c>
      <c r="H160" s="64">
        <v>168</v>
      </c>
      <c r="I160" s="64">
        <f>Table1[[#This Row],[laatste 5 wed.]]/Table1[[#This Row],['#punten]]*100</f>
        <v>100</v>
      </c>
      <c r="J160" s="60">
        <v>2</v>
      </c>
      <c r="K160" s="60">
        <v>2</v>
      </c>
      <c r="L160" s="60">
        <v>179</v>
      </c>
      <c r="M160" s="60">
        <v>179</v>
      </c>
      <c r="N160" s="60">
        <f>Table1[[#This Row],[Min laatste 5]]/Table1[[#This Row],['#minuten]]*100</f>
        <v>100</v>
      </c>
      <c r="O160" s="60">
        <v>1</v>
      </c>
      <c r="P160" s="60">
        <v>0</v>
      </c>
      <c r="Q160" s="64">
        <v>0</v>
      </c>
      <c r="R160" s="60">
        <v>0</v>
      </c>
      <c r="S160" s="60">
        <v>0</v>
      </c>
      <c r="T160" s="59">
        <f>ROUND(Table1[[#This Row],['#punten]]/Table1[[#This Row],['#Wed]],1)</f>
        <v>84</v>
      </c>
      <c r="U160" s="58">
        <f>ROUND(Table1[[#This Row],['#punten]]/Table1[[#This Row],['#minuten]],2)</f>
        <v>0.94</v>
      </c>
      <c r="V160" s="60">
        <f>ROUND((Table1[[#This Row],['#punten]]/(Table1[[#This Row],['#minuten]]/90)),2)</f>
        <v>84.47</v>
      </c>
      <c r="W160" s="60">
        <f>ROUND(Table1[[#This Row],[Prijs]]/Table1[[#This Row],['#punten]],0)</f>
        <v>17857</v>
      </c>
      <c r="X160" s="61">
        <f>ROUND((Table1[[#This Row],[Goals]]+Table1[[#This Row],[Asissts]])/(Table1[[#This Row],['#minuten]]/90),2)</f>
        <v>0.5</v>
      </c>
    </row>
    <row r="161" spans="1:24" x14ac:dyDescent="0.2">
      <c r="A161" s="6" t="s">
        <v>225</v>
      </c>
      <c r="B161" s="62" t="s">
        <v>48</v>
      </c>
      <c r="C161" s="63">
        <v>2000000</v>
      </c>
      <c r="D161" s="60" t="s">
        <v>203</v>
      </c>
      <c r="E161" s="60">
        <v>27</v>
      </c>
      <c r="F161" s="60" t="s">
        <v>226</v>
      </c>
      <c r="G161" s="58">
        <v>372</v>
      </c>
      <c r="H161" s="64">
        <v>372</v>
      </c>
      <c r="I161" s="64">
        <f>Table1[[#This Row],[laatste 5 wed.]]/Table1[[#This Row],['#punten]]*100</f>
        <v>100</v>
      </c>
      <c r="J161" s="60">
        <v>4</v>
      </c>
      <c r="K161" s="60">
        <v>4</v>
      </c>
      <c r="L161" s="60">
        <v>360</v>
      </c>
      <c r="M161" s="60">
        <v>360</v>
      </c>
      <c r="N161" s="60">
        <f>Table1[[#This Row],[Min laatste 5]]/Table1[[#This Row],['#minuten]]*100</f>
        <v>100</v>
      </c>
      <c r="O161" s="60">
        <v>2</v>
      </c>
      <c r="P161" s="60">
        <v>0</v>
      </c>
      <c r="Q161" s="64">
        <v>0</v>
      </c>
      <c r="R161" s="60">
        <v>0</v>
      </c>
      <c r="S161" s="60">
        <v>1</v>
      </c>
      <c r="T161" s="59">
        <f>ROUND(Table1[[#This Row],['#punten]]/Table1[[#This Row],['#Wed]],1)</f>
        <v>93</v>
      </c>
      <c r="U161" s="58">
        <f>ROUND(Table1[[#This Row],['#punten]]/Table1[[#This Row],['#minuten]],2)</f>
        <v>1.03</v>
      </c>
      <c r="V161" s="60">
        <f>ROUND((Table1[[#This Row],['#punten]]/(Table1[[#This Row],['#minuten]]/90)),2)</f>
        <v>93</v>
      </c>
      <c r="W161" s="60">
        <f>ROUND(Table1[[#This Row],[Prijs]]/Table1[[#This Row],['#punten]],0)</f>
        <v>5376</v>
      </c>
      <c r="X161" s="61">
        <f>ROUND((Table1[[#This Row],[Goals]]+Table1[[#This Row],[Asissts]])/(Table1[[#This Row],['#minuten]]/90),2)</f>
        <v>0.5</v>
      </c>
    </row>
    <row r="162" spans="1:24" x14ac:dyDescent="0.2">
      <c r="A162" s="6" t="s">
        <v>184</v>
      </c>
      <c r="B162" s="62" t="s">
        <v>44</v>
      </c>
      <c r="C162" s="63">
        <v>750000</v>
      </c>
      <c r="D162" s="60" t="s">
        <v>203</v>
      </c>
      <c r="E162" s="60">
        <v>21</v>
      </c>
      <c r="F162" s="60" t="s">
        <v>160</v>
      </c>
      <c r="G162" s="58">
        <v>150</v>
      </c>
      <c r="H162" s="64">
        <v>150</v>
      </c>
      <c r="I162" s="64">
        <f>Table1[[#This Row],[laatste 5 wed.]]/Table1[[#This Row],['#punten]]*100</f>
        <v>100</v>
      </c>
      <c r="J162" s="60">
        <v>4</v>
      </c>
      <c r="K162" s="60">
        <v>4</v>
      </c>
      <c r="L162" s="60">
        <v>360</v>
      </c>
      <c r="M162" s="60">
        <v>360</v>
      </c>
      <c r="N162" s="60">
        <f>Table1[[#This Row],[Min laatste 5]]/Table1[[#This Row],['#minuten]]*100</f>
        <v>100</v>
      </c>
      <c r="O162" s="60">
        <v>0</v>
      </c>
      <c r="P162" s="60">
        <v>2</v>
      </c>
      <c r="Q162" s="64">
        <v>1</v>
      </c>
      <c r="R162" s="60">
        <v>0</v>
      </c>
      <c r="S162" s="60">
        <v>0</v>
      </c>
      <c r="T162" s="59">
        <f>ROUND(Table1[[#This Row],['#punten]]/Table1[[#This Row],['#Wed]],1)</f>
        <v>37.5</v>
      </c>
      <c r="U162" s="58">
        <f>ROUND(Table1[[#This Row],['#punten]]/Table1[[#This Row],['#minuten]],2)</f>
        <v>0.42</v>
      </c>
      <c r="V162" s="60">
        <f>ROUND((Table1[[#This Row],['#punten]]/(Table1[[#This Row],['#minuten]]/90)),2)</f>
        <v>37.5</v>
      </c>
      <c r="W162" s="60">
        <f>ROUND(Table1[[#This Row],[Prijs]]/Table1[[#This Row],['#punten]],0)</f>
        <v>5000</v>
      </c>
      <c r="X162" s="61">
        <f>ROUND((Table1[[#This Row],[Goals]]+Table1[[#This Row],[Asissts]])/(Table1[[#This Row],['#minuten]]/90),2)</f>
        <v>0.5</v>
      </c>
    </row>
    <row r="163" spans="1:24" x14ac:dyDescent="0.2">
      <c r="A163" s="6" t="s">
        <v>309</v>
      </c>
      <c r="B163" s="51" t="s">
        <v>49</v>
      </c>
      <c r="C163" s="52">
        <v>2500000</v>
      </c>
      <c r="D163" s="53" t="s">
        <v>203</v>
      </c>
      <c r="E163" s="53">
        <v>29</v>
      </c>
      <c r="F163" s="53" t="s">
        <v>141</v>
      </c>
      <c r="G163" s="54">
        <v>306</v>
      </c>
      <c r="H163" s="55">
        <v>306</v>
      </c>
      <c r="I163" s="55">
        <f>Table1[[#This Row],[laatste 5 wed.]]/Table1[[#This Row],['#punten]]*100</f>
        <v>100</v>
      </c>
      <c r="J163" s="53">
        <v>3</v>
      </c>
      <c r="K163" s="53">
        <v>3</v>
      </c>
      <c r="L163" s="53">
        <v>247</v>
      </c>
      <c r="M163" s="53">
        <v>247</v>
      </c>
      <c r="N163" s="53">
        <f>Table1[[#This Row],[Min laatste 5]]/Table1[[#This Row],['#minuten]]*100</f>
        <v>100</v>
      </c>
      <c r="O163" s="53">
        <v>1</v>
      </c>
      <c r="P163" s="53">
        <v>0</v>
      </c>
      <c r="Q163" s="55">
        <v>0</v>
      </c>
      <c r="R163" s="53">
        <v>0</v>
      </c>
      <c r="S163" s="53">
        <v>1</v>
      </c>
      <c r="T163" s="56">
        <f>ROUND(Table1[[#This Row],['#punten]]/Table1[[#This Row],['#Wed]],1)</f>
        <v>102</v>
      </c>
      <c r="U163" s="54">
        <f>ROUND(Table1[[#This Row],['#punten]]/Table1[[#This Row],['#minuten]],2)</f>
        <v>1.24</v>
      </c>
      <c r="V163" s="53">
        <f>ROUND((Table1[[#This Row],['#punten]]/(Table1[[#This Row],['#minuten]]/90)),2)</f>
        <v>111.5</v>
      </c>
      <c r="W163" s="53">
        <f>ROUND(Table1[[#This Row],[Prijs]]/Table1[[#This Row],['#punten]],0)</f>
        <v>8170</v>
      </c>
      <c r="X163" s="57">
        <f>ROUND((Table1[[#This Row],[Goals]]+Table1[[#This Row],[Asissts]])/(Table1[[#This Row],['#minuten]]/90),2)</f>
        <v>0.36</v>
      </c>
    </row>
    <row r="164" spans="1:24" x14ac:dyDescent="0.2">
      <c r="A164" s="6" t="s">
        <v>332</v>
      </c>
      <c r="B164" s="51" t="s">
        <v>50</v>
      </c>
      <c r="C164" s="52">
        <v>2000000</v>
      </c>
      <c r="D164" s="53" t="s">
        <v>203</v>
      </c>
      <c r="E164" s="53">
        <v>27</v>
      </c>
      <c r="F164" s="53" t="s">
        <v>333</v>
      </c>
      <c r="G164" s="54">
        <v>102</v>
      </c>
      <c r="H164" s="55">
        <v>102</v>
      </c>
      <c r="I164" s="55">
        <f>Table1[[#This Row],[laatste 5 wed.]]/Table1[[#This Row],['#punten]]*100</f>
        <v>100</v>
      </c>
      <c r="J164" s="53">
        <v>3</v>
      </c>
      <c r="K164" s="53">
        <v>3</v>
      </c>
      <c r="L164" s="53">
        <v>262</v>
      </c>
      <c r="M164" s="53">
        <v>262</v>
      </c>
      <c r="N164" s="53">
        <f>Table1[[#This Row],[Min laatste 5]]/Table1[[#This Row],['#minuten]]*100</f>
        <v>100</v>
      </c>
      <c r="O164" s="53">
        <v>0</v>
      </c>
      <c r="P164" s="53">
        <v>1</v>
      </c>
      <c r="Q164" s="55">
        <v>1</v>
      </c>
      <c r="R164" s="53">
        <v>0</v>
      </c>
      <c r="S164" s="53">
        <v>0</v>
      </c>
      <c r="T164" s="56">
        <f>ROUND(Table1[[#This Row],['#punten]]/Table1[[#This Row],['#Wed]],1)</f>
        <v>34</v>
      </c>
      <c r="U164" s="54">
        <f>ROUND(Table1[[#This Row],['#punten]]/Table1[[#This Row],['#minuten]],2)</f>
        <v>0.39</v>
      </c>
      <c r="V164" s="53">
        <f>ROUND((Table1[[#This Row],['#punten]]/(Table1[[#This Row],['#minuten]]/90)),2)</f>
        <v>35.04</v>
      </c>
      <c r="W164" s="53">
        <f>ROUND(Table1[[#This Row],[Prijs]]/Table1[[#This Row],['#punten]],0)</f>
        <v>19608</v>
      </c>
      <c r="X164" s="57">
        <f>ROUND((Table1[[#This Row],[Goals]]+Table1[[#This Row],[Asissts]])/(Table1[[#This Row],['#minuten]]/90),2)</f>
        <v>0.34</v>
      </c>
    </row>
    <row r="165" spans="1:24" x14ac:dyDescent="0.2">
      <c r="A165" s="6" t="s">
        <v>151</v>
      </c>
      <c r="B165" s="28" t="s">
        <v>43</v>
      </c>
      <c r="C165" s="29">
        <v>3500000</v>
      </c>
      <c r="D165" s="30" t="s">
        <v>203</v>
      </c>
      <c r="E165" s="30">
        <v>17</v>
      </c>
      <c r="F165" s="30" t="s">
        <v>141</v>
      </c>
      <c r="G165" s="31">
        <v>210</v>
      </c>
      <c r="H165" s="32">
        <v>210</v>
      </c>
      <c r="I165" s="32">
        <f>Table1[[#This Row],[laatste 5 wed.]]/Table1[[#This Row],['#punten]]*100</f>
        <v>100</v>
      </c>
      <c r="J165" s="30">
        <v>3</v>
      </c>
      <c r="K165" s="30">
        <v>3</v>
      </c>
      <c r="L165" s="30">
        <v>270</v>
      </c>
      <c r="M165" s="30">
        <v>270</v>
      </c>
      <c r="N165" s="30">
        <f>Table1[[#This Row],[Min laatste 5]]/Table1[[#This Row],['#minuten]]*100</f>
        <v>100</v>
      </c>
      <c r="O165" s="30">
        <v>0</v>
      </c>
      <c r="P165" s="30">
        <v>1</v>
      </c>
      <c r="Q165" s="32">
        <v>0</v>
      </c>
      <c r="R165" s="30">
        <v>0</v>
      </c>
      <c r="S165" s="30">
        <v>1</v>
      </c>
      <c r="T165" s="33">
        <f>ROUND(Table1[[#This Row],['#punten]]/Table1[[#This Row],['#Wed]],1)</f>
        <v>70</v>
      </c>
      <c r="U165" s="31">
        <f>ROUND(Table1[[#This Row],['#punten]]/Table1[[#This Row],['#minuten]],2)</f>
        <v>0.78</v>
      </c>
      <c r="V165" s="30">
        <f>ROUND((Table1[[#This Row],['#punten]]/(Table1[[#This Row],['#minuten]]/90)),2)</f>
        <v>70</v>
      </c>
      <c r="W165" s="30">
        <f>ROUND(Table1[[#This Row],[Prijs]]/Table1[[#This Row],['#punten]],0)</f>
        <v>16667</v>
      </c>
      <c r="X165" s="34">
        <f>ROUND((Table1[[#This Row],[Goals]]+Table1[[#This Row],[Asissts]])/(Table1[[#This Row],['#minuten]]/90),2)</f>
        <v>0.33</v>
      </c>
    </row>
    <row r="166" spans="1:24" x14ac:dyDescent="0.2">
      <c r="A166" s="6" t="s">
        <v>126</v>
      </c>
      <c r="B166" s="51" t="s">
        <v>6</v>
      </c>
      <c r="C166" s="52">
        <v>3000000</v>
      </c>
      <c r="D166" s="53" t="s">
        <v>203</v>
      </c>
      <c r="E166" s="53">
        <v>23</v>
      </c>
      <c r="F166" s="53" t="s">
        <v>177</v>
      </c>
      <c r="G166" s="54">
        <v>258</v>
      </c>
      <c r="H166" s="55">
        <v>258</v>
      </c>
      <c r="I166" s="55">
        <f>Table1[[#This Row],[laatste 5 wed.]]/Table1[[#This Row],['#punten]]*100</f>
        <v>100</v>
      </c>
      <c r="J166" s="53">
        <v>3</v>
      </c>
      <c r="K166" s="53">
        <v>3</v>
      </c>
      <c r="L166" s="53">
        <v>270</v>
      </c>
      <c r="M166" s="53">
        <v>270</v>
      </c>
      <c r="N166" s="53">
        <f>Table1[[#This Row],[Min laatste 5]]/Table1[[#This Row],['#minuten]]*100</f>
        <v>100</v>
      </c>
      <c r="O166" s="53">
        <v>0</v>
      </c>
      <c r="P166" s="53">
        <v>1</v>
      </c>
      <c r="Q166" s="55">
        <v>0</v>
      </c>
      <c r="R166" s="53">
        <v>0</v>
      </c>
      <c r="S166" s="53">
        <v>1</v>
      </c>
      <c r="T166" s="56">
        <f>ROUND(Table1[[#This Row],['#punten]]/Table1[[#This Row],['#Wed]],1)</f>
        <v>86</v>
      </c>
      <c r="U166" s="54">
        <f>ROUND(Table1[[#This Row],['#punten]]/Table1[[#This Row],['#minuten]],2)</f>
        <v>0.96</v>
      </c>
      <c r="V166" s="53">
        <f>ROUND((Table1[[#This Row],['#punten]]/(Table1[[#This Row],['#minuten]]/90)),2)</f>
        <v>86</v>
      </c>
      <c r="W166" s="53">
        <f>ROUND(Table1[[#This Row],[Prijs]]/Table1[[#This Row],['#punten]],0)</f>
        <v>11628</v>
      </c>
      <c r="X166" s="57">
        <f>ROUND((Table1[[#This Row],[Goals]]+Table1[[#This Row],[Asissts]])/(Table1[[#This Row],['#minuten]]/90),2)</f>
        <v>0.33</v>
      </c>
    </row>
    <row r="167" spans="1:24" x14ac:dyDescent="0.2">
      <c r="A167" s="6" t="s">
        <v>220</v>
      </c>
      <c r="B167" s="62" t="s">
        <v>39</v>
      </c>
      <c r="C167" s="63">
        <v>1500000</v>
      </c>
      <c r="D167" s="60" t="s">
        <v>203</v>
      </c>
      <c r="E167" s="60">
        <v>26</v>
      </c>
      <c r="F167" s="60" t="s">
        <v>141</v>
      </c>
      <c r="G167" s="58">
        <v>96</v>
      </c>
      <c r="H167" s="64">
        <v>96</v>
      </c>
      <c r="I167" s="64">
        <f>Table1[[#This Row],[laatste 5 wed.]]/Table1[[#This Row],['#punten]]*100</f>
        <v>100</v>
      </c>
      <c r="J167" s="60">
        <v>3</v>
      </c>
      <c r="K167" s="60">
        <v>3</v>
      </c>
      <c r="L167" s="60">
        <v>270</v>
      </c>
      <c r="M167" s="60">
        <v>270</v>
      </c>
      <c r="N167" s="60">
        <f>Table1[[#This Row],[Min laatste 5]]/Table1[[#This Row],['#minuten]]*100</f>
        <v>100</v>
      </c>
      <c r="O167" s="60">
        <v>0</v>
      </c>
      <c r="P167" s="60">
        <v>1</v>
      </c>
      <c r="Q167" s="64">
        <v>1</v>
      </c>
      <c r="R167" s="60">
        <v>0</v>
      </c>
      <c r="S167" s="60">
        <v>0</v>
      </c>
      <c r="T167" s="59">
        <f>ROUND(Table1[[#This Row],['#punten]]/Table1[[#This Row],['#Wed]],1)</f>
        <v>32</v>
      </c>
      <c r="U167" s="58">
        <f>ROUND(Table1[[#This Row],['#punten]]/Table1[[#This Row],['#minuten]],2)</f>
        <v>0.36</v>
      </c>
      <c r="V167" s="60">
        <f>ROUND((Table1[[#This Row],['#punten]]/(Table1[[#This Row],['#minuten]]/90)),2)</f>
        <v>32</v>
      </c>
      <c r="W167" s="60">
        <f>ROUND(Table1[[#This Row],[Prijs]]/Table1[[#This Row],['#punten]],0)</f>
        <v>15625</v>
      </c>
      <c r="X167" s="61">
        <f>ROUND((Table1[[#This Row],[Goals]]+Table1[[#This Row],[Asissts]])/(Table1[[#This Row],['#minuten]]/90),2)</f>
        <v>0.33</v>
      </c>
    </row>
    <row r="168" spans="1:24" x14ac:dyDescent="0.2">
      <c r="A168" s="6" t="s">
        <v>247</v>
      </c>
      <c r="B168" s="51" t="s">
        <v>239</v>
      </c>
      <c r="C168" s="52">
        <v>1250000</v>
      </c>
      <c r="D168" s="53" t="s">
        <v>203</v>
      </c>
      <c r="E168" s="53">
        <v>25</v>
      </c>
      <c r="F168" s="53" t="s">
        <v>141</v>
      </c>
      <c r="G168" s="54">
        <v>168</v>
      </c>
      <c r="H168" s="55">
        <v>168</v>
      </c>
      <c r="I168" s="55">
        <f>Table1[[#This Row],[laatste 5 wed.]]/Table1[[#This Row],['#punten]]*100</f>
        <v>100</v>
      </c>
      <c r="J168" s="53">
        <v>3</v>
      </c>
      <c r="K168" s="53">
        <v>3</v>
      </c>
      <c r="L168" s="53">
        <v>270</v>
      </c>
      <c r="M168" s="53">
        <v>270</v>
      </c>
      <c r="N168" s="53">
        <f>Table1[[#This Row],[Min laatste 5]]/Table1[[#This Row],['#minuten]]*100</f>
        <v>100</v>
      </c>
      <c r="O168" s="53">
        <v>1</v>
      </c>
      <c r="P168" s="53">
        <v>0</v>
      </c>
      <c r="Q168" s="55">
        <v>1</v>
      </c>
      <c r="R168" s="53">
        <v>0</v>
      </c>
      <c r="S168" s="53">
        <v>0</v>
      </c>
      <c r="T168" s="56">
        <f>ROUND(Table1[[#This Row],['#punten]]/Table1[[#This Row],['#Wed]],1)</f>
        <v>56</v>
      </c>
      <c r="U168" s="54">
        <f>ROUND(Table1[[#This Row],['#punten]]/Table1[[#This Row],['#minuten]],2)</f>
        <v>0.62</v>
      </c>
      <c r="V168" s="53">
        <f>ROUND((Table1[[#This Row],['#punten]]/(Table1[[#This Row],['#minuten]]/90)),2)</f>
        <v>56</v>
      </c>
      <c r="W168" s="53">
        <f>ROUND(Table1[[#This Row],[Prijs]]/Table1[[#This Row],['#punten]],0)</f>
        <v>7440</v>
      </c>
      <c r="X168" s="57">
        <f>ROUND((Table1[[#This Row],[Goals]]+Table1[[#This Row],[Asissts]])/(Table1[[#This Row],['#minuten]]/90),2)</f>
        <v>0.33</v>
      </c>
    </row>
    <row r="169" spans="1:24" x14ac:dyDescent="0.2">
      <c r="A169" s="6" t="s">
        <v>250</v>
      </c>
      <c r="B169" s="62" t="s">
        <v>10</v>
      </c>
      <c r="C169" s="63">
        <v>1500000</v>
      </c>
      <c r="D169" s="60" t="s">
        <v>203</v>
      </c>
      <c r="E169" s="60">
        <v>20</v>
      </c>
      <c r="F169" s="60" t="s">
        <v>141</v>
      </c>
      <c r="G169" s="58">
        <v>90</v>
      </c>
      <c r="H169" s="64">
        <v>90</v>
      </c>
      <c r="I169" s="64">
        <f>Table1[[#This Row],[laatste 5 wed.]]/Table1[[#This Row],['#punten]]*100</f>
        <v>100</v>
      </c>
      <c r="J169" s="60">
        <v>4</v>
      </c>
      <c r="K169" s="60">
        <v>3</v>
      </c>
      <c r="L169" s="60">
        <v>293</v>
      </c>
      <c r="M169" s="60">
        <v>293</v>
      </c>
      <c r="N169" s="60">
        <f>Table1[[#This Row],[Min laatste 5]]/Table1[[#This Row],['#minuten]]*100</f>
        <v>100</v>
      </c>
      <c r="O169" s="60">
        <v>1</v>
      </c>
      <c r="P169" s="60">
        <v>0</v>
      </c>
      <c r="Q169" s="64">
        <v>2</v>
      </c>
      <c r="R169" s="60">
        <v>0</v>
      </c>
      <c r="S169" s="60">
        <v>0</v>
      </c>
      <c r="T169" s="59">
        <f>ROUND(Table1[[#This Row],['#punten]]/Table1[[#This Row],['#Wed]],1)</f>
        <v>22.5</v>
      </c>
      <c r="U169" s="58">
        <f>ROUND(Table1[[#This Row],['#punten]]/Table1[[#This Row],['#minuten]],2)</f>
        <v>0.31</v>
      </c>
      <c r="V169" s="60">
        <f>ROUND((Table1[[#This Row],['#punten]]/(Table1[[#This Row],['#minuten]]/90)),2)</f>
        <v>27.65</v>
      </c>
      <c r="W169" s="60">
        <f>ROUND(Table1[[#This Row],[Prijs]]/Table1[[#This Row],['#punten]],0)</f>
        <v>16667</v>
      </c>
      <c r="X169" s="61">
        <f>ROUND((Table1[[#This Row],[Goals]]+Table1[[#This Row],[Asissts]])/(Table1[[#This Row],['#minuten]]/90),2)</f>
        <v>0.31</v>
      </c>
    </row>
    <row r="170" spans="1:24" x14ac:dyDescent="0.2">
      <c r="A170" s="6" t="s">
        <v>361</v>
      </c>
      <c r="B170" s="62" t="s">
        <v>44</v>
      </c>
      <c r="C170" s="63">
        <v>1000000</v>
      </c>
      <c r="D170" s="60" t="s">
        <v>203</v>
      </c>
      <c r="E170" s="60">
        <v>25</v>
      </c>
      <c r="F170" s="60" t="s">
        <v>167</v>
      </c>
      <c r="G170" s="58">
        <v>174</v>
      </c>
      <c r="H170" s="64">
        <v>174</v>
      </c>
      <c r="I170" s="64">
        <f>Table1[[#This Row],[laatste 5 wed.]]/Table1[[#This Row],['#punten]]*100</f>
        <v>100</v>
      </c>
      <c r="J170" s="60">
        <v>4</v>
      </c>
      <c r="K170" s="60">
        <v>4</v>
      </c>
      <c r="L170" s="60">
        <v>343</v>
      </c>
      <c r="M170" s="60">
        <v>343</v>
      </c>
      <c r="N170" s="60">
        <f>Table1[[#This Row],[Min laatste 5]]/Table1[[#This Row],['#minuten]]*100</f>
        <v>100</v>
      </c>
      <c r="O170" s="60">
        <v>1</v>
      </c>
      <c r="P170" s="60">
        <v>0</v>
      </c>
      <c r="Q170" s="64">
        <v>0</v>
      </c>
      <c r="R170" s="60">
        <v>0</v>
      </c>
      <c r="S170" s="60">
        <v>0</v>
      </c>
      <c r="T170" s="59">
        <f>ROUND(Table1[[#This Row],['#punten]]/Table1[[#This Row],['#Wed]],1)</f>
        <v>43.5</v>
      </c>
      <c r="U170" s="58">
        <f>ROUND(Table1[[#This Row],['#punten]]/Table1[[#This Row],['#minuten]],2)</f>
        <v>0.51</v>
      </c>
      <c r="V170" s="60">
        <f>ROUND((Table1[[#This Row],['#punten]]/(Table1[[#This Row],['#minuten]]/90)),2)</f>
        <v>45.66</v>
      </c>
      <c r="W170" s="60">
        <f>ROUND(Table1[[#This Row],[Prijs]]/Table1[[#This Row],['#punten]],0)</f>
        <v>5747</v>
      </c>
      <c r="X170" s="61">
        <f>ROUND((Table1[[#This Row],[Goals]]+Table1[[#This Row],[Asissts]])/(Table1[[#This Row],['#minuten]]/90),2)</f>
        <v>0.26</v>
      </c>
    </row>
    <row r="171" spans="1:24" x14ac:dyDescent="0.2">
      <c r="A171" s="6" t="s">
        <v>204</v>
      </c>
      <c r="B171" s="51" t="s">
        <v>45</v>
      </c>
      <c r="C171" s="52">
        <v>3500000</v>
      </c>
      <c r="D171" s="53" t="s">
        <v>203</v>
      </c>
      <c r="E171" s="53">
        <v>23</v>
      </c>
      <c r="F171" s="53" t="s">
        <v>141</v>
      </c>
      <c r="G171" s="54">
        <v>312</v>
      </c>
      <c r="H171" s="55">
        <v>312</v>
      </c>
      <c r="I171" s="55">
        <f>Table1[[#This Row],[laatste 5 wed.]]/Table1[[#This Row],['#punten]]*100</f>
        <v>100</v>
      </c>
      <c r="J171" s="53">
        <v>4</v>
      </c>
      <c r="K171" s="53">
        <v>4</v>
      </c>
      <c r="L171" s="53">
        <v>360</v>
      </c>
      <c r="M171" s="53">
        <v>360</v>
      </c>
      <c r="N171" s="53">
        <f>Table1[[#This Row],[Min laatste 5]]/Table1[[#This Row],['#minuten]]*100</f>
        <v>100</v>
      </c>
      <c r="O171" s="53">
        <v>1</v>
      </c>
      <c r="P171" s="53">
        <v>0</v>
      </c>
      <c r="Q171" s="55">
        <v>0</v>
      </c>
      <c r="R171" s="53">
        <v>0</v>
      </c>
      <c r="S171" s="53">
        <v>1</v>
      </c>
      <c r="T171" s="56">
        <f>ROUND(Table1[[#This Row],['#punten]]/Table1[[#This Row],['#Wed]],1)</f>
        <v>78</v>
      </c>
      <c r="U171" s="54">
        <f>ROUND(Table1[[#This Row],['#punten]]/Table1[[#This Row],['#minuten]],2)</f>
        <v>0.87</v>
      </c>
      <c r="V171" s="53">
        <f>ROUND((Table1[[#This Row],['#punten]]/(Table1[[#This Row],['#minuten]]/90)),2)</f>
        <v>78</v>
      </c>
      <c r="W171" s="53">
        <f>ROUND(Table1[[#This Row],[Prijs]]/Table1[[#This Row],['#punten]],0)</f>
        <v>11218</v>
      </c>
      <c r="X171" s="57">
        <f>ROUND((Table1[[#This Row],[Goals]]+Table1[[#This Row],[Asissts]])/(Table1[[#This Row],['#minuten]]/90),2)</f>
        <v>0.25</v>
      </c>
    </row>
    <row r="172" spans="1:24" x14ac:dyDescent="0.2">
      <c r="A172" s="6" t="s">
        <v>21</v>
      </c>
      <c r="B172" s="51" t="s">
        <v>45</v>
      </c>
      <c r="C172" s="52">
        <v>3500000</v>
      </c>
      <c r="D172" s="53" t="s">
        <v>203</v>
      </c>
      <c r="E172" s="53">
        <v>25</v>
      </c>
      <c r="F172" s="53" t="s">
        <v>205</v>
      </c>
      <c r="G172" s="54">
        <v>264</v>
      </c>
      <c r="H172" s="55">
        <v>264</v>
      </c>
      <c r="I172" s="55">
        <f>Table1[[#This Row],[laatste 5 wed.]]/Table1[[#This Row],['#punten]]*100</f>
        <v>100</v>
      </c>
      <c r="J172" s="53">
        <v>4</v>
      </c>
      <c r="K172" s="53">
        <v>4</v>
      </c>
      <c r="L172" s="53">
        <v>360</v>
      </c>
      <c r="M172" s="53">
        <v>360</v>
      </c>
      <c r="N172" s="53">
        <f>Table1[[#This Row],[Min laatste 5]]/Table1[[#This Row],['#minuten]]*100</f>
        <v>100</v>
      </c>
      <c r="O172" s="53">
        <v>0</v>
      </c>
      <c r="P172" s="53">
        <v>1</v>
      </c>
      <c r="Q172" s="55">
        <v>0</v>
      </c>
      <c r="R172" s="53">
        <v>0</v>
      </c>
      <c r="S172" s="53">
        <v>1</v>
      </c>
      <c r="T172" s="56">
        <f>ROUND(Table1[[#This Row],['#punten]]/Table1[[#This Row],['#Wed]],1)</f>
        <v>66</v>
      </c>
      <c r="U172" s="54">
        <f>ROUND(Table1[[#This Row],['#punten]]/Table1[[#This Row],['#minuten]],2)</f>
        <v>0.73</v>
      </c>
      <c r="V172" s="53">
        <f>ROUND((Table1[[#This Row],['#punten]]/(Table1[[#This Row],['#minuten]]/90)),2)</f>
        <v>66</v>
      </c>
      <c r="W172" s="53">
        <f>ROUND(Table1[[#This Row],[Prijs]]/Table1[[#This Row],['#punten]],0)</f>
        <v>13258</v>
      </c>
      <c r="X172" s="57">
        <f>ROUND((Table1[[#This Row],[Goals]]+Table1[[#This Row],[Asissts]])/(Table1[[#This Row],['#minuten]]/90),2)</f>
        <v>0.25</v>
      </c>
    </row>
    <row r="173" spans="1:24" x14ac:dyDescent="0.2">
      <c r="A173" s="6" t="s">
        <v>186</v>
      </c>
      <c r="B173" s="51" t="s">
        <v>44</v>
      </c>
      <c r="C173" s="52">
        <v>750000</v>
      </c>
      <c r="D173" s="53" t="s">
        <v>203</v>
      </c>
      <c r="E173" s="53">
        <v>20</v>
      </c>
      <c r="F173" s="53" t="s">
        <v>187</v>
      </c>
      <c r="G173" s="54">
        <v>174</v>
      </c>
      <c r="H173" s="55">
        <v>174</v>
      </c>
      <c r="I173" s="55">
        <f>Table1[[#This Row],[laatste 5 wed.]]/Table1[[#This Row],['#punten]]*100</f>
        <v>100</v>
      </c>
      <c r="J173" s="53">
        <v>4</v>
      </c>
      <c r="K173" s="53">
        <v>4</v>
      </c>
      <c r="L173" s="53">
        <v>360</v>
      </c>
      <c r="M173" s="53">
        <v>360</v>
      </c>
      <c r="N173" s="53">
        <f>Table1[[#This Row],[Min laatste 5]]/Table1[[#This Row],['#minuten]]*100</f>
        <v>100</v>
      </c>
      <c r="O173" s="53">
        <v>1</v>
      </c>
      <c r="P173" s="53">
        <v>0</v>
      </c>
      <c r="Q173" s="55">
        <v>0</v>
      </c>
      <c r="R173" s="53">
        <v>0</v>
      </c>
      <c r="S173" s="53">
        <v>0</v>
      </c>
      <c r="T173" s="56">
        <f>ROUND(Table1[[#This Row],['#punten]]/Table1[[#This Row],['#Wed]],1)</f>
        <v>43.5</v>
      </c>
      <c r="U173" s="54">
        <f>ROUND(Table1[[#This Row],['#punten]]/Table1[[#This Row],['#minuten]],2)</f>
        <v>0.48</v>
      </c>
      <c r="V173" s="53">
        <f>ROUND((Table1[[#This Row],['#punten]]/(Table1[[#This Row],['#minuten]]/90)),2)</f>
        <v>43.5</v>
      </c>
      <c r="W173" s="53">
        <f>ROUND(Table1[[#This Row],[Prijs]]/Table1[[#This Row],['#punten]],0)</f>
        <v>4310</v>
      </c>
      <c r="X173" s="57">
        <f>ROUND((Table1[[#This Row],[Goals]]+Table1[[#This Row],[Asissts]])/(Table1[[#This Row],['#minuten]]/90),2)</f>
        <v>0.25</v>
      </c>
    </row>
    <row r="174" spans="1:24" x14ac:dyDescent="0.2">
      <c r="A174" s="6" t="s">
        <v>370</v>
      </c>
      <c r="B174" s="62" t="s">
        <v>260</v>
      </c>
      <c r="C174" s="63">
        <v>750000</v>
      </c>
      <c r="D174" s="60" t="s">
        <v>203</v>
      </c>
      <c r="E174" s="60">
        <v>25</v>
      </c>
      <c r="F174" s="60" t="s">
        <v>141</v>
      </c>
      <c r="G174" s="58">
        <v>148</v>
      </c>
      <c r="H174" s="64">
        <v>148</v>
      </c>
      <c r="I174" s="64">
        <f>Table1[[#This Row],[laatste 5 wed.]]/Table1[[#This Row],['#punten]]*100</f>
        <v>100</v>
      </c>
      <c r="J174" s="60">
        <v>4</v>
      </c>
      <c r="K174" s="60">
        <v>4</v>
      </c>
      <c r="L174" s="60">
        <v>360</v>
      </c>
      <c r="M174" s="60">
        <v>360</v>
      </c>
      <c r="N174" s="60">
        <f>Table1[[#This Row],[Min laatste 5]]/Table1[[#This Row],['#minuten]]*100</f>
        <v>100</v>
      </c>
      <c r="O174" s="60">
        <v>0</v>
      </c>
      <c r="P174" s="60">
        <v>1</v>
      </c>
      <c r="Q174" s="64">
        <v>2</v>
      </c>
      <c r="R174" s="60">
        <v>0</v>
      </c>
      <c r="S174" s="60">
        <v>1</v>
      </c>
      <c r="T174" s="59">
        <f>ROUND(Table1[[#This Row],['#punten]]/Table1[[#This Row],['#Wed]],1)</f>
        <v>37</v>
      </c>
      <c r="U174" s="58">
        <f>ROUND(Table1[[#This Row],['#punten]]/Table1[[#This Row],['#minuten]],2)</f>
        <v>0.41</v>
      </c>
      <c r="V174" s="60">
        <f>ROUND((Table1[[#This Row],['#punten]]/(Table1[[#This Row],['#minuten]]/90)),2)</f>
        <v>37</v>
      </c>
      <c r="W174" s="60">
        <f>ROUND(Table1[[#This Row],[Prijs]]/Table1[[#This Row],['#punten]],0)</f>
        <v>5068</v>
      </c>
      <c r="X174" s="61">
        <f>ROUND((Table1[[#This Row],[Goals]]+Table1[[#This Row],[Asissts]])/(Table1[[#This Row],['#minuten]]/90),2)</f>
        <v>0.25</v>
      </c>
    </row>
    <row r="175" spans="1:24" x14ac:dyDescent="0.2">
      <c r="A175" s="6" t="s">
        <v>202</v>
      </c>
      <c r="B175" s="51" t="s">
        <v>45</v>
      </c>
      <c r="C175" s="52">
        <v>4000000</v>
      </c>
      <c r="D175" s="53" t="s">
        <v>203</v>
      </c>
      <c r="E175" s="53">
        <v>21</v>
      </c>
      <c r="F175" s="53" t="s">
        <v>141</v>
      </c>
      <c r="G175" s="54">
        <v>216</v>
      </c>
      <c r="H175" s="55">
        <v>216</v>
      </c>
      <c r="I175" s="55">
        <f>Table1[[#This Row],[laatste 5 wed.]]/Table1[[#This Row],['#punten]]*100</f>
        <v>100</v>
      </c>
      <c r="J175" s="53">
        <v>4</v>
      </c>
      <c r="K175" s="53">
        <v>4</v>
      </c>
      <c r="L175" s="53">
        <v>305</v>
      </c>
      <c r="M175" s="53">
        <v>305</v>
      </c>
      <c r="N175" s="53">
        <f>Table1[[#This Row],[Min laatste 5]]/Table1[[#This Row],['#minuten]]*100</f>
        <v>100</v>
      </c>
      <c r="O175" s="53">
        <v>0</v>
      </c>
      <c r="P175" s="53">
        <v>0</v>
      </c>
      <c r="Q175" s="55">
        <v>0</v>
      </c>
      <c r="R175" s="53">
        <v>0</v>
      </c>
      <c r="S175" s="53">
        <v>1</v>
      </c>
      <c r="T175" s="56">
        <f>ROUND(Table1[[#This Row],['#punten]]/Table1[[#This Row],['#Wed]],1)</f>
        <v>54</v>
      </c>
      <c r="U175" s="54">
        <f>ROUND(Table1[[#This Row],['#punten]]/Table1[[#This Row],['#minuten]],2)</f>
        <v>0.71</v>
      </c>
      <c r="V175" s="53">
        <f>ROUND((Table1[[#This Row],['#punten]]/(Table1[[#This Row],['#minuten]]/90)),2)</f>
        <v>63.74</v>
      </c>
      <c r="W175" s="53">
        <f>ROUND(Table1[[#This Row],[Prijs]]/Table1[[#This Row],['#punten]],0)</f>
        <v>18519</v>
      </c>
      <c r="X175" s="57">
        <f>ROUND((Table1[[#This Row],[Goals]]+Table1[[#This Row],[Asissts]])/(Table1[[#This Row],['#minuten]]/90),2)</f>
        <v>0</v>
      </c>
    </row>
    <row r="176" spans="1:24" x14ac:dyDescent="0.2">
      <c r="A176" s="6" t="s">
        <v>206</v>
      </c>
      <c r="B176" s="62" t="s">
        <v>45</v>
      </c>
      <c r="C176" s="63">
        <v>3500000</v>
      </c>
      <c r="D176" s="60" t="s">
        <v>203</v>
      </c>
      <c r="E176" s="60">
        <v>27</v>
      </c>
      <c r="F176" s="60" t="s">
        <v>141</v>
      </c>
      <c r="G176" s="58">
        <v>-48</v>
      </c>
      <c r="H176" s="64">
        <v>-48</v>
      </c>
      <c r="I176" s="64">
        <f>Table1[[#This Row],[laatste 5 wed.]]/Table1[[#This Row],['#punten]]*100</f>
        <v>100</v>
      </c>
      <c r="J176" s="60">
        <v>2</v>
      </c>
      <c r="K176" s="60">
        <v>1</v>
      </c>
      <c r="L176" s="60">
        <v>42</v>
      </c>
      <c r="M176" s="60">
        <v>42</v>
      </c>
      <c r="N176" s="60">
        <f>Table1[[#This Row],[Min laatste 5]]/Table1[[#This Row],['#minuten]]*100</f>
        <v>100</v>
      </c>
      <c r="O176" s="60">
        <v>0</v>
      </c>
      <c r="P176" s="60">
        <v>0</v>
      </c>
      <c r="Q176" s="64">
        <v>0</v>
      </c>
      <c r="R176" s="60">
        <v>1</v>
      </c>
      <c r="S176" s="60">
        <v>0</v>
      </c>
      <c r="T176" s="59">
        <f>ROUND(Table1[[#This Row],['#punten]]/Table1[[#This Row],['#Wed]],1)</f>
        <v>-24</v>
      </c>
      <c r="U176" s="58">
        <f>ROUND(Table1[[#This Row],['#punten]]/Table1[[#This Row],['#minuten]],2)</f>
        <v>-1.1399999999999999</v>
      </c>
      <c r="V176" s="60">
        <f>ROUND((Table1[[#This Row],['#punten]]/(Table1[[#This Row],['#minuten]]/90)),2)</f>
        <v>-102.86</v>
      </c>
      <c r="W176" s="60">
        <f>ROUND(Table1[[#This Row],[Prijs]]/Table1[[#This Row],['#punten]],0)</f>
        <v>-72917</v>
      </c>
      <c r="X176" s="61">
        <f>ROUND((Table1[[#This Row],[Goals]]+Table1[[#This Row],[Asissts]])/(Table1[[#This Row],['#minuten]]/90),2)</f>
        <v>0</v>
      </c>
    </row>
    <row r="177" spans="1:24" x14ac:dyDescent="0.2">
      <c r="A177" s="6" t="s">
        <v>357</v>
      </c>
      <c r="B177" s="51" t="s">
        <v>43</v>
      </c>
      <c r="C177" s="52">
        <v>3500000</v>
      </c>
      <c r="D177" s="53" t="s">
        <v>203</v>
      </c>
      <c r="E177" s="53">
        <v>25</v>
      </c>
      <c r="F177" s="53" t="s">
        <v>153</v>
      </c>
      <c r="G177" s="54">
        <v>0</v>
      </c>
      <c r="H177" s="55">
        <v>0</v>
      </c>
      <c r="I177" s="55">
        <v>100</v>
      </c>
      <c r="J177" s="53">
        <v>0</v>
      </c>
      <c r="K177" s="53">
        <v>0</v>
      </c>
      <c r="L177" s="53">
        <v>0</v>
      </c>
      <c r="M177" s="53">
        <v>0</v>
      </c>
      <c r="N177" s="53">
        <v>100</v>
      </c>
      <c r="O177" s="53">
        <v>0</v>
      </c>
      <c r="P177" s="53">
        <v>0</v>
      </c>
      <c r="Q177" s="55">
        <v>0</v>
      </c>
      <c r="R177" s="53">
        <v>0</v>
      </c>
      <c r="S177" s="53">
        <v>0</v>
      </c>
      <c r="T177" s="56">
        <v>0</v>
      </c>
      <c r="U177" s="54">
        <v>0</v>
      </c>
      <c r="V177" s="53">
        <v>0</v>
      </c>
      <c r="W177" s="53">
        <v>0</v>
      </c>
      <c r="X177" s="57">
        <v>0</v>
      </c>
    </row>
    <row r="178" spans="1:24" x14ac:dyDescent="0.2">
      <c r="A178" s="6" t="s">
        <v>20</v>
      </c>
      <c r="B178" s="51" t="s">
        <v>49</v>
      </c>
      <c r="C178" s="52">
        <v>3500000</v>
      </c>
      <c r="D178" s="53" t="s">
        <v>203</v>
      </c>
      <c r="E178" s="53">
        <v>25</v>
      </c>
      <c r="F178" s="53" t="s">
        <v>141</v>
      </c>
      <c r="G178" s="54">
        <v>0</v>
      </c>
      <c r="H178" s="55">
        <v>0</v>
      </c>
      <c r="I178" s="55">
        <v>100</v>
      </c>
      <c r="J178" s="53">
        <v>0</v>
      </c>
      <c r="K178" s="53">
        <v>0</v>
      </c>
      <c r="L178" s="53">
        <v>0</v>
      </c>
      <c r="M178" s="53">
        <v>0</v>
      </c>
      <c r="N178" s="53">
        <v>100</v>
      </c>
      <c r="O178" s="53">
        <v>0</v>
      </c>
      <c r="P178" s="53">
        <v>0</v>
      </c>
      <c r="Q178" s="55">
        <v>0</v>
      </c>
      <c r="R178" s="53">
        <v>0</v>
      </c>
      <c r="S178" s="53">
        <v>0</v>
      </c>
      <c r="T178" s="56">
        <v>0</v>
      </c>
      <c r="U178" s="54">
        <v>0</v>
      </c>
      <c r="V178" s="53">
        <v>0</v>
      </c>
      <c r="W178" s="53">
        <v>0</v>
      </c>
      <c r="X178" s="57">
        <v>0</v>
      </c>
    </row>
    <row r="179" spans="1:24" x14ac:dyDescent="0.2">
      <c r="A179" s="6" t="s">
        <v>282</v>
      </c>
      <c r="B179" s="51" t="s">
        <v>11</v>
      </c>
      <c r="C179" s="52">
        <v>3500000</v>
      </c>
      <c r="D179" s="53" t="s">
        <v>203</v>
      </c>
      <c r="E179" s="53">
        <v>32</v>
      </c>
      <c r="F179" s="53" t="s">
        <v>141</v>
      </c>
      <c r="G179" s="54">
        <v>258</v>
      </c>
      <c r="H179" s="55">
        <v>258</v>
      </c>
      <c r="I179" s="55">
        <f>Table1[[#This Row],[laatste 5 wed.]]/Table1[[#This Row],['#punten]]*100</f>
        <v>100</v>
      </c>
      <c r="J179" s="53">
        <v>3</v>
      </c>
      <c r="K179" s="53">
        <v>3</v>
      </c>
      <c r="L179" s="53">
        <v>236</v>
      </c>
      <c r="M179" s="53">
        <v>236</v>
      </c>
      <c r="N179" s="53">
        <f>Table1[[#This Row],[Min laatste 5]]/Table1[[#This Row],['#minuten]]*100</f>
        <v>100</v>
      </c>
      <c r="O179" s="53">
        <v>0</v>
      </c>
      <c r="P179" s="53">
        <v>0</v>
      </c>
      <c r="Q179" s="55">
        <v>0</v>
      </c>
      <c r="R179" s="53">
        <v>0</v>
      </c>
      <c r="S179" s="53">
        <v>2</v>
      </c>
      <c r="T179" s="56">
        <f>ROUND(Table1[[#This Row],['#punten]]/Table1[[#This Row],['#Wed]],1)</f>
        <v>86</v>
      </c>
      <c r="U179" s="54">
        <f>ROUND(Table1[[#This Row],['#punten]]/Table1[[#This Row],['#minuten]],2)</f>
        <v>1.0900000000000001</v>
      </c>
      <c r="V179" s="53">
        <f>ROUND((Table1[[#This Row],['#punten]]/(Table1[[#This Row],['#minuten]]/90)),2)</f>
        <v>98.39</v>
      </c>
      <c r="W179" s="53">
        <f>ROUND(Table1[[#This Row],[Prijs]]/Table1[[#This Row],['#punten]],0)</f>
        <v>13566</v>
      </c>
      <c r="X179" s="57">
        <f>ROUND((Table1[[#This Row],[Goals]]+Table1[[#This Row],[Asissts]])/(Table1[[#This Row],['#minuten]]/90),2)</f>
        <v>0</v>
      </c>
    </row>
    <row r="180" spans="1:24" x14ac:dyDescent="0.2">
      <c r="A180" s="6" t="s">
        <v>150</v>
      </c>
      <c r="B180" s="62" t="s">
        <v>43</v>
      </c>
      <c r="C180" s="63">
        <v>3500000</v>
      </c>
      <c r="D180" s="60" t="s">
        <v>203</v>
      </c>
      <c r="E180" s="60">
        <v>20</v>
      </c>
      <c r="F180" s="60" t="s">
        <v>141</v>
      </c>
      <c r="G180" s="58">
        <v>138</v>
      </c>
      <c r="H180" s="64">
        <v>138</v>
      </c>
      <c r="I180" s="64">
        <f>Table1[[#This Row],[laatste 5 wed.]]/Table1[[#This Row],['#punten]]*100</f>
        <v>100</v>
      </c>
      <c r="J180" s="60">
        <v>3</v>
      </c>
      <c r="K180" s="60">
        <v>3</v>
      </c>
      <c r="L180" s="60">
        <v>241</v>
      </c>
      <c r="M180" s="60">
        <v>241</v>
      </c>
      <c r="N180" s="60">
        <f>Table1[[#This Row],[Min laatste 5]]/Table1[[#This Row],['#minuten]]*100</f>
        <v>100</v>
      </c>
      <c r="O180" s="60">
        <v>0</v>
      </c>
      <c r="P180" s="60">
        <v>0</v>
      </c>
      <c r="Q180" s="64">
        <v>1</v>
      </c>
      <c r="R180" s="60">
        <v>0</v>
      </c>
      <c r="S180" s="60">
        <v>1</v>
      </c>
      <c r="T180" s="59">
        <f>ROUND(Table1[[#This Row],['#punten]]/Table1[[#This Row],['#Wed]],1)</f>
        <v>46</v>
      </c>
      <c r="U180" s="58">
        <f>ROUND(Table1[[#This Row],['#punten]]/Table1[[#This Row],['#minuten]],2)</f>
        <v>0.56999999999999995</v>
      </c>
      <c r="V180" s="60">
        <f>ROUND((Table1[[#This Row],['#punten]]/(Table1[[#This Row],['#minuten]]/90)),2)</f>
        <v>51.54</v>
      </c>
      <c r="W180" s="60">
        <f>ROUND(Table1[[#This Row],[Prijs]]/Table1[[#This Row],['#punten]],0)</f>
        <v>25362</v>
      </c>
      <c r="X180" s="61">
        <f>ROUND((Table1[[#This Row],[Goals]]+Table1[[#This Row],[Asissts]])/(Table1[[#This Row],['#minuten]]/90),2)</f>
        <v>0</v>
      </c>
    </row>
    <row r="181" spans="1:24" x14ac:dyDescent="0.2">
      <c r="A181" s="6" t="s">
        <v>281</v>
      </c>
      <c r="B181" s="51" t="s">
        <v>11</v>
      </c>
      <c r="C181" s="52">
        <v>3500000</v>
      </c>
      <c r="D181" s="53" t="s">
        <v>203</v>
      </c>
      <c r="E181" s="53">
        <v>22</v>
      </c>
      <c r="F181" s="53" t="s">
        <v>175</v>
      </c>
      <c r="G181" s="54">
        <v>102</v>
      </c>
      <c r="H181" s="55">
        <v>102</v>
      </c>
      <c r="I181" s="55">
        <f>Table1[[#This Row],[laatste 5 wed.]]/Table1[[#This Row],['#punten]]*100</f>
        <v>100</v>
      </c>
      <c r="J181" s="53">
        <v>1</v>
      </c>
      <c r="K181" s="53">
        <v>1</v>
      </c>
      <c r="L181" s="53">
        <v>83</v>
      </c>
      <c r="M181" s="53">
        <v>83</v>
      </c>
      <c r="N181" s="53">
        <f>Table1[[#This Row],[Min laatste 5]]/Table1[[#This Row],['#minuten]]*100</f>
        <v>100</v>
      </c>
      <c r="O181" s="53">
        <v>0</v>
      </c>
      <c r="P181" s="53">
        <v>0</v>
      </c>
      <c r="Q181" s="55">
        <v>0</v>
      </c>
      <c r="R181" s="53">
        <v>0</v>
      </c>
      <c r="S181" s="53">
        <v>1</v>
      </c>
      <c r="T181" s="56">
        <f>ROUND(Table1[[#This Row],['#punten]]/Table1[[#This Row],['#Wed]],1)</f>
        <v>102</v>
      </c>
      <c r="U181" s="54">
        <f>ROUND(Table1[[#This Row],['#punten]]/Table1[[#This Row],['#minuten]],2)</f>
        <v>1.23</v>
      </c>
      <c r="V181" s="53">
        <f>ROUND((Table1[[#This Row],['#punten]]/(Table1[[#This Row],['#minuten]]/90)),2)</f>
        <v>110.6</v>
      </c>
      <c r="W181" s="53">
        <f>ROUND(Table1[[#This Row],[Prijs]]/Table1[[#This Row],['#punten]],0)</f>
        <v>34314</v>
      </c>
      <c r="X181" s="57">
        <f>ROUND((Table1[[#This Row],[Goals]]+Table1[[#This Row],[Asissts]])/(Table1[[#This Row],['#minuten]]/90),2)</f>
        <v>0</v>
      </c>
    </row>
    <row r="182" spans="1:24" x14ac:dyDescent="0.2">
      <c r="A182" s="6" t="s">
        <v>152</v>
      </c>
      <c r="B182" s="51" t="s">
        <v>43</v>
      </c>
      <c r="C182" s="52">
        <v>3500000</v>
      </c>
      <c r="D182" s="53" t="s">
        <v>203</v>
      </c>
      <c r="E182" s="53">
        <v>23</v>
      </c>
      <c r="F182" s="53" t="s">
        <v>153</v>
      </c>
      <c r="G182" s="54">
        <v>90</v>
      </c>
      <c r="H182" s="55">
        <v>90</v>
      </c>
      <c r="I182" s="55">
        <f>Table1[[#This Row],[laatste 5 wed.]]/Table1[[#This Row],['#punten]]*100</f>
        <v>100</v>
      </c>
      <c r="J182" s="53">
        <v>0</v>
      </c>
      <c r="K182" s="53">
        <v>0</v>
      </c>
      <c r="L182" s="53">
        <v>90</v>
      </c>
      <c r="M182" s="53">
        <v>90</v>
      </c>
      <c r="N182" s="53">
        <f>Table1[[#This Row],[Min laatste 5]]/Table1[[#This Row],['#minuten]]*100</f>
        <v>100</v>
      </c>
      <c r="O182" s="53">
        <v>0</v>
      </c>
      <c r="P182" s="53">
        <v>0</v>
      </c>
      <c r="Q182" s="55">
        <v>0</v>
      </c>
      <c r="R182" s="53">
        <v>0</v>
      </c>
      <c r="S182" s="53">
        <v>1</v>
      </c>
      <c r="T182" s="56">
        <v>0</v>
      </c>
      <c r="U182" s="54">
        <f>ROUND(Table1[[#This Row],['#punten]]/Table1[[#This Row],['#minuten]],2)</f>
        <v>1</v>
      </c>
      <c r="V182" s="53">
        <f>ROUND((Table1[[#This Row],['#punten]]/(Table1[[#This Row],['#minuten]]/90)),2)</f>
        <v>90</v>
      </c>
      <c r="W182" s="53">
        <f>ROUND(Table1[[#This Row],[Prijs]]/Table1[[#This Row],['#punten]],0)</f>
        <v>38889</v>
      </c>
      <c r="X182" s="57">
        <f>ROUND((Table1[[#This Row],[Goals]]+Table1[[#This Row],[Asissts]])/(Table1[[#This Row],['#minuten]]/90),2)</f>
        <v>0</v>
      </c>
    </row>
    <row r="183" spans="1:24" x14ac:dyDescent="0.2">
      <c r="A183" s="6" t="s">
        <v>125</v>
      </c>
      <c r="B183" s="51" t="s">
        <v>49</v>
      </c>
      <c r="C183" s="52">
        <v>3500000</v>
      </c>
      <c r="D183" s="53" t="s">
        <v>203</v>
      </c>
      <c r="E183" s="53">
        <v>29</v>
      </c>
      <c r="F183" s="53" t="s">
        <v>141</v>
      </c>
      <c r="G183" s="54">
        <v>54</v>
      </c>
      <c r="H183" s="55">
        <v>54</v>
      </c>
      <c r="I183" s="55">
        <f>Table1[[#This Row],[laatste 5 wed.]]/Table1[[#This Row],['#punten]]*100</f>
        <v>100</v>
      </c>
      <c r="J183" s="53">
        <v>2</v>
      </c>
      <c r="K183" s="53">
        <v>2</v>
      </c>
      <c r="L183" s="53">
        <v>124</v>
      </c>
      <c r="M183" s="53">
        <v>124</v>
      </c>
      <c r="N183" s="53">
        <f>Table1[[#This Row],[Min laatste 5]]/Table1[[#This Row],['#minuten]]*100</f>
        <v>100</v>
      </c>
      <c r="O183" s="53">
        <v>0</v>
      </c>
      <c r="P183" s="53">
        <v>0</v>
      </c>
      <c r="Q183" s="55">
        <v>0</v>
      </c>
      <c r="R183" s="53">
        <v>0</v>
      </c>
      <c r="S183" s="53">
        <v>0</v>
      </c>
      <c r="T183" s="56">
        <f>ROUND(Table1[[#This Row],['#punten]]/Table1[[#This Row],['#Wed]],1)</f>
        <v>27</v>
      </c>
      <c r="U183" s="54">
        <f>ROUND(Table1[[#This Row],['#punten]]/Table1[[#This Row],['#minuten]],2)</f>
        <v>0.44</v>
      </c>
      <c r="V183" s="53">
        <f>ROUND((Table1[[#This Row],['#punten]]/(Table1[[#This Row],['#minuten]]/90)),2)</f>
        <v>39.19</v>
      </c>
      <c r="W183" s="53">
        <f>ROUND(Table1[[#This Row],[Prijs]]/Table1[[#This Row],['#punten]],0)</f>
        <v>64815</v>
      </c>
      <c r="X183" s="57">
        <f>ROUND((Table1[[#This Row],[Goals]]+Table1[[#This Row],[Asissts]])/(Table1[[#This Row],['#minuten]]/90),2)</f>
        <v>0</v>
      </c>
    </row>
    <row r="184" spans="1:24" x14ac:dyDescent="0.2">
      <c r="A184" s="6" t="s">
        <v>154</v>
      </c>
      <c r="B184" s="28" t="s">
        <v>43</v>
      </c>
      <c r="C184" s="29">
        <v>3000000</v>
      </c>
      <c r="D184" s="30" t="s">
        <v>203</v>
      </c>
      <c r="E184" s="30">
        <v>20</v>
      </c>
      <c r="F184" s="30" t="s">
        <v>156</v>
      </c>
      <c r="G184" s="31">
        <v>0</v>
      </c>
      <c r="H184" s="32">
        <v>0</v>
      </c>
      <c r="I184" s="32">
        <v>100</v>
      </c>
      <c r="J184" s="30">
        <v>1</v>
      </c>
      <c r="K184" s="30">
        <v>0</v>
      </c>
      <c r="L184" s="30">
        <v>29</v>
      </c>
      <c r="M184" s="30">
        <v>29</v>
      </c>
      <c r="N184" s="30">
        <f>Table1[[#This Row],[Min laatste 5]]/Table1[[#This Row],['#minuten]]*100</f>
        <v>100</v>
      </c>
      <c r="O184" s="30">
        <v>0</v>
      </c>
      <c r="P184" s="30">
        <v>0</v>
      </c>
      <c r="Q184" s="32">
        <v>0</v>
      </c>
      <c r="R184" s="30">
        <v>0</v>
      </c>
      <c r="S184" s="30">
        <v>0</v>
      </c>
      <c r="T184" s="33">
        <f>ROUND(Table1[[#This Row],['#punten]]/Table1[[#This Row],['#Wed]],1)</f>
        <v>0</v>
      </c>
      <c r="U184" s="31">
        <f>ROUND(Table1[[#This Row],['#punten]]/Table1[[#This Row],['#minuten]],2)</f>
        <v>0</v>
      </c>
      <c r="V184" s="30">
        <f>ROUND((Table1[[#This Row],['#punten]]/(Table1[[#This Row],['#minuten]]/90)),2)</f>
        <v>0</v>
      </c>
      <c r="W184" s="30">
        <v>0</v>
      </c>
      <c r="X184" s="34">
        <f>ROUND((Table1[[#This Row],[Goals]]+Table1[[#This Row],[Asissts]])/(Table1[[#This Row],['#minuten]]/90),2)</f>
        <v>0</v>
      </c>
    </row>
    <row r="185" spans="1:24" x14ac:dyDescent="0.2">
      <c r="A185" s="6" t="s">
        <v>372</v>
      </c>
      <c r="B185" s="51" t="s">
        <v>11</v>
      </c>
      <c r="C185" s="52">
        <v>3000000</v>
      </c>
      <c r="D185" s="53" t="s">
        <v>203</v>
      </c>
      <c r="E185" s="53">
        <v>21</v>
      </c>
      <c r="F185" s="53" t="s">
        <v>200</v>
      </c>
      <c r="G185" s="54">
        <v>0</v>
      </c>
      <c r="H185" s="55">
        <v>0</v>
      </c>
      <c r="I185" s="55">
        <v>100</v>
      </c>
      <c r="J185" s="53">
        <v>0</v>
      </c>
      <c r="K185" s="53">
        <v>0</v>
      </c>
      <c r="L185" s="53">
        <v>0</v>
      </c>
      <c r="M185" s="53">
        <v>0</v>
      </c>
      <c r="N185" s="53">
        <v>100</v>
      </c>
      <c r="O185" s="53">
        <v>0</v>
      </c>
      <c r="P185" s="53">
        <v>0</v>
      </c>
      <c r="Q185" s="55">
        <v>0</v>
      </c>
      <c r="R185" s="53">
        <v>0</v>
      </c>
      <c r="S185" s="53">
        <v>0</v>
      </c>
      <c r="T185" s="56">
        <v>0</v>
      </c>
      <c r="U185" s="54">
        <v>0</v>
      </c>
      <c r="V185" s="53">
        <v>0</v>
      </c>
      <c r="W185" s="53">
        <v>0</v>
      </c>
      <c r="X185" s="57">
        <v>0</v>
      </c>
    </row>
    <row r="186" spans="1:24" x14ac:dyDescent="0.2">
      <c r="A186" s="6" t="s">
        <v>377</v>
      </c>
      <c r="B186" s="51" t="s">
        <v>49</v>
      </c>
      <c r="C186" s="52">
        <v>3000000</v>
      </c>
      <c r="D186" s="53" t="s">
        <v>203</v>
      </c>
      <c r="E186" s="53">
        <v>25</v>
      </c>
      <c r="F186" s="53" t="s">
        <v>218</v>
      </c>
      <c r="G186" s="54">
        <v>210</v>
      </c>
      <c r="H186" s="55">
        <v>210</v>
      </c>
      <c r="I186" s="55">
        <f>Table1[[#This Row],[laatste 5 wed.]]/Table1[[#This Row],['#punten]]*100</f>
        <v>100</v>
      </c>
      <c r="J186" s="53">
        <v>3</v>
      </c>
      <c r="K186" s="53">
        <v>2</v>
      </c>
      <c r="L186" s="53">
        <v>236</v>
      </c>
      <c r="M186" s="53">
        <v>236</v>
      </c>
      <c r="N186" s="53">
        <f>Table1[[#This Row],[Min laatste 5]]/Table1[[#This Row],['#minuten]]*100</f>
        <v>100</v>
      </c>
      <c r="O186" s="53">
        <v>0</v>
      </c>
      <c r="P186" s="53">
        <v>0</v>
      </c>
      <c r="Q186" s="55">
        <v>0</v>
      </c>
      <c r="R186" s="53">
        <v>0</v>
      </c>
      <c r="S186" s="53">
        <v>1</v>
      </c>
      <c r="T186" s="56">
        <f>ROUND(Table1[[#This Row],['#punten]]/Table1[[#This Row],['#Wed]],1)</f>
        <v>70</v>
      </c>
      <c r="U186" s="54">
        <f>ROUND(Table1[[#This Row],['#punten]]/Table1[[#This Row],['#minuten]],2)</f>
        <v>0.89</v>
      </c>
      <c r="V186" s="53">
        <f>ROUND((Table1[[#This Row],['#punten]]/(Table1[[#This Row],['#minuten]]/90)),2)</f>
        <v>80.08</v>
      </c>
      <c r="W186" s="53">
        <f>ROUND(Table1[[#This Row],[Prijs]]/Table1[[#This Row],['#punten]],0)</f>
        <v>14286</v>
      </c>
      <c r="X186" s="57">
        <f>ROUND((Table1[[#This Row],[Goals]]+Table1[[#This Row],[Asissts]])/(Table1[[#This Row],['#minuten]]/90),2)</f>
        <v>0</v>
      </c>
    </row>
    <row r="187" spans="1:24" x14ac:dyDescent="0.2">
      <c r="A187" s="6" t="s">
        <v>279</v>
      </c>
      <c r="B187" s="51" t="s">
        <v>11</v>
      </c>
      <c r="C187" s="52">
        <v>3000000</v>
      </c>
      <c r="D187" s="53" t="s">
        <v>203</v>
      </c>
      <c r="E187" s="53">
        <v>25</v>
      </c>
      <c r="F187" s="53" t="s">
        <v>160</v>
      </c>
      <c r="G187" s="54">
        <v>156</v>
      </c>
      <c r="H187" s="55">
        <v>156</v>
      </c>
      <c r="I187" s="55">
        <f>Table1[[#This Row],[laatste 5 wed.]]/Table1[[#This Row],['#punten]]*100</f>
        <v>100</v>
      </c>
      <c r="J187" s="53">
        <v>2</v>
      </c>
      <c r="K187" s="53">
        <v>2</v>
      </c>
      <c r="L187" s="53">
        <v>180</v>
      </c>
      <c r="M187" s="53">
        <v>180</v>
      </c>
      <c r="N187" s="53">
        <f>Table1[[#This Row],[Min laatste 5]]/Table1[[#This Row],['#minuten]]*100</f>
        <v>100</v>
      </c>
      <c r="O187" s="53">
        <v>0</v>
      </c>
      <c r="P187" s="53">
        <v>0</v>
      </c>
      <c r="Q187" s="55">
        <v>0</v>
      </c>
      <c r="R187" s="53">
        <v>0</v>
      </c>
      <c r="S187" s="53">
        <v>1</v>
      </c>
      <c r="T187" s="56">
        <f>ROUND(Table1[[#This Row],['#punten]]/Table1[[#This Row],['#Wed]],1)</f>
        <v>78</v>
      </c>
      <c r="U187" s="54">
        <f>ROUND(Table1[[#This Row],['#punten]]/Table1[[#This Row],['#minuten]],2)</f>
        <v>0.87</v>
      </c>
      <c r="V187" s="53">
        <f>ROUND((Table1[[#This Row],['#punten]]/(Table1[[#This Row],['#minuten]]/90)),2)</f>
        <v>78</v>
      </c>
      <c r="W187" s="53">
        <f>ROUND(Table1[[#This Row],[Prijs]]/Table1[[#This Row],['#punten]],0)</f>
        <v>19231</v>
      </c>
      <c r="X187" s="57">
        <f>ROUND((Table1[[#This Row],[Goals]]+Table1[[#This Row],[Asissts]])/(Table1[[#This Row],['#minuten]]/90),2)</f>
        <v>0</v>
      </c>
    </row>
    <row r="188" spans="1:24" x14ac:dyDescent="0.2">
      <c r="A188" s="6" t="s">
        <v>280</v>
      </c>
      <c r="B188" s="51" t="s">
        <v>11</v>
      </c>
      <c r="C188" s="52">
        <v>3000000</v>
      </c>
      <c r="D188" s="53" t="s">
        <v>203</v>
      </c>
      <c r="E188" s="53">
        <v>23</v>
      </c>
      <c r="F188" s="53" t="s">
        <v>141</v>
      </c>
      <c r="G188" s="54">
        <v>132</v>
      </c>
      <c r="H188" s="55">
        <v>132</v>
      </c>
      <c r="I188" s="55">
        <f>Table1[[#This Row],[laatste 5 wed.]]/Table1[[#This Row],['#punten]]*100</f>
        <v>100</v>
      </c>
      <c r="J188" s="53">
        <v>2</v>
      </c>
      <c r="K188" s="53">
        <v>2</v>
      </c>
      <c r="L188" s="53">
        <v>180</v>
      </c>
      <c r="M188" s="53">
        <v>180</v>
      </c>
      <c r="N188" s="53">
        <f>Table1[[#This Row],[Min laatste 5]]/Table1[[#This Row],['#minuten]]*100</f>
        <v>100</v>
      </c>
      <c r="O188" s="53">
        <v>0</v>
      </c>
      <c r="P188" s="53">
        <v>0</v>
      </c>
      <c r="Q188" s="55">
        <v>1</v>
      </c>
      <c r="R188" s="53">
        <v>0</v>
      </c>
      <c r="S188" s="53">
        <v>1</v>
      </c>
      <c r="T188" s="56">
        <f>ROUND(Table1[[#This Row],['#punten]]/Table1[[#This Row],['#Wed]],1)</f>
        <v>66</v>
      </c>
      <c r="U188" s="54">
        <f>ROUND(Table1[[#This Row],['#punten]]/Table1[[#This Row],['#minuten]],2)</f>
        <v>0.73</v>
      </c>
      <c r="V188" s="53">
        <f>ROUND((Table1[[#This Row],['#punten]]/(Table1[[#This Row],['#minuten]]/90)),2)</f>
        <v>66</v>
      </c>
      <c r="W188" s="53">
        <f>ROUND(Table1[[#This Row],[Prijs]]/Table1[[#This Row],['#punten]],0)</f>
        <v>22727</v>
      </c>
      <c r="X188" s="57">
        <f>ROUND((Table1[[#This Row],[Goals]]+Table1[[#This Row],[Asissts]])/(Table1[[#This Row],['#minuten]]/90),2)</f>
        <v>0</v>
      </c>
    </row>
    <row r="189" spans="1:24" x14ac:dyDescent="0.2">
      <c r="A189" s="6" t="s">
        <v>157</v>
      </c>
      <c r="B189" s="21" t="s">
        <v>43</v>
      </c>
      <c r="C189" s="22">
        <v>3000000</v>
      </c>
      <c r="D189" s="23" t="s">
        <v>203</v>
      </c>
      <c r="E189" s="23">
        <v>21</v>
      </c>
      <c r="F189" s="23" t="s">
        <v>158</v>
      </c>
      <c r="G189" s="24">
        <v>66</v>
      </c>
      <c r="H189" s="25">
        <v>66</v>
      </c>
      <c r="I189" s="25">
        <f>Table1[[#This Row],[laatste 5 wed.]]/Table1[[#This Row],['#punten]]*100</f>
        <v>100</v>
      </c>
      <c r="J189" s="23">
        <v>0</v>
      </c>
      <c r="K189" s="23">
        <v>0</v>
      </c>
      <c r="L189" s="23">
        <v>90</v>
      </c>
      <c r="M189" s="23">
        <v>90</v>
      </c>
      <c r="N189" s="23">
        <f>Table1[[#This Row],[Min laatste 5]]/Table1[[#This Row],['#minuten]]*100</f>
        <v>100</v>
      </c>
      <c r="O189" s="23">
        <v>0</v>
      </c>
      <c r="P189" s="23">
        <v>0</v>
      </c>
      <c r="Q189" s="25">
        <v>1</v>
      </c>
      <c r="R189" s="23">
        <v>0</v>
      </c>
      <c r="S189" s="23">
        <v>1</v>
      </c>
      <c r="T189" s="26">
        <v>0</v>
      </c>
      <c r="U189" s="24">
        <f>ROUND(Table1[[#This Row],['#punten]]/Table1[[#This Row],['#minuten]],2)</f>
        <v>0.73</v>
      </c>
      <c r="V189" s="23">
        <f>ROUND((Table1[[#This Row],['#punten]]/(Table1[[#This Row],['#minuten]]/90)),2)</f>
        <v>66</v>
      </c>
      <c r="W189" s="23">
        <f>ROUND(Table1[[#This Row],[Prijs]]/Table1[[#This Row],['#punten]],0)</f>
        <v>45455</v>
      </c>
      <c r="X189" s="27">
        <f>ROUND((Table1[[#This Row],[Goals]]+Table1[[#This Row],[Asissts]])/(Table1[[#This Row],['#minuten]]/90),2)</f>
        <v>0</v>
      </c>
    </row>
    <row r="190" spans="1:24" x14ac:dyDescent="0.2">
      <c r="A190" s="6" t="s">
        <v>276</v>
      </c>
      <c r="B190" s="28" t="s">
        <v>11</v>
      </c>
      <c r="C190" s="29">
        <v>2500000</v>
      </c>
      <c r="D190" s="30" t="s">
        <v>203</v>
      </c>
      <c r="E190" s="30">
        <v>31</v>
      </c>
      <c r="F190" s="30" t="s">
        <v>196</v>
      </c>
      <c r="G190" s="31">
        <v>234</v>
      </c>
      <c r="H190" s="32">
        <v>234</v>
      </c>
      <c r="I190" s="32">
        <f>Table1[[#This Row],[laatste 5 wed.]]/Table1[[#This Row],['#punten]]*100</f>
        <v>100</v>
      </c>
      <c r="J190" s="30">
        <v>3</v>
      </c>
      <c r="K190" s="30">
        <v>3</v>
      </c>
      <c r="L190" s="30">
        <v>225</v>
      </c>
      <c r="M190" s="30">
        <v>225</v>
      </c>
      <c r="N190" s="30">
        <f>Table1[[#This Row],[Min laatste 5]]/Table1[[#This Row],['#minuten]]*100</f>
        <v>100</v>
      </c>
      <c r="O190" s="30">
        <v>0</v>
      </c>
      <c r="P190" s="30">
        <v>0</v>
      </c>
      <c r="Q190" s="32">
        <v>1</v>
      </c>
      <c r="R190" s="30">
        <v>0</v>
      </c>
      <c r="S190" s="30">
        <v>2</v>
      </c>
      <c r="T190" s="33">
        <f>ROUND(Table1[[#This Row],['#punten]]/Table1[[#This Row],['#Wed]],1)</f>
        <v>78</v>
      </c>
      <c r="U190" s="31">
        <f>ROUND(Table1[[#This Row],['#punten]]/Table1[[#This Row],['#minuten]],2)</f>
        <v>1.04</v>
      </c>
      <c r="V190" s="30">
        <f>ROUND((Table1[[#This Row],['#punten]]/(Table1[[#This Row],['#minuten]]/90)),2)</f>
        <v>93.6</v>
      </c>
      <c r="W190" s="30">
        <f>ROUND(Table1[[#This Row],[Prijs]]/Table1[[#This Row],['#punten]],0)</f>
        <v>10684</v>
      </c>
      <c r="X190" s="34">
        <f>ROUND((Table1[[#This Row],[Goals]]+Table1[[#This Row],[Asissts]])/(Table1[[#This Row],['#minuten]]/90),2)</f>
        <v>0</v>
      </c>
    </row>
    <row r="191" spans="1:24" x14ac:dyDescent="0.2">
      <c r="A191" s="6" t="s">
        <v>180</v>
      </c>
      <c r="B191" s="28" t="s">
        <v>6</v>
      </c>
      <c r="C191" s="29">
        <v>2500000</v>
      </c>
      <c r="D191" s="30" t="s">
        <v>203</v>
      </c>
      <c r="E191" s="30">
        <v>26</v>
      </c>
      <c r="F191" s="30" t="s">
        <v>141</v>
      </c>
      <c r="G191" s="31">
        <v>194</v>
      </c>
      <c r="H191" s="32">
        <v>194</v>
      </c>
      <c r="I191" s="32">
        <f>Table1[[#This Row],[laatste 5 wed.]]/Table1[[#This Row],['#punten]]*100</f>
        <v>100</v>
      </c>
      <c r="J191" s="30">
        <v>3</v>
      </c>
      <c r="K191" s="30">
        <v>3</v>
      </c>
      <c r="L191" s="30">
        <v>240</v>
      </c>
      <c r="M191" s="30">
        <v>240</v>
      </c>
      <c r="N191" s="30">
        <f>Table1[[#This Row],[Min laatste 5]]/Table1[[#This Row],['#minuten]]*100</f>
        <v>100</v>
      </c>
      <c r="O191" s="30">
        <v>0</v>
      </c>
      <c r="P191" s="30">
        <v>0</v>
      </c>
      <c r="Q191" s="32">
        <v>0</v>
      </c>
      <c r="R191" s="30">
        <v>0</v>
      </c>
      <c r="S191" s="30">
        <v>1</v>
      </c>
      <c r="T191" s="33">
        <f>ROUND(Table1[[#This Row],['#punten]]/Table1[[#This Row],['#Wed]],1)</f>
        <v>64.7</v>
      </c>
      <c r="U191" s="31">
        <f>ROUND(Table1[[#This Row],['#punten]]/Table1[[#This Row],['#minuten]],2)</f>
        <v>0.81</v>
      </c>
      <c r="V191" s="30">
        <f>ROUND((Table1[[#This Row],['#punten]]/(Table1[[#This Row],['#minuten]]/90)),2)</f>
        <v>72.75</v>
      </c>
      <c r="W191" s="30">
        <f>ROUND(Table1[[#This Row],[Prijs]]/Table1[[#This Row],['#punten]],0)</f>
        <v>12887</v>
      </c>
      <c r="X191" s="34">
        <f>ROUND((Table1[[#This Row],[Goals]]+Table1[[#This Row],[Asissts]])/(Table1[[#This Row],['#minuten]]/90),2)</f>
        <v>0</v>
      </c>
    </row>
    <row r="192" spans="1:24" x14ac:dyDescent="0.2">
      <c r="A192" s="6" t="s">
        <v>310</v>
      </c>
      <c r="B192" s="51" t="s">
        <v>49</v>
      </c>
      <c r="C192" s="52">
        <v>2500000</v>
      </c>
      <c r="D192" s="53" t="s">
        <v>203</v>
      </c>
      <c r="E192" s="53">
        <v>22</v>
      </c>
      <c r="F192" s="53" t="s">
        <v>141</v>
      </c>
      <c r="G192" s="54">
        <v>84</v>
      </c>
      <c r="H192" s="55">
        <v>84</v>
      </c>
      <c r="I192" s="55">
        <f>Table1[[#This Row],[laatste 5 wed.]]/Table1[[#This Row],['#punten]]*100</f>
        <v>100</v>
      </c>
      <c r="J192" s="53">
        <v>2</v>
      </c>
      <c r="K192" s="53">
        <v>2</v>
      </c>
      <c r="L192" s="53">
        <v>180</v>
      </c>
      <c r="M192" s="53">
        <v>180</v>
      </c>
      <c r="N192" s="53">
        <f>Table1[[#This Row],[Min laatste 5]]/Table1[[#This Row],['#minuten]]*100</f>
        <v>100</v>
      </c>
      <c r="O192" s="53">
        <v>0</v>
      </c>
      <c r="P192" s="53">
        <v>0</v>
      </c>
      <c r="Q192" s="55">
        <v>1</v>
      </c>
      <c r="R192" s="53">
        <v>0</v>
      </c>
      <c r="S192" s="53">
        <v>0</v>
      </c>
      <c r="T192" s="56">
        <f>ROUND(Table1[[#This Row],['#punten]]/Table1[[#This Row],['#Wed]],1)</f>
        <v>42</v>
      </c>
      <c r="U192" s="54">
        <f>ROUND(Table1[[#This Row],['#punten]]/Table1[[#This Row],['#minuten]],2)</f>
        <v>0.47</v>
      </c>
      <c r="V192" s="53">
        <f>ROUND((Table1[[#This Row],['#punten]]/(Table1[[#This Row],['#minuten]]/90)),2)</f>
        <v>42</v>
      </c>
      <c r="W192" s="53">
        <f>ROUND(Table1[[#This Row],[Prijs]]/Table1[[#This Row],['#punten]],0)</f>
        <v>29762</v>
      </c>
      <c r="X192" s="57">
        <f>ROUND((Table1[[#This Row],[Goals]]+Table1[[#This Row],[Asissts]])/(Table1[[#This Row],['#minuten]]/90),2)</f>
        <v>0</v>
      </c>
    </row>
    <row r="193" spans="1:24" x14ac:dyDescent="0.2">
      <c r="A193" s="6" t="s">
        <v>326</v>
      </c>
      <c r="B193" s="51" t="s">
        <v>317</v>
      </c>
      <c r="C193" s="52">
        <v>2000000</v>
      </c>
      <c r="D193" s="53" t="s">
        <v>203</v>
      </c>
      <c r="E193" s="53">
        <v>24</v>
      </c>
      <c r="F193" s="53" t="s">
        <v>160</v>
      </c>
      <c r="G193" s="54">
        <v>0</v>
      </c>
      <c r="H193" s="55">
        <v>0</v>
      </c>
      <c r="I193" s="55">
        <v>100</v>
      </c>
      <c r="J193" s="53">
        <v>3</v>
      </c>
      <c r="K193" s="53">
        <v>3</v>
      </c>
      <c r="L193" s="53">
        <v>198</v>
      </c>
      <c r="M193" s="53">
        <v>198</v>
      </c>
      <c r="N193" s="53">
        <f>Table1[[#This Row],[Min laatste 5]]/Table1[[#This Row],['#minuten]]*100</f>
        <v>100</v>
      </c>
      <c r="O193" s="53">
        <v>0</v>
      </c>
      <c r="P193" s="53">
        <v>0</v>
      </c>
      <c r="Q193" s="55">
        <v>0</v>
      </c>
      <c r="R193" s="53">
        <v>0</v>
      </c>
      <c r="S193" s="53">
        <v>0</v>
      </c>
      <c r="T193" s="56">
        <f>ROUND(Table1[[#This Row],['#punten]]/Table1[[#This Row],['#Wed]],1)</f>
        <v>0</v>
      </c>
      <c r="U193" s="54">
        <f>ROUND(Table1[[#This Row],['#punten]]/Table1[[#This Row],['#minuten]],2)</f>
        <v>0</v>
      </c>
      <c r="V193" s="53">
        <f>ROUND((Table1[[#This Row],['#punten]]/(Table1[[#This Row],['#minuten]]/90)),2)</f>
        <v>0</v>
      </c>
      <c r="W193" s="53">
        <v>0</v>
      </c>
      <c r="X193" s="57">
        <f>ROUND((Table1[[#This Row],[Goals]]+Table1[[#This Row],[Asissts]])/(Table1[[#This Row],['#minuten]]/90),2)</f>
        <v>0</v>
      </c>
    </row>
    <row r="194" spans="1:24" x14ac:dyDescent="0.2">
      <c r="A194" s="6" t="s">
        <v>178</v>
      </c>
      <c r="B194" s="51" t="s">
        <v>6</v>
      </c>
      <c r="C194" s="52">
        <v>2000000</v>
      </c>
      <c r="D194" s="53" t="s">
        <v>203</v>
      </c>
      <c r="E194" s="53">
        <v>21</v>
      </c>
      <c r="F194" s="53" t="s">
        <v>179</v>
      </c>
      <c r="G194" s="54">
        <v>210</v>
      </c>
      <c r="H194" s="55">
        <v>210</v>
      </c>
      <c r="I194" s="55">
        <f>Table1[[#This Row],[laatste 5 wed.]]/Table1[[#This Row],['#punten]]*100</f>
        <v>100</v>
      </c>
      <c r="J194" s="53">
        <v>3</v>
      </c>
      <c r="K194" s="53">
        <v>3</v>
      </c>
      <c r="L194" s="53">
        <v>263</v>
      </c>
      <c r="M194" s="53">
        <v>263</v>
      </c>
      <c r="N194" s="53">
        <f>Table1[[#This Row],[Min laatste 5]]/Table1[[#This Row],['#minuten]]*100</f>
        <v>100</v>
      </c>
      <c r="O194" s="53">
        <v>0</v>
      </c>
      <c r="P194" s="53">
        <v>0</v>
      </c>
      <c r="Q194" s="55">
        <v>0</v>
      </c>
      <c r="R194" s="53">
        <v>0</v>
      </c>
      <c r="S194" s="53">
        <v>1</v>
      </c>
      <c r="T194" s="56">
        <f>ROUND(Table1[[#This Row],['#punten]]/Table1[[#This Row],['#Wed]],1)</f>
        <v>70</v>
      </c>
      <c r="U194" s="54">
        <f>ROUND(Table1[[#This Row],['#punten]]/Table1[[#This Row],['#minuten]],2)</f>
        <v>0.8</v>
      </c>
      <c r="V194" s="53">
        <f>ROUND((Table1[[#This Row],['#punten]]/(Table1[[#This Row],['#minuten]]/90)),2)</f>
        <v>71.86</v>
      </c>
      <c r="W194" s="53">
        <f>ROUND(Table1[[#This Row],[Prijs]]/Table1[[#This Row],['#punten]],0)</f>
        <v>9524</v>
      </c>
      <c r="X194" s="57">
        <f>ROUND((Table1[[#This Row],[Goals]]+Table1[[#This Row],[Asissts]])/(Table1[[#This Row],['#minuten]]/90),2)</f>
        <v>0</v>
      </c>
    </row>
    <row r="195" spans="1:24" x14ac:dyDescent="0.2">
      <c r="A195" s="6" t="s">
        <v>227</v>
      </c>
      <c r="B195" s="28" t="s">
        <v>48</v>
      </c>
      <c r="C195" s="29">
        <v>2000000</v>
      </c>
      <c r="D195" s="30" t="s">
        <v>203</v>
      </c>
      <c r="E195" s="30">
        <v>25</v>
      </c>
      <c r="F195" s="30" t="s">
        <v>200</v>
      </c>
      <c r="G195" s="31">
        <v>180</v>
      </c>
      <c r="H195" s="32">
        <v>180</v>
      </c>
      <c r="I195" s="32">
        <f>Table1[[#This Row],[laatste 5 wed.]]/Table1[[#This Row],['#punten]]*100</f>
        <v>100</v>
      </c>
      <c r="J195" s="30">
        <v>4</v>
      </c>
      <c r="K195" s="30">
        <v>4</v>
      </c>
      <c r="L195" s="30">
        <v>360</v>
      </c>
      <c r="M195" s="30">
        <v>360</v>
      </c>
      <c r="N195" s="30">
        <f>Table1[[#This Row],[Min laatste 5]]/Table1[[#This Row],['#minuten]]*100</f>
        <v>100</v>
      </c>
      <c r="O195" s="30">
        <v>0</v>
      </c>
      <c r="P195" s="30">
        <v>0</v>
      </c>
      <c r="Q195" s="32">
        <v>0</v>
      </c>
      <c r="R195" s="30">
        <v>0</v>
      </c>
      <c r="S195" s="30">
        <v>1</v>
      </c>
      <c r="T195" s="33">
        <f>ROUND(Table1[[#This Row],['#punten]]/Table1[[#This Row],['#Wed]],1)</f>
        <v>45</v>
      </c>
      <c r="U195" s="31">
        <f>ROUND(Table1[[#This Row],['#punten]]/Table1[[#This Row],['#minuten]],2)</f>
        <v>0.5</v>
      </c>
      <c r="V195" s="30">
        <f>ROUND((Table1[[#This Row],['#punten]]/(Table1[[#This Row],['#minuten]]/90)),2)</f>
        <v>45</v>
      </c>
      <c r="W195" s="30">
        <f>ROUND(Table1[[#This Row],[Prijs]]/Table1[[#This Row],['#punten]],0)</f>
        <v>11111</v>
      </c>
      <c r="X195" s="34">
        <f>ROUND((Table1[[#This Row],[Goals]]+Table1[[#This Row],[Asissts]])/(Table1[[#This Row],['#minuten]]/90),2)</f>
        <v>0</v>
      </c>
    </row>
    <row r="196" spans="1:24" x14ac:dyDescent="0.2">
      <c r="A196" s="6" t="s">
        <v>208</v>
      </c>
      <c r="B196" s="51" t="s">
        <v>45</v>
      </c>
      <c r="C196" s="52">
        <v>2000000</v>
      </c>
      <c r="D196" s="53" t="s">
        <v>203</v>
      </c>
      <c r="E196" s="53">
        <v>22</v>
      </c>
      <c r="F196" s="53" t="s">
        <v>141</v>
      </c>
      <c r="G196" s="54">
        <v>108</v>
      </c>
      <c r="H196" s="55">
        <v>108</v>
      </c>
      <c r="I196" s="55">
        <f>Table1[[#This Row],[laatste 5 wed.]]/Table1[[#This Row],['#punten]]*100</f>
        <v>100</v>
      </c>
      <c r="J196" s="53">
        <v>3</v>
      </c>
      <c r="K196" s="53">
        <v>1</v>
      </c>
      <c r="L196" s="53">
        <v>131</v>
      </c>
      <c r="M196" s="53">
        <v>131</v>
      </c>
      <c r="N196" s="53">
        <f>Table1[[#This Row],[Min laatste 5]]/Table1[[#This Row],['#minuten]]*100</f>
        <v>100</v>
      </c>
      <c r="O196" s="53">
        <v>0</v>
      </c>
      <c r="P196" s="53">
        <v>0</v>
      </c>
      <c r="Q196" s="55">
        <v>0</v>
      </c>
      <c r="R196" s="53">
        <v>0</v>
      </c>
      <c r="S196" s="53">
        <v>1</v>
      </c>
      <c r="T196" s="56">
        <f>ROUND(Table1[[#This Row],['#punten]]/Table1[[#This Row],['#Wed]],1)</f>
        <v>36</v>
      </c>
      <c r="U196" s="54">
        <f>ROUND(Table1[[#This Row],['#punten]]/Table1[[#This Row],['#minuten]],2)</f>
        <v>0.82</v>
      </c>
      <c r="V196" s="53">
        <f>ROUND((Table1[[#This Row],['#punten]]/(Table1[[#This Row],['#minuten]]/90)),2)</f>
        <v>74.2</v>
      </c>
      <c r="W196" s="53">
        <f>ROUND(Table1[[#This Row],[Prijs]]/Table1[[#This Row],['#punten]],0)</f>
        <v>18519</v>
      </c>
      <c r="X196" s="57">
        <f>ROUND((Table1[[#This Row],[Goals]]+Table1[[#This Row],[Asissts]])/(Table1[[#This Row],['#minuten]]/90),2)</f>
        <v>0</v>
      </c>
    </row>
    <row r="197" spans="1:24" x14ac:dyDescent="0.2">
      <c r="A197" s="6" t="s">
        <v>360</v>
      </c>
      <c r="B197" s="28" t="s">
        <v>6</v>
      </c>
      <c r="C197" s="29">
        <v>2000000</v>
      </c>
      <c r="D197" s="30" t="s">
        <v>203</v>
      </c>
      <c r="E197" s="30">
        <v>21</v>
      </c>
      <c r="F197" s="30" t="s">
        <v>143</v>
      </c>
      <c r="G197" s="31">
        <v>102</v>
      </c>
      <c r="H197" s="32">
        <v>102</v>
      </c>
      <c r="I197" s="32">
        <f>Table1[[#This Row],[laatste 5 wed.]]/Table1[[#This Row],['#punten]]*100</f>
        <v>100</v>
      </c>
      <c r="J197" s="30">
        <v>2</v>
      </c>
      <c r="K197" s="30">
        <v>1</v>
      </c>
      <c r="L197" s="30">
        <v>120</v>
      </c>
      <c r="M197" s="30">
        <v>120</v>
      </c>
      <c r="N197" s="30">
        <f>Table1[[#This Row],[Min laatste 5]]/Table1[[#This Row],['#minuten]]*100</f>
        <v>100</v>
      </c>
      <c r="O197" s="30">
        <v>0</v>
      </c>
      <c r="P197" s="30">
        <v>0</v>
      </c>
      <c r="Q197" s="32">
        <v>0</v>
      </c>
      <c r="R197" s="30">
        <v>0</v>
      </c>
      <c r="S197" s="30">
        <v>1</v>
      </c>
      <c r="T197" s="33">
        <f>ROUND(Table1[[#This Row],['#punten]]/Table1[[#This Row],['#Wed]],1)</f>
        <v>51</v>
      </c>
      <c r="U197" s="31">
        <f>ROUND(Table1[[#This Row],['#punten]]/Table1[[#This Row],['#minuten]],2)</f>
        <v>0.85</v>
      </c>
      <c r="V197" s="30">
        <f>ROUND((Table1[[#This Row],['#punten]]/(Table1[[#This Row],['#minuten]]/90)),2)</f>
        <v>76.5</v>
      </c>
      <c r="W197" s="30">
        <f>ROUND(Table1[[#This Row],[Prijs]]/Table1[[#This Row],['#punten]],0)</f>
        <v>19608</v>
      </c>
      <c r="X197" s="34">
        <f>ROUND((Table1[[#This Row],[Goals]]+Table1[[#This Row],[Asissts]])/(Table1[[#This Row],['#minuten]]/90),2)</f>
        <v>0</v>
      </c>
    </row>
    <row r="198" spans="1:24" x14ac:dyDescent="0.2">
      <c r="A198" s="6" t="s">
        <v>331</v>
      </c>
      <c r="B198" s="51" t="s">
        <v>50</v>
      </c>
      <c r="C198" s="52">
        <v>2000000</v>
      </c>
      <c r="D198" s="53" t="s">
        <v>203</v>
      </c>
      <c r="E198" s="53">
        <v>24</v>
      </c>
      <c r="F198" s="53" t="s">
        <v>141</v>
      </c>
      <c r="G198" s="54">
        <v>78</v>
      </c>
      <c r="H198" s="55">
        <v>78</v>
      </c>
      <c r="I198" s="55">
        <f>Table1[[#This Row],[laatste 5 wed.]]/Table1[[#This Row],['#punten]]*100</f>
        <v>100</v>
      </c>
      <c r="J198" s="53">
        <v>3</v>
      </c>
      <c r="K198" s="53">
        <v>3</v>
      </c>
      <c r="L198" s="53">
        <v>270</v>
      </c>
      <c r="M198" s="53">
        <v>270</v>
      </c>
      <c r="N198" s="53">
        <f>Table1[[#This Row],[Min laatste 5]]/Table1[[#This Row],['#minuten]]*100</f>
        <v>100</v>
      </c>
      <c r="O198" s="53">
        <v>0</v>
      </c>
      <c r="P198" s="53">
        <v>0</v>
      </c>
      <c r="Q198" s="55">
        <v>0</v>
      </c>
      <c r="R198" s="53">
        <v>0</v>
      </c>
      <c r="S198" s="53">
        <v>0</v>
      </c>
      <c r="T198" s="56">
        <f>ROUND(Table1[[#This Row],['#punten]]/Table1[[#This Row],['#Wed]],1)</f>
        <v>26</v>
      </c>
      <c r="U198" s="54">
        <f>ROUND(Table1[[#This Row],['#punten]]/Table1[[#This Row],['#minuten]],2)</f>
        <v>0.28999999999999998</v>
      </c>
      <c r="V198" s="53">
        <f>ROUND((Table1[[#This Row],['#punten]]/(Table1[[#This Row],['#minuten]]/90)),2)</f>
        <v>26</v>
      </c>
      <c r="W198" s="53">
        <f>ROUND(Table1[[#This Row],[Prijs]]/Table1[[#This Row],['#punten]],0)</f>
        <v>25641</v>
      </c>
      <c r="X198" s="57">
        <f>ROUND((Table1[[#This Row],[Goals]]+Table1[[#This Row],[Asissts]])/(Table1[[#This Row],['#minuten]]/90),2)</f>
        <v>0</v>
      </c>
    </row>
    <row r="199" spans="1:24" x14ac:dyDescent="0.2">
      <c r="A199" s="6" t="s">
        <v>324</v>
      </c>
      <c r="B199" s="51" t="s">
        <v>317</v>
      </c>
      <c r="C199" s="52">
        <v>2000000</v>
      </c>
      <c r="D199" s="53" t="s">
        <v>203</v>
      </c>
      <c r="E199" s="53">
        <v>22</v>
      </c>
      <c r="F199" s="53" t="s">
        <v>141</v>
      </c>
      <c r="G199" s="54">
        <v>48</v>
      </c>
      <c r="H199" s="55">
        <v>48</v>
      </c>
      <c r="I199" s="55">
        <f>Table1[[#This Row],[laatste 5 wed.]]/Table1[[#This Row],['#punten]]*100</f>
        <v>100</v>
      </c>
      <c r="J199" s="53">
        <v>4</v>
      </c>
      <c r="K199" s="53">
        <v>4</v>
      </c>
      <c r="L199" s="53">
        <v>360</v>
      </c>
      <c r="M199" s="53">
        <v>360</v>
      </c>
      <c r="N199" s="53">
        <f>Table1[[#This Row],[Min laatste 5]]/Table1[[#This Row],['#minuten]]*100</f>
        <v>100</v>
      </c>
      <c r="O199" s="53">
        <v>0</v>
      </c>
      <c r="P199" s="53">
        <v>0</v>
      </c>
      <c r="Q199" s="55">
        <v>0</v>
      </c>
      <c r="R199" s="53">
        <v>0</v>
      </c>
      <c r="S199" s="53">
        <v>0</v>
      </c>
      <c r="T199" s="56">
        <f>ROUND(Table1[[#This Row],['#punten]]/Table1[[#This Row],['#Wed]],1)</f>
        <v>12</v>
      </c>
      <c r="U199" s="54">
        <f>ROUND(Table1[[#This Row],['#punten]]/Table1[[#This Row],['#minuten]],2)</f>
        <v>0.13</v>
      </c>
      <c r="V199" s="53">
        <f>ROUND((Table1[[#This Row],['#punten]]/(Table1[[#This Row],['#minuten]]/90)),2)</f>
        <v>12</v>
      </c>
      <c r="W199" s="53">
        <f>ROUND(Table1[[#This Row],[Prijs]]/Table1[[#This Row],['#punten]],0)</f>
        <v>41667</v>
      </c>
      <c r="X199" s="57">
        <f>ROUND((Table1[[#This Row],[Goals]]+Table1[[#This Row],[Asissts]])/(Table1[[#This Row],['#minuten]]/90),2)</f>
        <v>0</v>
      </c>
    </row>
    <row r="200" spans="1:24" x14ac:dyDescent="0.2">
      <c r="A200" s="6" t="s">
        <v>325</v>
      </c>
      <c r="B200" s="28" t="s">
        <v>317</v>
      </c>
      <c r="C200" s="29">
        <v>2000000</v>
      </c>
      <c r="D200" s="30" t="s">
        <v>203</v>
      </c>
      <c r="E200" s="30">
        <v>30</v>
      </c>
      <c r="F200" s="30" t="s">
        <v>141</v>
      </c>
      <c r="G200" s="31">
        <v>24</v>
      </c>
      <c r="H200" s="32">
        <v>24</v>
      </c>
      <c r="I200" s="32">
        <f>Table1[[#This Row],[laatste 5 wed.]]/Table1[[#This Row],['#punten]]*100</f>
        <v>100</v>
      </c>
      <c r="J200" s="30">
        <v>4</v>
      </c>
      <c r="K200" s="30">
        <v>4</v>
      </c>
      <c r="L200" s="30">
        <v>360</v>
      </c>
      <c r="M200" s="30">
        <v>360</v>
      </c>
      <c r="N200" s="30">
        <f>Table1[[#This Row],[Min laatste 5]]/Table1[[#This Row],['#minuten]]*100</f>
        <v>100</v>
      </c>
      <c r="O200" s="30">
        <v>0</v>
      </c>
      <c r="P200" s="30">
        <v>0</v>
      </c>
      <c r="Q200" s="32">
        <v>1</v>
      </c>
      <c r="R200" s="30">
        <v>0</v>
      </c>
      <c r="S200" s="30">
        <v>0</v>
      </c>
      <c r="T200" s="33">
        <f>ROUND(Table1[[#This Row],['#punten]]/Table1[[#This Row],['#Wed]],1)</f>
        <v>6</v>
      </c>
      <c r="U200" s="31">
        <f>ROUND(Table1[[#This Row],['#punten]]/Table1[[#This Row],['#minuten]],2)</f>
        <v>7.0000000000000007E-2</v>
      </c>
      <c r="V200" s="30">
        <f>ROUND((Table1[[#This Row],['#punten]]/(Table1[[#This Row],['#minuten]]/90)),2)</f>
        <v>6</v>
      </c>
      <c r="W200" s="30">
        <f>ROUND(Table1[[#This Row],[Prijs]]/Table1[[#This Row],['#punten]],0)</f>
        <v>83333</v>
      </c>
      <c r="X200" s="34">
        <f>ROUND((Table1[[#This Row],[Goals]]+Table1[[#This Row],[Asissts]])/(Table1[[#This Row],['#minuten]]/90),2)</f>
        <v>0</v>
      </c>
    </row>
    <row r="201" spans="1:24" x14ac:dyDescent="0.2">
      <c r="A201" s="6" t="s">
        <v>330</v>
      </c>
      <c r="B201" s="51" t="s">
        <v>50</v>
      </c>
      <c r="C201" s="52">
        <v>2000000</v>
      </c>
      <c r="D201" s="53" t="s">
        <v>203</v>
      </c>
      <c r="E201" s="53">
        <v>30</v>
      </c>
      <c r="F201" s="53" t="s">
        <v>143</v>
      </c>
      <c r="G201" s="54">
        <v>12</v>
      </c>
      <c r="H201" s="55">
        <v>12</v>
      </c>
      <c r="I201" s="55">
        <f>Table1[[#This Row],[laatste 5 wed.]]/Table1[[#This Row],['#punten]]*100</f>
        <v>100</v>
      </c>
      <c r="J201" s="53">
        <v>1</v>
      </c>
      <c r="K201" s="53">
        <v>1</v>
      </c>
      <c r="L201" s="53">
        <v>67</v>
      </c>
      <c r="M201" s="53">
        <v>67</v>
      </c>
      <c r="N201" s="53">
        <f>Table1[[#This Row],[Min laatste 5]]/Table1[[#This Row],['#minuten]]*100</f>
        <v>100</v>
      </c>
      <c r="O201" s="53">
        <v>0</v>
      </c>
      <c r="P201" s="53">
        <v>0</v>
      </c>
      <c r="Q201" s="55">
        <v>0</v>
      </c>
      <c r="R201" s="53">
        <v>0</v>
      </c>
      <c r="S201" s="53">
        <v>0</v>
      </c>
      <c r="T201" s="56">
        <f>ROUND(Table1[[#This Row],['#punten]]/Table1[[#This Row],['#Wed]],1)</f>
        <v>12</v>
      </c>
      <c r="U201" s="54">
        <f>ROUND(Table1[[#This Row],['#punten]]/Table1[[#This Row],['#minuten]],2)</f>
        <v>0.18</v>
      </c>
      <c r="V201" s="53">
        <f>ROUND((Table1[[#This Row],['#punten]]/(Table1[[#This Row],['#minuten]]/90)),2)</f>
        <v>16.12</v>
      </c>
      <c r="W201" s="53">
        <f>ROUND(Table1[[#This Row],[Prijs]]/Table1[[#This Row],['#punten]],0)</f>
        <v>166667</v>
      </c>
      <c r="X201" s="57">
        <f>ROUND((Table1[[#This Row],[Goals]]+Table1[[#This Row],[Asissts]])/(Table1[[#This Row],['#minuten]]/90),2)</f>
        <v>0</v>
      </c>
    </row>
    <row r="202" spans="1:24" x14ac:dyDescent="0.2">
      <c r="A202" s="6" t="s">
        <v>119</v>
      </c>
      <c r="B202" s="51" t="s">
        <v>47</v>
      </c>
      <c r="C202" s="52">
        <v>1750000</v>
      </c>
      <c r="D202" s="53" t="s">
        <v>203</v>
      </c>
      <c r="E202" s="53">
        <v>32</v>
      </c>
      <c r="F202" s="53" t="s">
        <v>141</v>
      </c>
      <c r="G202" s="54">
        <v>168</v>
      </c>
      <c r="H202" s="55">
        <v>168</v>
      </c>
      <c r="I202" s="55">
        <f>Table1[[#This Row],[laatste 5 wed.]]/Table1[[#This Row],['#punten]]*100</f>
        <v>100</v>
      </c>
      <c r="J202" s="53">
        <v>4</v>
      </c>
      <c r="K202" s="53">
        <v>4</v>
      </c>
      <c r="L202" s="53">
        <v>360</v>
      </c>
      <c r="M202" s="53">
        <v>360</v>
      </c>
      <c r="N202" s="53">
        <f>Table1[[#This Row],[Min laatste 5]]/Table1[[#This Row],['#minuten]]*100</f>
        <v>100</v>
      </c>
      <c r="O202" s="53">
        <v>0</v>
      </c>
      <c r="P202" s="53">
        <v>0</v>
      </c>
      <c r="Q202" s="55">
        <v>0</v>
      </c>
      <c r="R202" s="53">
        <v>0</v>
      </c>
      <c r="S202" s="53">
        <v>0</v>
      </c>
      <c r="T202" s="56">
        <f>ROUND(Table1[[#This Row],['#punten]]/Table1[[#This Row],['#Wed]],1)</f>
        <v>42</v>
      </c>
      <c r="U202" s="54">
        <f>ROUND(Table1[[#This Row],['#punten]]/Table1[[#This Row],['#minuten]],2)</f>
        <v>0.47</v>
      </c>
      <c r="V202" s="53">
        <f>ROUND((Table1[[#This Row],['#punten]]/(Table1[[#This Row],['#minuten]]/90)),2)</f>
        <v>42</v>
      </c>
      <c r="W202" s="53">
        <f>ROUND(Table1[[#This Row],[Prijs]]/Table1[[#This Row],['#punten]],0)</f>
        <v>10417</v>
      </c>
      <c r="X202" s="57">
        <f>ROUND((Table1[[#This Row],[Goals]]+Table1[[#This Row],[Asissts]])/(Table1[[#This Row],['#minuten]]/90),2)</f>
        <v>0</v>
      </c>
    </row>
    <row r="203" spans="1:24" x14ac:dyDescent="0.2">
      <c r="A203" s="6" t="s">
        <v>304</v>
      </c>
      <c r="B203" s="51" t="s">
        <v>47</v>
      </c>
      <c r="C203" s="52">
        <v>1750000</v>
      </c>
      <c r="D203" s="53" t="s">
        <v>203</v>
      </c>
      <c r="E203" s="53">
        <v>27</v>
      </c>
      <c r="F203" s="53" t="s">
        <v>141</v>
      </c>
      <c r="G203" s="54">
        <v>144</v>
      </c>
      <c r="H203" s="55">
        <v>144</v>
      </c>
      <c r="I203" s="55">
        <f>Table1[[#This Row],[laatste 5 wed.]]/Table1[[#This Row],['#punten]]*100</f>
        <v>100</v>
      </c>
      <c r="J203" s="53">
        <v>4</v>
      </c>
      <c r="K203" s="53">
        <v>4</v>
      </c>
      <c r="L203" s="53">
        <v>360</v>
      </c>
      <c r="M203" s="53">
        <v>360</v>
      </c>
      <c r="N203" s="53">
        <f>Table1[[#This Row],[Min laatste 5]]/Table1[[#This Row],['#minuten]]*100</f>
        <v>100</v>
      </c>
      <c r="O203" s="53">
        <v>0</v>
      </c>
      <c r="P203" s="53">
        <v>0</v>
      </c>
      <c r="Q203" s="55">
        <v>1</v>
      </c>
      <c r="R203" s="53">
        <v>0</v>
      </c>
      <c r="S203" s="53">
        <v>0</v>
      </c>
      <c r="T203" s="56">
        <f>ROUND(Table1[[#This Row],['#punten]]/Table1[[#This Row],['#Wed]],1)</f>
        <v>36</v>
      </c>
      <c r="U203" s="54">
        <f>ROUND(Table1[[#This Row],['#punten]]/Table1[[#This Row],['#minuten]],2)</f>
        <v>0.4</v>
      </c>
      <c r="V203" s="53">
        <f>ROUND((Table1[[#This Row],['#punten]]/(Table1[[#This Row],['#minuten]]/90)),2)</f>
        <v>36</v>
      </c>
      <c r="W203" s="53">
        <f>ROUND(Table1[[#This Row],[Prijs]]/Table1[[#This Row],['#punten]],0)</f>
        <v>12153</v>
      </c>
      <c r="X203" s="57">
        <f>ROUND((Table1[[#This Row],[Goals]]+Table1[[#This Row],[Asissts]])/(Table1[[#This Row],['#minuten]]/90),2)</f>
        <v>0</v>
      </c>
    </row>
    <row r="204" spans="1:24" x14ac:dyDescent="0.2">
      <c r="A204" s="6" t="s">
        <v>334</v>
      </c>
      <c r="B204" s="51" t="s">
        <v>50</v>
      </c>
      <c r="C204" s="52">
        <v>1750000</v>
      </c>
      <c r="D204" s="53" t="s">
        <v>203</v>
      </c>
      <c r="E204" s="53">
        <v>31</v>
      </c>
      <c r="F204" s="53" t="s">
        <v>160</v>
      </c>
      <c r="G204" s="54">
        <v>54</v>
      </c>
      <c r="H204" s="55">
        <v>54</v>
      </c>
      <c r="I204" s="55">
        <f>Table1[[#This Row],[laatste 5 wed.]]/Table1[[#This Row],['#punten]]*100</f>
        <v>100</v>
      </c>
      <c r="J204" s="53">
        <v>3</v>
      </c>
      <c r="K204" s="53">
        <v>3</v>
      </c>
      <c r="L204" s="53">
        <v>270</v>
      </c>
      <c r="M204" s="53">
        <v>270</v>
      </c>
      <c r="N204" s="53">
        <f>Table1[[#This Row],[Min laatste 5]]/Table1[[#This Row],['#minuten]]*100</f>
        <v>100</v>
      </c>
      <c r="O204" s="53">
        <v>0</v>
      </c>
      <c r="P204" s="53">
        <v>0</v>
      </c>
      <c r="Q204" s="55">
        <v>1</v>
      </c>
      <c r="R204" s="53">
        <v>0</v>
      </c>
      <c r="S204" s="53">
        <v>0</v>
      </c>
      <c r="T204" s="56">
        <f>ROUND(Table1[[#This Row],['#punten]]/Table1[[#This Row],['#Wed]],1)</f>
        <v>18</v>
      </c>
      <c r="U204" s="54">
        <f>ROUND(Table1[[#This Row],['#punten]]/Table1[[#This Row],['#minuten]],2)</f>
        <v>0.2</v>
      </c>
      <c r="V204" s="53">
        <f>ROUND((Table1[[#This Row],['#punten]]/(Table1[[#This Row],['#minuten]]/90)),2)</f>
        <v>18</v>
      </c>
      <c r="W204" s="53">
        <f>ROUND(Table1[[#This Row],[Prijs]]/Table1[[#This Row],['#punten]],0)</f>
        <v>32407</v>
      </c>
      <c r="X204" s="57">
        <f>ROUND((Table1[[#This Row],[Goals]]+Table1[[#This Row],[Asissts]])/(Table1[[#This Row],['#minuten]]/90),2)</f>
        <v>0</v>
      </c>
    </row>
    <row r="205" spans="1:24" x14ac:dyDescent="0.2">
      <c r="A205" s="6" t="s">
        <v>383</v>
      </c>
      <c r="B205" s="51" t="s">
        <v>50</v>
      </c>
      <c r="C205" s="52">
        <v>1500000</v>
      </c>
      <c r="D205" s="53" t="s">
        <v>203</v>
      </c>
      <c r="E205" s="53">
        <v>22</v>
      </c>
      <c r="F205" s="53" t="s">
        <v>141</v>
      </c>
      <c r="G205" s="54">
        <v>0</v>
      </c>
      <c r="H205" s="55">
        <v>0</v>
      </c>
      <c r="I205" s="55">
        <v>100</v>
      </c>
      <c r="J205" s="53">
        <v>1</v>
      </c>
      <c r="K205" s="53">
        <v>0</v>
      </c>
      <c r="L205" s="53">
        <v>23</v>
      </c>
      <c r="M205" s="53">
        <v>23</v>
      </c>
      <c r="N205" s="53">
        <f>Table1[[#This Row],[Min laatste 5]]/Table1[[#This Row],['#minuten]]*100</f>
        <v>100</v>
      </c>
      <c r="O205" s="53">
        <v>0</v>
      </c>
      <c r="P205" s="53">
        <v>0</v>
      </c>
      <c r="Q205" s="55">
        <v>0</v>
      </c>
      <c r="R205" s="53">
        <v>0</v>
      </c>
      <c r="S205" s="53">
        <v>0</v>
      </c>
      <c r="T205" s="56">
        <f>ROUND(Table1[[#This Row],['#punten]]/Table1[[#This Row],['#Wed]],1)</f>
        <v>0</v>
      </c>
      <c r="U205" s="54">
        <f>ROUND(Table1[[#This Row],['#punten]]/Table1[[#This Row],['#minuten]],2)</f>
        <v>0</v>
      </c>
      <c r="V205" s="53">
        <f>ROUND((Table1[[#This Row],['#punten]]/(Table1[[#This Row],['#minuten]]/90)),2)</f>
        <v>0</v>
      </c>
      <c r="W205" s="53">
        <v>0</v>
      </c>
      <c r="X205" s="57">
        <f>ROUND((Table1[[#This Row],[Goals]]+Table1[[#This Row],[Asissts]])/(Table1[[#This Row],['#minuten]]/90),2)</f>
        <v>0</v>
      </c>
    </row>
    <row r="206" spans="1:24" x14ac:dyDescent="0.2">
      <c r="A206" s="6" t="s">
        <v>348</v>
      </c>
      <c r="B206" s="51" t="s">
        <v>51</v>
      </c>
      <c r="C206" s="52">
        <v>1500000</v>
      </c>
      <c r="D206" s="53" t="s">
        <v>203</v>
      </c>
      <c r="E206" s="53">
        <v>21</v>
      </c>
      <c r="F206" s="53" t="s">
        <v>141</v>
      </c>
      <c r="G206" s="54">
        <v>0</v>
      </c>
      <c r="H206" s="55">
        <v>0</v>
      </c>
      <c r="I206" s="55">
        <v>100</v>
      </c>
      <c r="J206" s="53">
        <v>2</v>
      </c>
      <c r="K206" s="53">
        <v>2</v>
      </c>
      <c r="L206" s="53">
        <v>180</v>
      </c>
      <c r="M206" s="53">
        <v>180</v>
      </c>
      <c r="N206" s="53">
        <f>Table1[[#This Row],[Min laatste 5]]/Table1[[#This Row],['#minuten]]*100</f>
        <v>100</v>
      </c>
      <c r="O206" s="53">
        <v>0</v>
      </c>
      <c r="P206" s="53">
        <v>0</v>
      </c>
      <c r="Q206" s="55">
        <v>0</v>
      </c>
      <c r="R206" s="53">
        <v>0</v>
      </c>
      <c r="S206" s="53">
        <v>0</v>
      </c>
      <c r="T206" s="56">
        <f>ROUND(Table1[[#This Row],['#punten]]/Table1[[#This Row],['#Wed]],1)</f>
        <v>0</v>
      </c>
      <c r="U206" s="54">
        <f>ROUND(Table1[[#This Row],['#punten]]/Table1[[#This Row],['#minuten]],2)</f>
        <v>0</v>
      </c>
      <c r="V206" s="53">
        <f>ROUND((Table1[[#This Row],['#punten]]/(Table1[[#This Row],['#minuten]]/90)),2)</f>
        <v>0</v>
      </c>
      <c r="W206" s="53">
        <v>0</v>
      </c>
      <c r="X206" s="57">
        <f>ROUND((Table1[[#This Row],[Goals]]+Table1[[#This Row],[Asissts]])/(Table1[[#This Row],['#minuten]]/90),2)</f>
        <v>0</v>
      </c>
    </row>
    <row r="207" spans="1:24" x14ac:dyDescent="0.2">
      <c r="A207" s="6" t="s">
        <v>228</v>
      </c>
      <c r="B207" s="28" t="s">
        <v>48</v>
      </c>
      <c r="C207" s="29">
        <v>1500000</v>
      </c>
      <c r="D207" s="30" t="s">
        <v>203</v>
      </c>
      <c r="E207" s="30">
        <v>21</v>
      </c>
      <c r="F207" s="30" t="s">
        <v>141</v>
      </c>
      <c r="G207" s="31">
        <v>156</v>
      </c>
      <c r="H207" s="32">
        <v>156</v>
      </c>
      <c r="I207" s="32">
        <f>Table1[[#This Row],[laatste 5 wed.]]/Table1[[#This Row],['#punten]]*100</f>
        <v>100</v>
      </c>
      <c r="J207" s="30">
        <v>4</v>
      </c>
      <c r="K207" s="30">
        <v>4</v>
      </c>
      <c r="L207" s="30">
        <v>342</v>
      </c>
      <c r="M207" s="30">
        <v>342</v>
      </c>
      <c r="N207" s="30">
        <f>Table1[[#This Row],[Min laatste 5]]/Table1[[#This Row],['#minuten]]*100</f>
        <v>100</v>
      </c>
      <c r="O207" s="30">
        <v>0</v>
      </c>
      <c r="P207" s="30">
        <v>0</v>
      </c>
      <c r="Q207" s="32">
        <v>1</v>
      </c>
      <c r="R207" s="30">
        <v>0</v>
      </c>
      <c r="S207" s="30">
        <v>1</v>
      </c>
      <c r="T207" s="26">
        <f>ROUND(Table1[[#This Row],['#punten]]/Table1[[#This Row],['#Wed]],1)</f>
        <v>39</v>
      </c>
      <c r="U207" s="24">
        <f>ROUND(Table1[[#This Row],['#punten]]/Table1[[#This Row],['#minuten]],2)</f>
        <v>0.46</v>
      </c>
      <c r="V207" s="23">
        <f>ROUND((Table1[[#This Row],['#punten]]/(Table1[[#This Row],['#minuten]]/90)),2)</f>
        <v>41.05</v>
      </c>
      <c r="W207" s="23">
        <f>ROUND(Table1[[#This Row],[Prijs]]/Table1[[#This Row],['#punten]],0)</f>
        <v>9615</v>
      </c>
      <c r="X207" s="27">
        <f>ROUND((Table1[[#This Row],[Goals]]+Table1[[#This Row],[Asissts]])/(Table1[[#This Row],['#minuten]]/90),2)</f>
        <v>0</v>
      </c>
    </row>
    <row r="208" spans="1:24" x14ac:dyDescent="0.2">
      <c r="A208" s="6" t="s">
        <v>305</v>
      </c>
      <c r="B208" s="51" t="s">
        <v>47</v>
      </c>
      <c r="C208" s="52">
        <v>1500000</v>
      </c>
      <c r="D208" s="53" t="s">
        <v>203</v>
      </c>
      <c r="E208" s="53">
        <v>28</v>
      </c>
      <c r="F208" s="53" t="s">
        <v>306</v>
      </c>
      <c r="G208" s="54">
        <v>144</v>
      </c>
      <c r="H208" s="55">
        <v>144</v>
      </c>
      <c r="I208" s="55">
        <f>Table1[[#This Row],[laatste 5 wed.]]/Table1[[#This Row],['#punten]]*100</f>
        <v>100</v>
      </c>
      <c r="J208" s="53">
        <v>4</v>
      </c>
      <c r="K208" s="53">
        <v>4</v>
      </c>
      <c r="L208" s="53">
        <v>360</v>
      </c>
      <c r="M208" s="53">
        <v>360</v>
      </c>
      <c r="N208" s="53">
        <f>Table1[[#This Row],[Min laatste 5]]/Table1[[#This Row],['#minuten]]*100</f>
        <v>100</v>
      </c>
      <c r="O208" s="53">
        <v>0</v>
      </c>
      <c r="P208" s="53">
        <v>0</v>
      </c>
      <c r="Q208" s="55">
        <v>1</v>
      </c>
      <c r="R208" s="53">
        <v>0</v>
      </c>
      <c r="S208" s="53">
        <v>0</v>
      </c>
      <c r="T208" s="56">
        <f>ROUND(Table1[[#This Row],['#punten]]/Table1[[#This Row],['#Wed]],1)</f>
        <v>36</v>
      </c>
      <c r="U208" s="54">
        <f>ROUND(Table1[[#This Row],['#punten]]/Table1[[#This Row],['#minuten]],2)</f>
        <v>0.4</v>
      </c>
      <c r="V208" s="53">
        <f>ROUND((Table1[[#This Row],['#punten]]/(Table1[[#This Row],['#minuten]]/90)),2)</f>
        <v>36</v>
      </c>
      <c r="W208" s="53">
        <f>ROUND(Table1[[#This Row],[Prijs]]/Table1[[#This Row],['#punten]],0)</f>
        <v>10417</v>
      </c>
      <c r="X208" s="57">
        <f>ROUND((Table1[[#This Row],[Goals]]+Table1[[#This Row],[Asissts]])/(Table1[[#This Row],['#minuten]]/90),2)</f>
        <v>0</v>
      </c>
    </row>
    <row r="209" spans="1:24" x14ac:dyDescent="0.2">
      <c r="A209" s="6" t="s">
        <v>251</v>
      </c>
      <c r="B209" s="28" t="s">
        <v>10</v>
      </c>
      <c r="C209" s="29">
        <v>1500000</v>
      </c>
      <c r="D209" s="30" t="s">
        <v>203</v>
      </c>
      <c r="E209" s="30">
        <v>33</v>
      </c>
      <c r="F209" s="30" t="s">
        <v>141</v>
      </c>
      <c r="G209" s="31">
        <v>120</v>
      </c>
      <c r="H209" s="32">
        <v>120</v>
      </c>
      <c r="I209" s="32">
        <f>Table1[[#This Row],[laatste 5 wed.]]/Table1[[#This Row],['#punten]]*100</f>
        <v>100</v>
      </c>
      <c r="J209" s="30">
        <v>4</v>
      </c>
      <c r="K209" s="30">
        <v>4</v>
      </c>
      <c r="L209" s="30">
        <v>315</v>
      </c>
      <c r="M209" s="30">
        <v>315</v>
      </c>
      <c r="N209" s="30">
        <f>Table1[[#This Row],[Min laatste 5]]/Table1[[#This Row],['#minuten]]*100</f>
        <v>100</v>
      </c>
      <c r="O209" s="30">
        <v>0</v>
      </c>
      <c r="P209" s="30">
        <v>0</v>
      </c>
      <c r="Q209" s="32">
        <v>1</v>
      </c>
      <c r="R209" s="30">
        <v>0</v>
      </c>
      <c r="S209" s="30">
        <v>1</v>
      </c>
      <c r="T209" s="26">
        <f>ROUND(Table1[[#This Row],['#punten]]/Table1[[#This Row],['#Wed]],1)</f>
        <v>30</v>
      </c>
      <c r="U209" s="24">
        <f>ROUND(Table1[[#This Row],['#punten]]/Table1[[#This Row],['#minuten]],2)</f>
        <v>0.38</v>
      </c>
      <c r="V209" s="23">
        <f>ROUND((Table1[[#This Row],['#punten]]/(Table1[[#This Row],['#minuten]]/90)),2)</f>
        <v>34.29</v>
      </c>
      <c r="W209" s="23">
        <f>ROUND(Table1[[#This Row],[Prijs]]/Table1[[#This Row],['#punten]],0)</f>
        <v>12500</v>
      </c>
      <c r="X209" s="27">
        <f>ROUND((Table1[[#This Row],[Goals]]+Table1[[#This Row],[Asissts]])/(Table1[[#This Row],['#minuten]]/90),2)</f>
        <v>0</v>
      </c>
    </row>
    <row r="210" spans="1:24" x14ac:dyDescent="0.2">
      <c r="A210" s="6" t="s">
        <v>378</v>
      </c>
      <c r="B210" s="51" t="s">
        <v>49</v>
      </c>
      <c r="C210" s="52">
        <v>1500000</v>
      </c>
      <c r="D210" s="53" t="s">
        <v>203</v>
      </c>
      <c r="E210" s="53">
        <v>20</v>
      </c>
      <c r="F210" s="53" t="s">
        <v>141</v>
      </c>
      <c r="G210" s="54">
        <v>102</v>
      </c>
      <c r="H210" s="55">
        <v>102</v>
      </c>
      <c r="I210" s="55">
        <f>Table1[[#This Row],[laatste 5 wed.]]/Table1[[#This Row],['#punten]]*100</f>
        <v>100</v>
      </c>
      <c r="J210" s="53">
        <v>2</v>
      </c>
      <c r="K210" s="53">
        <v>1</v>
      </c>
      <c r="L210" s="53">
        <v>113</v>
      </c>
      <c r="M210" s="53">
        <v>113</v>
      </c>
      <c r="N210" s="53">
        <f>Table1[[#This Row],[Min laatste 5]]/Table1[[#This Row],['#minuten]]*100</f>
        <v>100</v>
      </c>
      <c r="O210" s="53">
        <v>0</v>
      </c>
      <c r="P210" s="53">
        <v>0</v>
      </c>
      <c r="Q210" s="55">
        <v>0</v>
      </c>
      <c r="R210" s="53">
        <v>0</v>
      </c>
      <c r="S210" s="53">
        <v>1</v>
      </c>
      <c r="T210" s="56">
        <f>ROUND(Table1[[#This Row],['#punten]]/Table1[[#This Row],['#Wed]],1)</f>
        <v>51</v>
      </c>
      <c r="U210" s="54">
        <f>ROUND(Table1[[#This Row],['#punten]]/Table1[[#This Row],['#minuten]],2)</f>
        <v>0.9</v>
      </c>
      <c r="V210" s="53">
        <f>ROUND((Table1[[#This Row],['#punten]]/(Table1[[#This Row],['#minuten]]/90)),2)</f>
        <v>81.239999999999995</v>
      </c>
      <c r="W210" s="53">
        <f>ROUND(Table1[[#This Row],[Prijs]]/Table1[[#This Row],['#punten]],0)</f>
        <v>14706</v>
      </c>
      <c r="X210" s="57">
        <f>ROUND((Table1[[#This Row],[Goals]]+Table1[[#This Row],[Asissts]])/(Table1[[#This Row],['#minuten]]/90),2)</f>
        <v>0</v>
      </c>
    </row>
    <row r="211" spans="1:24" x14ac:dyDescent="0.2">
      <c r="A211" s="6" t="s">
        <v>335</v>
      </c>
      <c r="B211" s="51" t="s">
        <v>50</v>
      </c>
      <c r="C211" s="52">
        <v>1500000</v>
      </c>
      <c r="D211" s="53" t="s">
        <v>203</v>
      </c>
      <c r="E211" s="53">
        <v>22</v>
      </c>
      <c r="F211" s="53" t="s">
        <v>153</v>
      </c>
      <c r="G211" s="54">
        <v>78</v>
      </c>
      <c r="H211" s="55">
        <v>78</v>
      </c>
      <c r="I211" s="55">
        <f>Table1[[#This Row],[laatste 5 wed.]]/Table1[[#This Row],['#punten]]*100</f>
        <v>100</v>
      </c>
      <c r="J211" s="53">
        <v>3</v>
      </c>
      <c r="K211" s="53">
        <v>3</v>
      </c>
      <c r="L211" s="53">
        <v>247</v>
      </c>
      <c r="M211" s="53">
        <v>247</v>
      </c>
      <c r="N211" s="53">
        <f>Table1[[#This Row],[Min laatste 5]]/Table1[[#This Row],['#minuten]]*100</f>
        <v>100</v>
      </c>
      <c r="O211" s="53">
        <v>0</v>
      </c>
      <c r="P211" s="53">
        <v>0</v>
      </c>
      <c r="Q211" s="55">
        <v>0</v>
      </c>
      <c r="R211" s="53">
        <v>0</v>
      </c>
      <c r="S211" s="53">
        <v>0</v>
      </c>
      <c r="T211" s="56">
        <f>ROUND(Table1[[#This Row],['#punten]]/Table1[[#This Row],['#Wed]],1)</f>
        <v>26</v>
      </c>
      <c r="U211" s="54">
        <f>ROUND(Table1[[#This Row],['#punten]]/Table1[[#This Row],['#minuten]],2)</f>
        <v>0.32</v>
      </c>
      <c r="V211" s="53">
        <f>ROUND((Table1[[#This Row],['#punten]]/(Table1[[#This Row],['#minuten]]/90)),2)</f>
        <v>28.42</v>
      </c>
      <c r="W211" s="53">
        <f>ROUND(Table1[[#This Row],[Prijs]]/Table1[[#This Row],['#punten]],0)</f>
        <v>19231</v>
      </c>
      <c r="X211" s="57">
        <f>ROUND((Table1[[#This Row],[Goals]]+Table1[[#This Row],[Asissts]])/(Table1[[#This Row],['#minuten]]/90),2)</f>
        <v>0</v>
      </c>
    </row>
    <row r="212" spans="1:24" x14ac:dyDescent="0.2">
      <c r="A212" s="6" t="s">
        <v>368</v>
      </c>
      <c r="B212" s="28" t="s">
        <v>10</v>
      </c>
      <c r="C212" s="29">
        <v>1500000</v>
      </c>
      <c r="D212" s="30" t="s">
        <v>203</v>
      </c>
      <c r="E212" s="30">
        <v>26</v>
      </c>
      <c r="F212" s="30" t="s">
        <v>141</v>
      </c>
      <c r="G212" s="31">
        <v>42</v>
      </c>
      <c r="H212" s="32">
        <v>42</v>
      </c>
      <c r="I212" s="32">
        <f>Table1[[#This Row],[laatste 5 wed.]]/Table1[[#This Row],['#punten]]*100</f>
        <v>100</v>
      </c>
      <c r="J212" s="30">
        <v>1</v>
      </c>
      <c r="K212" s="30">
        <v>1</v>
      </c>
      <c r="L212" s="30">
        <v>62</v>
      </c>
      <c r="M212" s="30">
        <v>62</v>
      </c>
      <c r="N212" s="30">
        <f>Table1[[#This Row],[Min laatste 5]]/Table1[[#This Row],['#minuten]]*100</f>
        <v>100</v>
      </c>
      <c r="O212" s="30">
        <v>0</v>
      </c>
      <c r="P212" s="30">
        <v>0</v>
      </c>
      <c r="Q212" s="32">
        <v>0</v>
      </c>
      <c r="R212" s="30">
        <v>0</v>
      </c>
      <c r="S212" s="30">
        <v>0</v>
      </c>
      <c r="T212" s="33">
        <f>ROUND(Table1[[#This Row],['#punten]]/Table1[[#This Row],['#Wed]],1)</f>
        <v>42</v>
      </c>
      <c r="U212" s="31">
        <f>ROUND(Table1[[#This Row],['#punten]]/Table1[[#This Row],['#minuten]],2)</f>
        <v>0.68</v>
      </c>
      <c r="V212" s="30">
        <f>ROUND((Table1[[#This Row],['#punten]]/(Table1[[#This Row],['#minuten]]/90)),2)</f>
        <v>60.97</v>
      </c>
      <c r="W212" s="30">
        <f>ROUND(Table1[[#This Row],[Prijs]]/Table1[[#This Row],['#punten]],0)</f>
        <v>35714</v>
      </c>
      <c r="X212" s="34">
        <f>ROUND((Table1[[#This Row],[Goals]]+Table1[[#This Row],[Asissts]])/(Table1[[#This Row],['#minuten]]/90),2)</f>
        <v>0</v>
      </c>
    </row>
    <row r="213" spans="1:24" x14ac:dyDescent="0.2">
      <c r="A213" s="6" t="s">
        <v>288</v>
      </c>
      <c r="B213" s="51" t="s">
        <v>40</v>
      </c>
      <c r="C213" s="52">
        <v>1500000</v>
      </c>
      <c r="D213" s="53" t="s">
        <v>203</v>
      </c>
      <c r="E213" s="53">
        <v>25</v>
      </c>
      <c r="F213" s="53" t="s">
        <v>141</v>
      </c>
      <c r="G213" s="54">
        <v>24</v>
      </c>
      <c r="H213" s="55">
        <v>24</v>
      </c>
      <c r="I213" s="55">
        <f>Table1[[#This Row],[laatste 5 wed.]]/Table1[[#This Row],['#punten]]*100</f>
        <v>100</v>
      </c>
      <c r="J213" s="53">
        <v>4</v>
      </c>
      <c r="K213" s="53">
        <v>4</v>
      </c>
      <c r="L213" s="53">
        <v>345</v>
      </c>
      <c r="M213" s="53">
        <v>345</v>
      </c>
      <c r="N213" s="53">
        <f>Table1[[#This Row],[Min laatste 5]]/Table1[[#This Row],['#minuten]]*100</f>
        <v>100</v>
      </c>
      <c r="O213" s="53">
        <v>0</v>
      </c>
      <c r="P213" s="53">
        <v>0</v>
      </c>
      <c r="Q213" s="55">
        <v>0</v>
      </c>
      <c r="R213" s="53">
        <v>0</v>
      </c>
      <c r="S213" s="53">
        <v>0</v>
      </c>
      <c r="T213" s="56">
        <f>ROUND(Table1[[#This Row],['#punten]]/Table1[[#This Row],['#Wed]],1)</f>
        <v>6</v>
      </c>
      <c r="U213" s="54">
        <f>ROUND(Table1[[#This Row],['#punten]]/Table1[[#This Row],['#minuten]],2)</f>
        <v>7.0000000000000007E-2</v>
      </c>
      <c r="V213" s="53">
        <f>ROUND((Table1[[#This Row],['#punten]]/(Table1[[#This Row],['#minuten]]/90)),2)</f>
        <v>6.26</v>
      </c>
      <c r="W213" s="53">
        <f>ROUND(Table1[[#This Row],[Prijs]]/Table1[[#This Row],['#punten]],0)</f>
        <v>62500</v>
      </c>
      <c r="X213" s="57">
        <f>ROUND((Table1[[#This Row],[Goals]]+Table1[[#This Row],[Asissts]])/(Table1[[#This Row],['#minuten]]/90),2)</f>
        <v>0</v>
      </c>
    </row>
    <row r="214" spans="1:24" x14ac:dyDescent="0.2">
      <c r="A214" s="6" t="s">
        <v>327</v>
      </c>
      <c r="B214" s="51" t="s">
        <v>317</v>
      </c>
      <c r="C214" s="52">
        <v>1500000</v>
      </c>
      <c r="D214" s="53" t="s">
        <v>203</v>
      </c>
      <c r="E214" s="53">
        <v>26</v>
      </c>
      <c r="F214" s="53" t="s">
        <v>141</v>
      </c>
      <c r="G214" s="54">
        <v>12</v>
      </c>
      <c r="H214" s="55">
        <v>12</v>
      </c>
      <c r="I214" s="55">
        <f>Table1[[#This Row],[laatste 5 wed.]]/Table1[[#This Row],['#punten]]*100</f>
        <v>100</v>
      </c>
      <c r="J214" s="53">
        <v>3</v>
      </c>
      <c r="K214" s="53">
        <v>3</v>
      </c>
      <c r="L214" s="53">
        <v>234</v>
      </c>
      <c r="M214" s="53">
        <v>234</v>
      </c>
      <c r="N214" s="53">
        <f>Table1[[#This Row],[Min laatste 5]]/Table1[[#This Row],['#minuten]]*100</f>
        <v>100</v>
      </c>
      <c r="O214" s="53">
        <v>0</v>
      </c>
      <c r="P214" s="53">
        <v>0</v>
      </c>
      <c r="Q214" s="55">
        <v>0</v>
      </c>
      <c r="R214" s="53">
        <v>0</v>
      </c>
      <c r="S214" s="53">
        <v>0</v>
      </c>
      <c r="T214" s="56">
        <f>ROUND(Table1[[#This Row],['#punten]]/Table1[[#This Row],['#Wed]],1)</f>
        <v>4</v>
      </c>
      <c r="U214" s="54">
        <f>ROUND(Table1[[#This Row],['#punten]]/Table1[[#This Row],['#minuten]],2)</f>
        <v>0.05</v>
      </c>
      <c r="V214" s="53">
        <f>ROUND((Table1[[#This Row],['#punten]]/(Table1[[#This Row],['#minuten]]/90)),2)</f>
        <v>4.62</v>
      </c>
      <c r="W214" s="53">
        <f>ROUND(Table1[[#This Row],[Prijs]]/Table1[[#This Row],['#punten]],0)</f>
        <v>125000</v>
      </c>
      <c r="X214" s="57">
        <f>ROUND((Table1[[#This Row],[Goals]]+Table1[[#This Row],[Asissts]])/(Table1[[#This Row],['#minuten]]/90),2)</f>
        <v>0</v>
      </c>
    </row>
    <row r="215" spans="1:24" x14ac:dyDescent="0.2">
      <c r="A215" s="6" t="s">
        <v>209</v>
      </c>
      <c r="B215" s="62" t="s">
        <v>46</v>
      </c>
      <c r="C215" s="63">
        <v>1250000</v>
      </c>
      <c r="D215" s="60" t="s">
        <v>203</v>
      </c>
      <c r="E215" s="60">
        <v>33</v>
      </c>
      <c r="F215" s="60" t="s">
        <v>143</v>
      </c>
      <c r="G215" s="58">
        <v>228</v>
      </c>
      <c r="H215" s="64">
        <v>228</v>
      </c>
      <c r="I215" s="64">
        <f>Table1[[#This Row],[laatste 5 wed.]]/Table1[[#This Row],['#punten]]*100</f>
        <v>100</v>
      </c>
      <c r="J215" s="60">
        <v>4</v>
      </c>
      <c r="K215" s="60">
        <v>4</v>
      </c>
      <c r="L215" s="60">
        <v>360</v>
      </c>
      <c r="M215" s="60">
        <v>360</v>
      </c>
      <c r="N215" s="60">
        <f>Table1[[#This Row],[Min laatste 5]]/Table1[[#This Row],['#minuten]]*100</f>
        <v>100</v>
      </c>
      <c r="O215" s="60">
        <v>0</v>
      </c>
      <c r="P215" s="60">
        <v>0</v>
      </c>
      <c r="Q215" s="64">
        <v>1</v>
      </c>
      <c r="R215" s="60">
        <v>0</v>
      </c>
      <c r="S215" s="60">
        <v>2</v>
      </c>
      <c r="T215" s="59">
        <f>ROUND(Table1[[#This Row],['#punten]]/Table1[[#This Row],['#Wed]],1)</f>
        <v>57</v>
      </c>
      <c r="U215" s="58">
        <f>ROUND(Table1[[#This Row],['#punten]]/Table1[[#This Row],['#minuten]],2)</f>
        <v>0.63</v>
      </c>
      <c r="V215" s="60">
        <f>ROUND((Table1[[#This Row],['#punten]]/(Table1[[#This Row],['#minuten]]/90)),2)</f>
        <v>57</v>
      </c>
      <c r="W215" s="60">
        <f>ROUND(Table1[[#This Row],[Prijs]]/Table1[[#This Row],['#punten]],0)</f>
        <v>5482</v>
      </c>
      <c r="X215" s="61">
        <f>ROUND((Table1[[#This Row],[Goals]]+Table1[[#This Row],[Asissts]])/(Table1[[#This Row],['#minuten]]/90),2)</f>
        <v>0</v>
      </c>
    </row>
    <row r="216" spans="1:24" x14ac:dyDescent="0.2">
      <c r="A216" s="6" t="s">
        <v>127</v>
      </c>
      <c r="B216" s="62" t="s">
        <v>46</v>
      </c>
      <c r="C216" s="63">
        <v>1250000</v>
      </c>
      <c r="D216" s="60" t="s">
        <v>203</v>
      </c>
      <c r="E216" s="60">
        <v>22</v>
      </c>
      <c r="F216" s="60" t="s">
        <v>196</v>
      </c>
      <c r="G216" s="58">
        <v>204</v>
      </c>
      <c r="H216" s="64">
        <v>204</v>
      </c>
      <c r="I216" s="64">
        <f>Table1[[#This Row],[laatste 5 wed.]]/Table1[[#This Row],['#punten]]*100</f>
        <v>100</v>
      </c>
      <c r="J216" s="60">
        <v>4</v>
      </c>
      <c r="K216" s="60">
        <v>4</v>
      </c>
      <c r="L216" s="60">
        <v>360</v>
      </c>
      <c r="M216" s="60">
        <v>360</v>
      </c>
      <c r="N216" s="60">
        <f>Table1[[#This Row],[Min laatste 5]]/Table1[[#This Row],['#minuten]]*100</f>
        <v>100</v>
      </c>
      <c r="O216" s="60">
        <v>0</v>
      </c>
      <c r="P216" s="60">
        <v>0</v>
      </c>
      <c r="Q216" s="64">
        <v>2</v>
      </c>
      <c r="R216" s="60">
        <v>0</v>
      </c>
      <c r="S216" s="60">
        <v>2</v>
      </c>
      <c r="T216" s="59">
        <f>ROUND(Table1[[#This Row],['#punten]]/Table1[[#This Row],['#Wed]],1)</f>
        <v>51</v>
      </c>
      <c r="U216" s="58">
        <f>ROUND(Table1[[#This Row],['#punten]]/Table1[[#This Row],['#minuten]],2)</f>
        <v>0.56999999999999995</v>
      </c>
      <c r="V216" s="60">
        <f>ROUND((Table1[[#This Row],['#punten]]/(Table1[[#This Row],['#minuten]]/90)),2)</f>
        <v>51</v>
      </c>
      <c r="W216" s="60">
        <f>ROUND(Table1[[#This Row],[Prijs]]/Table1[[#This Row],['#punten]],0)</f>
        <v>6127</v>
      </c>
      <c r="X216" s="61">
        <f>ROUND((Table1[[#This Row],[Goals]]+Table1[[#This Row],[Asissts]])/(Table1[[#This Row],['#minuten]]/90),2)</f>
        <v>0</v>
      </c>
    </row>
    <row r="217" spans="1:24" x14ac:dyDescent="0.2">
      <c r="A217" s="6" t="s">
        <v>210</v>
      </c>
      <c r="B217" s="62" t="s">
        <v>46</v>
      </c>
      <c r="C217" s="63">
        <v>1250000</v>
      </c>
      <c r="D217" s="60" t="s">
        <v>203</v>
      </c>
      <c r="E217" s="60">
        <v>22</v>
      </c>
      <c r="F217" s="60" t="s">
        <v>160</v>
      </c>
      <c r="G217" s="58">
        <v>144</v>
      </c>
      <c r="H217" s="64">
        <v>144</v>
      </c>
      <c r="I217" s="64">
        <f>Table1[[#This Row],[laatste 5 wed.]]/Table1[[#This Row],['#punten]]*100</f>
        <v>100</v>
      </c>
      <c r="J217" s="60">
        <v>4</v>
      </c>
      <c r="K217" s="60">
        <v>2</v>
      </c>
      <c r="L217" s="60">
        <v>180</v>
      </c>
      <c r="M217" s="60">
        <v>180</v>
      </c>
      <c r="N217" s="60">
        <f>Table1[[#This Row],[Min laatste 5]]/Table1[[#This Row],['#minuten]]*100</f>
        <v>100</v>
      </c>
      <c r="O217" s="60">
        <v>0</v>
      </c>
      <c r="P217" s="60">
        <v>0</v>
      </c>
      <c r="Q217" s="64">
        <v>0</v>
      </c>
      <c r="R217" s="60">
        <v>0</v>
      </c>
      <c r="S217" s="60">
        <v>1</v>
      </c>
      <c r="T217" s="59">
        <f>ROUND(Table1[[#This Row],['#punten]]/Table1[[#This Row],['#Wed]],1)</f>
        <v>36</v>
      </c>
      <c r="U217" s="58">
        <f>ROUND(Table1[[#This Row],['#punten]]/Table1[[#This Row],['#minuten]],2)</f>
        <v>0.8</v>
      </c>
      <c r="V217" s="60">
        <f>ROUND((Table1[[#This Row],['#punten]]/(Table1[[#This Row],['#minuten]]/90)),2)</f>
        <v>72</v>
      </c>
      <c r="W217" s="60">
        <f>ROUND(Table1[[#This Row],[Prijs]]/Table1[[#This Row],['#punten]],0)</f>
        <v>8681</v>
      </c>
      <c r="X217" s="61">
        <f>ROUND((Table1[[#This Row],[Goals]]+Table1[[#This Row],[Asissts]])/(Table1[[#This Row],['#minuten]]/90),2)</f>
        <v>0</v>
      </c>
    </row>
    <row r="218" spans="1:24" x14ac:dyDescent="0.2">
      <c r="A218" s="6" t="s">
        <v>252</v>
      </c>
      <c r="B218" s="62" t="s">
        <v>10</v>
      </c>
      <c r="C218" s="63">
        <v>1250000</v>
      </c>
      <c r="D218" s="60" t="s">
        <v>203</v>
      </c>
      <c r="E218" s="60">
        <v>26</v>
      </c>
      <c r="F218" s="60" t="s">
        <v>141</v>
      </c>
      <c r="G218" s="58">
        <v>144</v>
      </c>
      <c r="H218" s="64">
        <v>144</v>
      </c>
      <c r="I218" s="64">
        <f>Table1[[#This Row],[laatste 5 wed.]]/Table1[[#This Row],['#punten]]*100</f>
        <v>100</v>
      </c>
      <c r="J218" s="60">
        <v>4</v>
      </c>
      <c r="K218" s="60">
        <v>4</v>
      </c>
      <c r="L218" s="60">
        <v>360</v>
      </c>
      <c r="M218" s="60">
        <v>360</v>
      </c>
      <c r="N218" s="60">
        <f>Table1[[#This Row],[Min laatste 5]]/Table1[[#This Row],['#minuten]]*100</f>
        <v>100</v>
      </c>
      <c r="O218" s="60">
        <v>0</v>
      </c>
      <c r="P218" s="60">
        <v>0</v>
      </c>
      <c r="Q218" s="64">
        <v>0</v>
      </c>
      <c r="R218" s="60">
        <v>0</v>
      </c>
      <c r="S218" s="60">
        <v>1</v>
      </c>
      <c r="T218" s="59">
        <f>ROUND(Table1[[#This Row],['#punten]]/Table1[[#This Row],['#Wed]],1)</f>
        <v>36</v>
      </c>
      <c r="U218" s="58">
        <f>ROUND(Table1[[#This Row],['#punten]]/Table1[[#This Row],['#minuten]],2)</f>
        <v>0.4</v>
      </c>
      <c r="V218" s="60">
        <f>ROUND((Table1[[#This Row],['#punten]]/(Table1[[#This Row],['#minuten]]/90)),2)</f>
        <v>36</v>
      </c>
      <c r="W218" s="60">
        <f>ROUND(Table1[[#This Row],[Prijs]]/Table1[[#This Row],['#punten]],0)</f>
        <v>8681</v>
      </c>
      <c r="X218" s="61">
        <f>ROUND((Table1[[#This Row],[Goals]]+Table1[[#This Row],[Asissts]])/(Table1[[#This Row],['#minuten]]/90),2)</f>
        <v>0</v>
      </c>
    </row>
    <row r="219" spans="1:24" x14ac:dyDescent="0.2">
      <c r="A219" s="6" t="s">
        <v>28</v>
      </c>
      <c r="B219" s="62" t="s">
        <v>239</v>
      </c>
      <c r="C219" s="63">
        <v>1250000</v>
      </c>
      <c r="D219" s="60" t="s">
        <v>203</v>
      </c>
      <c r="E219" s="60">
        <v>29</v>
      </c>
      <c r="F219" s="60" t="s">
        <v>141</v>
      </c>
      <c r="G219" s="58">
        <v>72</v>
      </c>
      <c r="H219" s="64">
        <v>72</v>
      </c>
      <c r="I219" s="64">
        <f>Table1[[#This Row],[laatste 5 wed.]]/Table1[[#This Row],['#punten]]*100</f>
        <v>100</v>
      </c>
      <c r="J219" s="60">
        <v>3</v>
      </c>
      <c r="K219" s="60">
        <v>3</v>
      </c>
      <c r="L219" s="60">
        <v>248</v>
      </c>
      <c r="M219" s="60">
        <v>248</v>
      </c>
      <c r="N219" s="60">
        <f>Table1[[#This Row],[Min laatste 5]]/Table1[[#This Row],['#minuten]]*100</f>
        <v>100</v>
      </c>
      <c r="O219" s="60">
        <v>0</v>
      </c>
      <c r="P219" s="60">
        <v>0</v>
      </c>
      <c r="Q219" s="64">
        <v>1</v>
      </c>
      <c r="R219" s="60">
        <v>0</v>
      </c>
      <c r="S219" s="60">
        <v>0</v>
      </c>
      <c r="T219" s="59">
        <f>ROUND(Table1[[#This Row],['#punten]]/Table1[[#This Row],['#Wed]],1)</f>
        <v>24</v>
      </c>
      <c r="U219" s="58">
        <f>ROUND(Table1[[#This Row],['#punten]]/Table1[[#This Row],['#minuten]],2)</f>
        <v>0.28999999999999998</v>
      </c>
      <c r="V219" s="60">
        <f>ROUND((Table1[[#This Row],['#punten]]/(Table1[[#This Row],['#minuten]]/90)),2)</f>
        <v>26.13</v>
      </c>
      <c r="W219" s="60">
        <f>ROUND(Table1[[#This Row],[Prijs]]/Table1[[#This Row],['#punten]],0)</f>
        <v>17361</v>
      </c>
      <c r="X219" s="61">
        <f>ROUND((Table1[[#This Row],[Goals]]+Table1[[#This Row],[Asissts]])/(Table1[[#This Row],['#minuten]]/90),2)</f>
        <v>0</v>
      </c>
    </row>
    <row r="220" spans="1:24" x14ac:dyDescent="0.2">
      <c r="A220" s="6" t="s">
        <v>287</v>
      </c>
      <c r="B220" s="51" t="s">
        <v>40</v>
      </c>
      <c r="C220" s="52">
        <v>1250000</v>
      </c>
      <c r="D220" s="53" t="s">
        <v>203</v>
      </c>
      <c r="E220" s="53">
        <v>22</v>
      </c>
      <c r="F220" s="53" t="s">
        <v>167</v>
      </c>
      <c r="G220" s="54">
        <v>36</v>
      </c>
      <c r="H220" s="55">
        <v>36</v>
      </c>
      <c r="I220" s="55">
        <f>Table1[[#This Row],[laatste 5 wed.]]/Table1[[#This Row],['#punten]]*100</f>
        <v>100</v>
      </c>
      <c r="J220" s="53">
        <v>3</v>
      </c>
      <c r="K220" s="53">
        <v>3</v>
      </c>
      <c r="L220" s="53">
        <v>218</v>
      </c>
      <c r="M220" s="53">
        <v>218</v>
      </c>
      <c r="N220" s="53">
        <f>Table1[[#This Row],[Min laatste 5]]/Table1[[#This Row],['#minuten]]*100</f>
        <v>100</v>
      </c>
      <c r="O220" s="53">
        <v>0</v>
      </c>
      <c r="P220" s="53">
        <v>0</v>
      </c>
      <c r="Q220" s="55">
        <v>0</v>
      </c>
      <c r="R220" s="53">
        <v>0</v>
      </c>
      <c r="S220" s="53">
        <v>0</v>
      </c>
      <c r="T220" s="56">
        <f>ROUND(Table1[[#This Row],['#punten]]/Table1[[#This Row],['#Wed]],1)</f>
        <v>12</v>
      </c>
      <c r="U220" s="54">
        <f>ROUND(Table1[[#This Row],['#punten]]/Table1[[#This Row],['#minuten]],2)</f>
        <v>0.17</v>
      </c>
      <c r="V220" s="53">
        <f>ROUND((Table1[[#This Row],['#punten]]/(Table1[[#This Row],['#minuten]]/90)),2)</f>
        <v>14.86</v>
      </c>
      <c r="W220" s="53">
        <f>ROUND(Table1[[#This Row],[Prijs]]/Table1[[#This Row],['#punten]],0)</f>
        <v>34722</v>
      </c>
      <c r="X220" s="57">
        <f>ROUND((Table1[[#This Row],[Goals]]+Table1[[#This Row],[Asissts]])/(Table1[[#This Row],['#minuten]]/90),2)</f>
        <v>0</v>
      </c>
    </row>
    <row r="221" spans="1:24" x14ac:dyDescent="0.2">
      <c r="A221" s="6" t="s">
        <v>286</v>
      </c>
      <c r="B221" s="51" t="s">
        <v>40</v>
      </c>
      <c r="C221" s="52">
        <v>1250000</v>
      </c>
      <c r="D221" s="53" t="s">
        <v>203</v>
      </c>
      <c r="E221" s="53">
        <v>27</v>
      </c>
      <c r="F221" s="53" t="s">
        <v>167</v>
      </c>
      <c r="G221" s="54">
        <v>24</v>
      </c>
      <c r="H221" s="55">
        <v>24</v>
      </c>
      <c r="I221" s="55">
        <f>Table1[[#This Row],[laatste 5 wed.]]/Table1[[#This Row],['#punten]]*100</f>
        <v>100</v>
      </c>
      <c r="J221" s="53">
        <v>2</v>
      </c>
      <c r="K221" s="53">
        <v>2</v>
      </c>
      <c r="L221" s="53">
        <v>153</v>
      </c>
      <c r="M221" s="53">
        <v>153</v>
      </c>
      <c r="N221" s="53">
        <f>Table1[[#This Row],[Min laatste 5]]/Table1[[#This Row],['#minuten]]*100</f>
        <v>100</v>
      </c>
      <c r="O221" s="53">
        <v>0</v>
      </c>
      <c r="P221" s="53">
        <v>0</v>
      </c>
      <c r="Q221" s="55">
        <v>0</v>
      </c>
      <c r="R221" s="53">
        <v>0</v>
      </c>
      <c r="S221" s="53">
        <v>0</v>
      </c>
      <c r="T221" s="56">
        <f>ROUND(Table1[[#This Row],['#punten]]/Table1[[#This Row],['#Wed]],1)</f>
        <v>12</v>
      </c>
      <c r="U221" s="54">
        <f>ROUND(Table1[[#This Row],['#punten]]/Table1[[#This Row],['#minuten]],2)</f>
        <v>0.16</v>
      </c>
      <c r="V221" s="53">
        <f>ROUND((Table1[[#This Row],['#punten]]/(Table1[[#This Row],['#minuten]]/90)),2)</f>
        <v>14.12</v>
      </c>
      <c r="W221" s="53">
        <f>ROUND(Table1[[#This Row],[Prijs]]/Table1[[#This Row],['#punten]],0)</f>
        <v>52083</v>
      </c>
      <c r="X221" s="57">
        <f>ROUND((Table1[[#This Row],[Goals]]+Table1[[#This Row],[Asissts]])/(Table1[[#This Row],['#minuten]]/90),2)</f>
        <v>0</v>
      </c>
    </row>
    <row r="222" spans="1:24" x14ac:dyDescent="0.2">
      <c r="A222" s="6" t="s">
        <v>222</v>
      </c>
      <c r="B222" s="51" t="s">
        <v>39</v>
      </c>
      <c r="C222" s="52">
        <v>1250000</v>
      </c>
      <c r="D222" s="53" t="s">
        <v>203</v>
      </c>
      <c r="E222" s="53">
        <v>24</v>
      </c>
      <c r="F222" s="53" t="s">
        <v>141</v>
      </c>
      <c r="G222" s="54">
        <v>24</v>
      </c>
      <c r="H222" s="55">
        <v>24</v>
      </c>
      <c r="I222" s="55">
        <f>Table1[[#This Row],[laatste 5 wed.]]/Table1[[#This Row],['#punten]]*100</f>
        <v>100</v>
      </c>
      <c r="J222" s="53">
        <v>3</v>
      </c>
      <c r="K222" s="53">
        <v>3</v>
      </c>
      <c r="L222" s="53">
        <v>225</v>
      </c>
      <c r="M222" s="53">
        <v>225</v>
      </c>
      <c r="N222" s="53">
        <f>Table1[[#This Row],[Min laatste 5]]/Table1[[#This Row],['#minuten]]*100</f>
        <v>100</v>
      </c>
      <c r="O222" s="53">
        <v>0</v>
      </c>
      <c r="P222" s="53">
        <v>0</v>
      </c>
      <c r="Q222" s="55">
        <v>2</v>
      </c>
      <c r="R222" s="53">
        <v>0</v>
      </c>
      <c r="S222" s="53">
        <v>0</v>
      </c>
      <c r="T222" s="56">
        <f>ROUND(Table1[[#This Row],['#punten]]/Table1[[#This Row],['#Wed]],1)</f>
        <v>8</v>
      </c>
      <c r="U222" s="54">
        <f>ROUND(Table1[[#This Row],['#punten]]/Table1[[#This Row],['#minuten]],2)</f>
        <v>0.11</v>
      </c>
      <c r="V222" s="53">
        <f>ROUND((Table1[[#This Row],['#punten]]/(Table1[[#This Row],['#minuten]]/90)),2)</f>
        <v>9.6</v>
      </c>
      <c r="W222" s="53">
        <f>ROUND(Table1[[#This Row],[Prijs]]/Table1[[#This Row],['#punten]],0)</f>
        <v>52083</v>
      </c>
      <c r="X222" s="57">
        <f>ROUND((Table1[[#This Row],[Goals]]+Table1[[#This Row],[Asissts]])/(Table1[[#This Row],['#minuten]]/90),2)</f>
        <v>0</v>
      </c>
    </row>
    <row r="223" spans="1:24" x14ac:dyDescent="0.2">
      <c r="A223" s="6" t="s">
        <v>347</v>
      </c>
      <c r="B223" s="51" t="s">
        <v>51</v>
      </c>
      <c r="C223" s="52">
        <v>1250000</v>
      </c>
      <c r="D223" s="53" t="s">
        <v>203</v>
      </c>
      <c r="E223" s="53">
        <v>27</v>
      </c>
      <c r="F223" s="53" t="s">
        <v>141</v>
      </c>
      <c r="G223" s="54">
        <v>12</v>
      </c>
      <c r="H223" s="55">
        <v>12</v>
      </c>
      <c r="I223" s="55">
        <f>Table1[[#This Row],[laatste 5 wed.]]/Table1[[#This Row],['#punten]]*100</f>
        <v>100</v>
      </c>
      <c r="J223" s="53">
        <v>3</v>
      </c>
      <c r="K223" s="53">
        <v>3</v>
      </c>
      <c r="L223" s="53">
        <v>270</v>
      </c>
      <c r="M223" s="53">
        <v>270</v>
      </c>
      <c r="N223" s="53">
        <f>Table1[[#This Row],[Min laatste 5]]/Table1[[#This Row],['#minuten]]*100</f>
        <v>100</v>
      </c>
      <c r="O223" s="53">
        <v>0</v>
      </c>
      <c r="P223" s="53">
        <v>0</v>
      </c>
      <c r="Q223" s="55">
        <v>0</v>
      </c>
      <c r="R223" s="53">
        <v>0</v>
      </c>
      <c r="S223" s="53">
        <v>0</v>
      </c>
      <c r="T223" s="56">
        <f>ROUND(Table1[[#This Row],['#punten]]/Table1[[#This Row],['#Wed]],1)</f>
        <v>4</v>
      </c>
      <c r="U223" s="54">
        <f>ROUND(Table1[[#This Row],['#punten]]/Table1[[#This Row],['#minuten]],2)</f>
        <v>0.04</v>
      </c>
      <c r="V223" s="53">
        <f>ROUND((Table1[[#This Row],['#punten]]/(Table1[[#This Row],['#minuten]]/90)),2)</f>
        <v>4</v>
      </c>
      <c r="W223" s="53">
        <f>ROUND(Table1[[#This Row],[Prijs]]/Table1[[#This Row],['#punten]],0)</f>
        <v>104167</v>
      </c>
      <c r="X223" s="57">
        <f>ROUND((Table1[[#This Row],[Goals]]+Table1[[#This Row],[Asissts]])/(Table1[[#This Row],['#minuten]]/90),2)</f>
        <v>0</v>
      </c>
    </row>
    <row r="224" spans="1:24" x14ac:dyDescent="0.2">
      <c r="A224" s="6" t="s">
        <v>211</v>
      </c>
      <c r="B224" s="51" t="s">
        <v>46</v>
      </c>
      <c r="C224" s="52">
        <v>1000000</v>
      </c>
      <c r="D224" s="53" t="s">
        <v>203</v>
      </c>
      <c r="E224" s="53">
        <v>34</v>
      </c>
      <c r="F224" s="53" t="s">
        <v>169</v>
      </c>
      <c r="G224" s="54">
        <v>228</v>
      </c>
      <c r="H224" s="55">
        <v>228</v>
      </c>
      <c r="I224" s="55">
        <f>Table1[[#This Row],[laatste 5 wed.]]/Table1[[#This Row],['#punten]]*100</f>
        <v>100</v>
      </c>
      <c r="J224" s="53">
        <v>4</v>
      </c>
      <c r="K224" s="53">
        <v>4</v>
      </c>
      <c r="L224" s="53">
        <v>360</v>
      </c>
      <c r="M224" s="53">
        <v>360</v>
      </c>
      <c r="N224" s="53">
        <f>Table1[[#This Row],[Min laatste 5]]/Table1[[#This Row],['#minuten]]*100</f>
        <v>100</v>
      </c>
      <c r="O224" s="53">
        <v>0</v>
      </c>
      <c r="P224" s="53">
        <v>0</v>
      </c>
      <c r="Q224" s="55">
        <v>1</v>
      </c>
      <c r="R224" s="53">
        <v>0</v>
      </c>
      <c r="S224" s="53">
        <v>2</v>
      </c>
      <c r="T224" s="56">
        <f>ROUND(Table1[[#This Row],['#punten]]/Table1[[#This Row],['#Wed]],1)</f>
        <v>57</v>
      </c>
      <c r="U224" s="54">
        <f>ROUND(Table1[[#This Row],['#punten]]/Table1[[#This Row],['#minuten]],2)</f>
        <v>0.63</v>
      </c>
      <c r="V224" s="53">
        <f>ROUND((Table1[[#This Row],['#punten]]/(Table1[[#This Row],['#minuten]]/90)),2)</f>
        <v>57</v>
      </c>
      <c r="W224" s="53">
        <f>ROUND(Table1[[#This Row],[Prijs]]/Table1[[#This Row],['#punten]],0)</f>
        <v>4386</v>
      </c>
      <c r="X224" s="57">
        <f>ROUND((Table1[[#This Row],[Goals]]+Table1[[#This Row],[Asissts]])/(Table1[[#This Row],['#minuten]]/90),2)</f>
        <v>0</v>
      </c>
    </row>
    <row r="225" spans="1:24" x14ac:dyDescent="0.2">
      <c r="A225" s="6" t="s">
        <v>229</v>
      </c>
      <c r="B225" s="28" t="s">
        <v>48</v>
      </c>
      <c r="C225" s="29">
        <v>1000000</v>
      </c>
      <c r="D225" s="30" t="s">
        <v>203</v>
      </c>
      <c r="E225" s="30">
        <v>21</v>
      </c>
      <c r="F225" s="30" t="s">
        <v>230</v>
      </c>
      <c r="G225" s="31">
        <v>180</v>
      </c>
      <c r="H225" s="32">
        <v>180</v>
      </c>
      <c r="I225" s="32">
        <f>Table1[[#This Row],[laatste 5 wed.]]/Table1[[#This Row],['#punten]]*100</f>
        <v>100</v>
      </c>
      <c r="J225" s="30">
        <v>4</v>
      </c>
      <c r="K225" s="30">
        <v>4</v>
      </c>
      <c r="L225" s="30">
        <v>303</v>
      </c>
      <c r="M225" s="30">
        <v>303</v>
      </c>
      <c r="N225" s="30">
        <f>Table1[[#This Row],[Min laatste 5]]/Table1[[#This Row],['#minuten]]*100</f>
        <v>100</v>
      </c>
      <c r="O225" s="30">
        <v>0</v>
      </c>
      <c r="P225" s="30">
        <v>0</v>
      </c>
      <c r="Q225" s="32">
        <v>0</v>
      </c>
      <c r="R225" s="30">
        <v>0</v>
      </c>
      <c r="S225" s="30">
        <v>1</v>
      </c>
      <c r="T225" s="33">
        <f>ROUND(Table1[[#This Row],['#punten]]/Table1[[#This Row],['#Wed]],1)</f>
        <v>45</v>
      </c>
      <c r="U225" s="31">
        <f>ROUND(Table1[[#This Row],['#punten]]/Table1[[#This Row],['#minuten]],2)</f>
        <v>0.59</v>
      </c>
      <c r="V225" s="30">
        <f>ROUND((Table1[[#This Row],['#punten]]/(Table1[[#This Row],['#minuten]]/90)),2)</f>
        <v>53.47</v>
      </c>
      <c r="W225" s="30">
        <f>ROUND(Table1[[#This Row],[Prijs]]/Table1[[#This Row],['#punten]],0)</f>
        <v>5556</v>
      </c>
      <c r="X225" s="34">
        <f>ROUND((Table1[[#This Row],[Goals]]+Table1[[#This Row],[Asissts]])/(Table1[[#This Row],['#minuten]]/90),2)</f>
        <v>0</v>
      </c>
    </row>
    <row r="226" spans="1:24" x14ac:dyDescent="0.2">
      <c r="A226" s="6" t="s">
        <v>307</v>
      </c>
      <c r="B226" s="51" t="s">
        <v>47</v>
      </c>
      <c r="C226" s="52">
        <v>1000000</v>
      </c>
      <c r="D226" s="53" t="s">
        <v>203</v>
      </c>
      <c r="E226" s="53">
        <v>21</v>
      </c>
      <c r="F226" s="53" t="s">
        <v>141</v>
      </c>
      <c r="G226" s="54">
        <v>168</v>
      </c>
      <c r="H226" s="55">
        <v>168</v>
      </c>
      <c r="I226" s="55">
        <f>Table1[[#This Row],[laatste 5 wed.]]/Table1[[#This Row],['#punten]]*100</f>
        <v>100</v>
      </c>
      <c r="J226" s="53">
        <v>4</v>
      </c>
      <c r="K226" s="53">
        <v>4</v>
      </c>
      <c r="L226" s="53">
        <v>360</v>
      </c>
      <c r="M226" s="53">
        <v>360</v>
      </c>
      <c r="N226" s="53">
        <f>Table1[[#This Row],[Min laatste 5]]/Table1[[#This Row],['#minuten]]*100</f>
        <v>100</v>
      </c>
      <c r="O226" s="53">
        <v>0</v>
      </c>
      <c r="P226" s="53">
        <v>0</v>
      </c>
      <c r="Q226" s="55">
        <v>0</v>
      </c>
      <c r="R226" s="53">
        <v>0</v>
      </c>
      <c r="S226" s="53">
        <v>0</v>
      </c>
      <c r="T226" s="56">
        <f>ROUND(Table1[[#This Row],['#punten]]/Table1[[#This Row],['#Wed]],1)</f>
        <v>42</v>
      </c>
      <c r="U226" s="54">
        <f>ROUND(Table1[[#This Row],['#punten]]/Table1[[#This Row],['#minuten]],2)</f>
        <v>0.47</v>
      </c>
      <c r="V226" s="53">
        <f>ROUND((Table1[[#This Row],['#punten]]/(Table1[[#This Row],['#minuten]]/90)),2)</f>
        <v>42</v>
      </c>
      <c r="W226" s="53">
        <f>ROUND(Table1[[#This Row],[Prijs]]/Table1[[#This Row],['#punten]],0)</f>
        <v>5952</v>
      </c>
      <c r="X226" s="57">
        <f>ROUND((Table1[[#This Row],[Goals]]+Table1[[#This Row],[Asissts]])/(Table1[[#This Row],['#minuten]]/90),2)</f>
        <v>0</v>
      </c>
    </row>
    <row r="227" spans="1:24" x14ac:dyDescent="0.2">
      <c r="A227" s="6" t="s">
        <v>265</v>
      </c>
      <c r="B227" s="62" t="s">
        <v>260</v>
      </c>
      <c r="C227" s="63">
        <v>1000000</v>
      </c>
      <c r="D227" s="60" t="s">
        <v>203</v>
      </c>
      <c r="E227" s="60">
        <v>37</v>
      </c>
      <c r="F227" s="60" t="s">
        <v>141</v>
      </c>
      <c r="G227" s="58">
        <v>156</v>
      </c>
      <c r="H227" s="64">
        <v>156</v>
      </c>
      <c r="I227" s="64">
        <f>Table1[[#This Row],[laatste 5 wed.]]/Table1[[#This Row],['#punten]]*100</f>
        <v>100</v>
      </c>
      <c r="J227" s="60">
        <v>4</v>
      </c>
      <c r="K227" s="60">
        <v>4</v>
      </c>
      <c r="L227" s="60">
        <v>337</v>
      </c>
      <c r="M227" s="60">
        <v>337</v>
      </c>
      <c r="N227" s="60">
        <f>Table1[[#This Row],[Min laatste 5]]/Table1[[#This Row],['#minuten]]*100</f>
        <v>100</v>
      </c>
      <c r="O227" s="60">
        <v>0</v>
      </c>
      <c r="P227" s="60">
        <v>0</v>
      </c>
      <c r="Q227" s="64">
        <v>1</v>
      </c>
      <c r="R227" s="60">
        <v>0</v>
      </c>
      <c r="S227" s="60">
        <v>1</v>
      </c>
      <c r="T227" s="59">
        <f>ROUND(Table1[[#This Row],['#punten]]/Table1[[#This Row],['#Wed]],1)</f>
        <v>39</v>
      </c>
      <c r="U227" s="58">
        <f>ROUND(Table1[[#This Row],['#punten]]/Table1[[#This Row],['#minuten]],2)</f>
        <v>0.46</v>
      </c>
      <c r="V227" s="60">
        <f>ROUND((Table1[[#This Row],['#punten]]/(Table1[[#This Row],['#minuten]]/90)),2)</f>
        <v>41.66</v>
      </c>
      <c r="W227" s="60">
        <f>ROUND(Table1[[#This Row],[Prijs]]/Table1[[#This Row],['#punten]],0)</f>
        <v>6410</v>
      </c>
      <c r="X227" s="61">
        <f>ROUND((Table1[[#This Row],[Goals]]+Table1[[#This Row],[Asissts]])/(Table1[[#This Row],['#minuten]]/90),2)</f>
        <v>0</v>
      </c>
    </row>
    <row r="228" spans="1:24" x14ac:dyDescent="0.2">
      <c r="A228" s="6" t="s">
        <v>266</v>
      </c>
      <c r="B228" s="51" t="s">
        <v>260</v>
      </c>
      <c r="C228" s="52">
        <v>1000000</v>
      </c>
      <c r="D228" s="53" t="s">
        <v>203</v>
      </c>
      <c r="E228" s="53">
        <v>29</v>
      </c>
      <c r="F228" s="53" t="s">
        <v>267</v>
      </c>
      <c r="G228" s="54">
        <v>132</v>
      </c>
      <c r="H228" s="55">
        <v>132</v>
      </c>
      <c r="I228" s="55">
        <f>Table1[[#This Row],[laatste 5 wed.]]/Table1[[#This Row],['#punten]]*100</f>
        <v>100</v>
      </c>
      <c r="J228" s="53">
        <v>4</v>
      </c>
      <c r="K228" s="53">
        <v>4</v>
      </c>
      <c r="L228" s="53">
        <v>309</v>
      </c>
      <c r="M228" s="53">
        <v>309</v>
      </c>
      <c r="N228" s="53">
        <f>Table1[[#This Row],[Min laatste 5]]/Table1[[#This Row],['#minuten]]*100</f>
        <v>100</v>
      </c>
      <c r="O228" s="53">
        <v>0</v>
      </c>
      <c r="P228" s="53">
        <v>0</v>
      </c>
      <c r="Q228" s="55">
        <v>2</v>
      </c>
      <c r="R228" s="53">
        <v>0</v>
      </c>
      <c r="S228" s="53">
        <v>1</v>
      </c>
      <c r="T228" s="56">
        <f>ROUND(Table1[[#This Row],['#punten]]/Table1[[#This Row],['#Wed]],1)</f>
        <v>33</v>
      </c>
      <c r="U228" s="54">
        <f>ROUND(Table1[[#This Row],['#punten]]/Table1[[#This Row],['#minuten]],2)</f>
        <v>0.43</v>
      </c>
      <c r="V228" s="53">
        <f>ROUND((Table1[[#This Row],['#punten]]/(Table1[[#This Row],['#minuten]]/90)),2)</f>
        <v>38.450000000000003</v>
      </c>
      <c r="W228" s="53">
        <f>ROUND(Table1[[#This Row],[Prijs]]/Table1[[#This Row],['#punten]],0)</f>
        <v>7576</v>
      </c>
      <c r="X228" s="57">
        <f>ROUND((Table1[[#This Row],[Goals]]+Table1[[#This Row],[Asissts]])/(Table1[[#This Row],['#minuten]]/90),2)</f>
        <v>0</v>
      </c>
    </row>
    <row r="229" spans="1:24" x14ac:dyDescent="0.2">
      <c r="A229" s="6" t="s">
        <v>369</v>
      </c>
      <c r="B229" s="51" t="s">
        <v>260</v>
      </c>
      <c r="C229" s="52">
        <v>1000000</v>
      </c>
      <c r="D229" s="53" t="s">
        <v>203</v>
      </c>
      <c r="E229" s="53">
        <v>24</v>
      </c>
      <c r="F229" s="53" t="s">
        <v>200</v>
      </c>
      <c r="G229" s="54">
        <v>114</v>
      </c>
      <c r="H229" s="55">
        <v>114</v>
      </c>
      <c r="I229" s="55">
        <f>Table1[[#This Row],[laatste 5 wed.]]/Table1[[#This Row],['#punten]]*100</f>
        <v>100</v>
      </c>
      <c r="J229" s="53">
        <v>3</v>
      </c>
      <c r="K229" s="53">
        <v>2</v>
      </c>
      <c r="L229" s="53">
        <v>146</v>
      </c>
      <c r="M229" s="53">
        <v>146</v>
      </c>
      <c r="N229" s="53">
        <f>Table1[[#This Row],[Min laatste 5]]/Table1[[#This Row],['#minuten]]*100</f>
        <v>100</v>
      </c>
      <c r="O229" s="53">
        <v>0</v>
      </c>
      <c r="P229" s="53">
        <v>0</v>
      </c>
      <c r="Q229" s="55">
        <v>0</v>
      </c>
      <c r="R229" s="53">
        <v>0</v>
      </c>
      <c r="S229" s="53">
        <v>1</v>
      </c>
      <c r="T229" s="56">
        <f>ROUND(Table1[[#This Row],['#punten]]/Table1[[#This Row],['#Wed]],1)</f>
        <v>38</v>
      </c>
      <c r="U229" s="54">
        <f>ROUND(Table1[[#This Row],['#punten]]/Table1[[#This Row],['#minuten]],2)</f>
        <v>0.78</v>
      </c>
      <c r="V229" s="53">
        <f>ROUND((Table1[[#This Row],['#punten]]/(Table1[[#This Row],['#minuten]]/90)),2)</f>
        <v>70.27</v>
      </c>
      <c r="W229" s="53">
        <f>ROUND(Table1[[#This Row],[Prijs]]/Table1[[#This Row],['#punten]],0)</f>
        <v>8772</v>
      </c>
      <c r="X229" s="57">
        <f>ROUND((Table1[[#This Row],[Goals]]+Table1[[#This Row],[Asissts]])/(Table1[[#This Row],['#minuten]]/90),2)</f>
        <v>0</v>
      </c>
    </row>
    <row r="230" spans="1:24" x14ac:dyDescent="0.2">
      <c r="A230" s="6" t="s">
        <v>245</v>
      </c>
      <c r="B230" s="62" t="s">
        <v>239</v>
      </c>
      <c r="C230" s="63">
        <v>1000000</v>
      </c>
      <c r="D230" s="60" t="s">
        <v>203</v>
      </c>
      <c r="E230" s="60">
        <v>24</v>
      </c>
      <c r="F230" s="60" t="s">
        <v>200</v>
      </c>
      <c r="G230" s="58">
        <v>96</v>
      </c>
      <c r="H230" s="64">
        <v>96</v>
      </c>
      <c r="I230" s="64">
        <f>Table1[[#This Row],[laatste 5 wed.]]/Table1[[#This Row],['#punten]]*100</f>
        <v>100</v>
      </c>
      <c r="J230" s="60">
        <v>3</v>
      </c>
      <c r="K230" s="60">
        <v>3</v>
      </c>
      <c r="L230" s="60">
        <v>225</v>
      </c>
      <c r="M230" s="60">
        <v>225</v>
      </c>
      <c r="N230" s="60">
        <f>Table1[[#This Row],[Min laatste 5]]/Table1[[#This Row],['#minuten]]*100</f>
        <v>100</v>
      </c>
      <c r="O230" s="60">
        <v>0</v>
      </c>
      <c r="P230" s="60">
        <v>0</v>
      </c>
      <c r="Q230" s="64">
        <v>0</v>
      </c>
      <c r="R230" s="60">
        <v>0</v>
      </c>
      <c r="S230" s="60">
        <v>0</v>
      </c>
      <c r="T230" s="59">
        <f>ROUND(Table1[[#This Row],['#punten]]/Table1[[#This Row],['#Wed]],1)</f>
        <v>32</v>
      </c>
      <c r="U230" s="58">
        <f>ROUND(Table1[[#This Row],['#punten]]/Table1[[#This Row],['#minuten]],2)</f>
        <v>0.43</v>
      </c>
      <c r="V230" s="60">
        <f>ROUND((Table1[[#This Row],['#punten]]/(Table1[[#This Row],['#minuten]]/90)),2)</f>
        <v>38.4</v>
      </c>
      <c r="W230" s="60">
        <f>ROUND(Table1[[#This Row],[Prijs]]/Table1[[#This Row],['#punten]],0)</f>
        <v>10417</v>
      </c>
      <c r="X230" s="61">
        <f>ROUND((Table1[[#This Row],[Goals]]+Table1[[#This Row],[Asissts]])/(Table1[[#This Row],['#minuten]]/90),2)</f>
        <v>0</v>
      </c>
    </row>
    <row r="231" spans="1:24" x14ac:dyDescent="0.2">
      <c r="A231" s="6" t="s">
        <v>246</v>
      </c>
      <c r="B231" s="62" t="s">
        <v>239</v>
      </c>
      <c r="C231" s="63">
        <v>1000000</v>
      </c>
      <c r="D231" s="60" t="s">
        <v>203</v>
      </c>
      <c r="E231" s="60">
        <v>24</v>
      </c>
      <c r="F231" s="60" t="s">
        <v>141</v>
      </c>
      <c r="G231" s="58">
        <v>96</v>
      </c>
      <c r="H231" s="64">
        <v>96</v>
      </c>
      <c r="I231" s="64">
        <f>Table1[[#This Row],[laatste 5 wed.]]/Table1[[#This Row],['#punten]]*100</f>
        <v>100</v>
      </c>
      <c r="J231" s="60">
        <v>3</v>
      </c>
      <c r="K231" s="60">
        <v>3</v>
      </c>
      <c r="L231" s="60">
        <v>270</v>
      </c>
      <c r="M231" s="60">
        <v>270</v>
      </c>
      <c r="N231" s="60">
        <f>Table1[[#This Row],[Min laatste 5]]/Table1[[#This Row],['#minuten]]*100</f>
        <v>100</v>
      </c>
      <c r="O231" s="60">
        <v>0</v>
      </c>
      <c r="P231" s="60">
        <v>0</v>
      </c>
      <c r="Q231" s="64">
        <v>0</v>
      </c>
      <c r="R231" s="60">
        <v>0</v>
      </c>
      <c r="S231" s="60">
        <v>0</v>
      </c>
      <c r="T231" s="59">
        <f>ROUND(Table1[[#This Row],['#punten]]/Table1[[#This Row],['#Wed]],1)</f>
        <v>32</v>
      </c>
      <c r="U231" s="58">
        <f>ROUND(Table1[[#This Row],['#punten]]/Table1[[#This Row],['#minuten]],2)</f>
        <v>0.36</v>
      </c>
      <c r="V231" s="60">
        <f>ROUND((Table1[[#This Row],['#punten]]/(Table1[[#This Row],['#minuten]]/90)),2)</f>
        <v>32</v>
      </c>
      <c r="W231" s="60">
        <f>ROUND(Table1[[#This Row],[Prijs]]/Table1[[#This Row],['#punten]],0)</f>
        <v>10417</v>
      </c>
      <c r="X231" s="61">
        <f>ROUND((Table1[[#This Row],[Goals]]+Table1[[#This Row],[Asissts]])/(Table1[[#This Row],['#minuten]]/90),2)</f>
        <v>0</v>
      </c>
    </row>
    <row r="232" spans="1:24" x14ac:dyDescent="0.2">
      <c r="A232" s="6" t="s">
        <v>362</v>
      </c>
      <c r="B232" s="62" t="s">
        <v>44</v>
      </c>
      <c r="C232" s="63">
        <v>1000000</v>
      </c>
      <c r="D232" s="60" t="s">
        <v>203</v>
      </c>
      <c r="E232" s="60">
        <v>27</v>
      </c>
      <c r="F232" s="60" t="s">
        <v>141</v>
      </c>
      <c r="G232" s="58">
        <v>78</v>
      </c>
      <c r="H232" s="64">
        <v>78</v>
      </c>
      <c r="I232" s="64">
        <f>Table1[[#This Row],[laatste 5 wed.]]/Table1[[#This Row],['#punten]]*100</f>
        <v>100</v>
      </c>
      <c r="J232" s="60">
        <v>4</v>
      </c>
      <c r="K232" s="60">
        <v>4</v>
      </c>
      <c r="L232" s="60">
        <v>360</v>
      </c>
      <c r="M232" s="60">
        <v>360</v>
      </c>
      <c r="N232" s="60">
        <f>Table1[[#This Row],[Min laatste 5]]/Table1[[#This Row],['#minuten]]*100</f>
        <v>100</v>
      </c>
      <c r="O232" s="60">
        <v>0</v>
      </c>
      <c r="P232" s="60">
        <v>0</v>
      </c>
      <c r="Q232" s="64">
        <v>0</v>
      </c>
      <c r="R232" s="60">
        <v>0</v>
      </c>
      <c r="S232" s="60">
        <v>0</v>
      </c>
      <c r="T232" s="59">
        <f>ROUND(Table1[[#This Row],['#punten]]/Table1[[#This Row],['#Wed]],1)</f>
        <v>19.5</v>
      </c>
      <c r="U232" s="58">
        <f>ROUND(Table1[[#This Row],['#punten]]/Table1[[#This Row],['#minuten]],2)</f>
        <v>0.22</v>
      </c>
      <c r="V232" s="60">
        <f>ROUND((Table1[[#This Row],['#punten]]/(Table1[[#This Row],['#minuten]]/90)),2)</f>
        <v>19.5</v>
      </c>
      <c r="W232" s="60">
        <f>ROUND(Table1[[#This Row],[Prijs]]/Table1[[#This Row],['#punten]],0)</f>
        <v>12821</v>
      </c>
      <c r="X232" s="61">
        <f>ROUND((Table1[[#This Row],[Goals]]+Table1[[#This Row],[Asissts]])/(Table1[[#This Row],['#minuten]]/90),2)</f>
        <v>0</v>
      </c>
    </row>
    <row r="233" spans="1:24" x14ac:dyDescent="0.2">
      <c r="A233" s="6" t="s">
        <v>363</v>
      </c>
      <c r="B233" s="28" t="s">
        <v>46</v>
      </c>
      <c r="C233" s="29">
        <v>1000000</v>
      </c>
      <c r="D233" s="30" t="s">
        <v>203</v>
      </c>
      <c r="E233" s="30">
        <v>30</v>
      </c>
      <c r="F233" s="30" t="s">
        <v>141</v>
      </c>
      <c r="G233" s="31">
        <v>60</v>
      </c>
      <c r="H233" s="32">
        <v>60</v>
      </c>
      <c r="I233" s="32">
        <f>Table1[[#This Row],[laatste 5 wed.]]/Table1[[#This Row],['#punten]]*100</f>
        <v>100</v>
      </c>
      <c r="J233" s="30">
        <v>4</v>
      </c>
      <c r="K233" s="30">
        <v>2</v>
      </c>
      <c r="L233" s="30">
        <v>180</v>
      </c>
      <c r="M233" s="30">
        <v>180</v>
      </c>
      <c r="N233" s="30">
        <f>Table1[[#This Row],[Min laatste 5]]/Table1[[#This Row],['#minuten]]*100</f>
        <v>100</v>
      </c>
      <c r="O233" s="30">
        <v>0</v>
      </c>
      <c r="P233" s="30">
        <v>0</v>
      </c>
      <c r="Q233" s="32">
        <v>2</v>
      </c>
      <c r="R233" s="30">
        <v>0</v>
      </c>
      <c r="S233" s="30">
        <v>1</v>
      </c>
      <c r="T233" s="33">
        <f>ROUND(Table1[[#This Row],['#punten]]/Table1[[#This Row],['#Wed]],1)</f>
        <v>15</v>
      </c>
      <c r="U233" s="31">
        <f>ROUND(Table1[[#This Row],['#punten]]/Table1[[#This Row],['#minuten]],2)</f>
        <v>0.33</v>
      </c>
      <c r="V233" s="30">
        <f>ROUND((Table1[[#This Row],['#punten]]/(Table1[[#This Row],['#minuten]]/90)),2)</f>
        <v>30</v>
      </c>
      <c r="W233" s="30">
        <f>ROUND(Table1[[#This Row],[Prijs]]/Table1[[#This Row],['#punten]],0)</f>
        <v>16667</v>
      </c>
      <c r="X233" s="34">
        <f>ROUND((Table1[[#This Row],[Goals]]+Table1[[#This Row],[Asissts]])/(Table1[[#This Row],['#minuten]]/90),2)</f>
        <v>0</v>
      </c>
    </row>
    <row r="234" spans="1:24" x14ac:dyDescent="0.2">
      <c r="A234" s="6" t="s">
        <v>284</v>
      </c>
      <c r="B234" s="51" t="s">
        <v>40</v>
      </c>
      <c r="C234" s="52">
        <v>1000000</v>
      </c>
      <c r="D234" s="53" t="s">
        <v>203</v>
      </c>
      <c r="E234" s="53">
        <v>29</v>
      </c>
      <c r="F234" s="53" t="s">
        <v>285</v>
      </c>
      <c r="G234" s="54">
        <v>24</v>
      </c>
      <c r="H234" s="55">
        <v>24</v>
      </c>
      <c r="I234" s="55">
        <f>Table1[[#This Row],[laatste 5 wed.]]/Table1[[#This Row],['#punten]]*100</f>
        <v>100</v>
      </c>
      <c r="J234" s="53">
        <v>4</v>
      </c>
      <c r="K234" s="53">
        <v>4</v>
      </c>
      <c r="L234" s="53">
        <v>354</v>
      </c>
      <c r="M234" s="53">
        <v>354</v>
      </c>
      <c r="N234" s="53">
        <f>Table1[[#This Row],[Min laatste 5]]/Table1[[#This Row],['#minuten]]*100</f>
        <v>100</v>
      </c>
      <c r="O234" s="53">
        <v>0</v>
      </c>
      <c r="P234" s="53">
        <v>0</v>
      </c>
      <c r="Q234" s="55">
        <v>0</v>
      </c>
      <c r="R234" s="53">
        <v>0</v>
      </c>
      <c r="S234" s="53">
        <v>0</v>
      </c>
      <c r="T234" s="56">
        <f>ROUND(Table1[[#This Row],['#punten]]/Table1[[#This Row],['#Wed]],1)</f>
        <v>6</v>
      </c>
      <c r="U234" s="54">
        <f>ROUND(Table1[[#This Row],['#punten]]/Table1[[#This Row],['#minuten]],2)</f>
        <v>7.0000000000000007E-2</v>
      </c>
      <c r="V234" s="53">
        <f>ROUND((Table1[[#This Row],['#punten]]/(Table1[[#This Row],['#minuten]]/90)),2)</f>
        <v>6.1</v>
      </c>
      <c r="W234" s="53">
        <f>ROUND(Table1[[#This Row],[Prijs]]/Table1[[#This Row],['#punten]],0)</f>
        <v>41667</v>
      </c>
      <c r="X234" s="57">
        <f>ROUND((Table1[[#This Row],[Goals]]+Table1[[#This Row],[Asissts]])/(Table1[[#This Row],['#minuten]]/90),2)</f>
        <v>0</v>
      </c>
    </row>
    <row r="235" spans="1:24" x14ac:dyDescent="0.2">
      <c r="A235" s="6" t="s">
        <v>346</v>
      </c>
      <c r="B235" s="51" t="s">
        <v>51</v>
      </c>
      <c r="C235" s="52">
        <v>750000</v>
      </c>
      <c r="D235" s="53" t="s">
        <v>203</v>
      </c>
      <c r="E235" s="53">
        <v>23</v>
      </c>
      <c r="F235" s="53" t="s">
        <v>141</v>
      </c>
      <c r="G235" s="54">
        <v>-12</v>
      </c>
      <c r="H235" s="55">
        <v>-12</v>
      </c>
      <c r="I235" s="55">
        <f>Table1[[#This Row],[laatste 5 wed.]]/Table1[[#This Row],['#punten]]*100</f>
        <v>100</v>
      </c>
      <c r="J235" s="53">
        <v>3</v>
      </c>
      <c r="K235" s="53">
        <v>3</v>
      </c>
      <c r="L235" s="53">
        <v>270</v>
      </c>
      <c r="M235" s="53">
        <v>270</v>
      </c>
      <c r="N235" s="53">
        <f>Table1[[#This Row],[Min laatste 5]]/Table1[[#This Row],['#minuten]]*100</f>
        <v>100</v>
      </c>
      <c r="O235" s="53">
        <v>0</v>
      </c>
      <c r="P235" s="53">
        <v>0</v>
      </c>
      <c r="Q235" s="55">
        <v>1</v>
      </c>
      <c r="R235" s="53">
        <v>0</v>
      </c>
      <c r="S235" s="53">
        <v>0</v>
      </c>
      <c r="T235" s="56">
        <f>ROUND(Table1[[#This Row],['#punten]]/Table1[[#This Row],['#Wed]],1)</f>
        <v>-4</v>
      </c>
      <c r="U235" s="54">
        <f>ROUND(Table1[[#This Row],['#punten]]/Table1[[#This Row],['#minuten]],2)</f>
        <v>-0.04</v>
      </c>
      <c r="V235" s="53">
        <f>ROUND((Table1[[#This Row],['#punten]]/(Table1[[#This Row],['#minuten]]/90)),2)</f>
        <v>-4</v>
      </c>
      <c r="W235" s="53">
        <f>ROUND(Table1[[#This Row],[Prijs]]/Table1[[#This Row],['#punten]],0)</f>
        <v>-62500</v>
      </c>
      <c r="X235" s="57">
        <f>ROUND((Table1[[#This Row],[Goals]]+Table1[[#This Row],[Asissts]])/(Table1[[#This Row],['#minuten]]/90),2)</f>
        <v>0</v>
      </c>
    </row>
    <row r="236" spans="1:24" x14ac:dyDescent="0.2">
      <c r="A236" s="6" t="s">
        <v>385</v>
      </c>
      <c r="B236" s="51" t="s">
        <v>51</v>
      </c>
      <c r="C236" s="52">
        <v>750000</v>
      </c>
      <c r="D236" s="53" t="s">
        <v>203</v>
      </c>
      <c r="E236" s="53">
        <v>26</v>
      </c>
      <c r="F236" s="53" t="s">
        <v>381</v>
      </c>
      <c r="G236" s="54">
        <v>12</v>
      </c>
      <c r="H236" s="55">
        <v>12</v>
      </c>
      <c r="I236" s="55">
        <f>Table1[[#This Row],[laatste 5 wed.]]/Table1[[#This Row],['#punten]]*100</f>
        <v>100</v>
      </c>
      <c r="J236" s="53">
        <v>2</v>
      </c>
      <c r="K236" s="53">
        <v>1</v>
      </c>
      <c r="L236" s="53">
        <v>106</v>
      </c>
      <c r="M236" s="53">
        <v>106</v>
      </c>
      <c r="N236" s="53">
        <f>Table1[[#This Row],[Min laatste 5]]/Table1[[#This Row],['#minuten]]*100</f>
        <v>100</v>
      </c>
      <c r="O236" s="53">
        <v>0</v>
      </c>
      <c r="P236" s="53">
        <v>0</v>
      </c>
      <c r="Q236" s="55">
        <v>1</v>
      </c>
      <c r="R236" s="53">
        <v>0</v>
      </c>
      <c r="S236" s="53">
        <v>0</v>
      </c>
      <c r="T236" s="56">
        <f>ROUND(Table1[[#This Row],['#punten]]/Table1[[#This Row],['#Wed]],1)</f>
        <v>6</v>
      </c>
      <c r="U236" s="54">
        <f>ROUND(Table1[[#This Row],['#punten]]/Table1[[#This Row],['#minuten]],2)</f>
        <v>0.11</v>
      </c>
      <c r="V236" s="53">
        <f>ROUND((Table1[[#This Row],['#punten]]/(Table1[[#This Row],['#minuten]]/90)),2)</f>
        <v>10.19</v>
      </c>
      <c r="W236" s="53">
        <f>ROUND(Table1[[#This Row],[Prijs]]/Table1[[#This Row],['#punten]],0)</f>
        <v>62500</v>
      </c>
      <c r="X236" s="57">
        <f>ROUND((Table1[[#This Row],[Goals]]+Table1[[#This Row],[Asissts]])/(Table1[[#This Row],['#minuten]]/90),2)</f>
        <v>0</v>
      </c>
    </row>
    <row r="237" spans="1:24" x14ac:dyDescent="0.2">
      <c r="A237" s="6" t="s">
        <v>128</v>
      </c>
      <c r="B237" s="51" t="s">
        <v>51</v>
      </c>
      <c r="C237" s="52">
        <v>500000</v>
      </c>
      <c r="D237" s="53" t="s">
        <v>203</v>
      </c>
      <c r="E237" s="53">
        <v>20</v>
      </c>
      <c r="F237" s="53" t="s">
        <v>141</v>
      </c>
      <c r="G237" s="54">
        <v>-12</v>
      </c>
      <c r="H237" s="55">
        <v>-12</v>
      </c>
      <c r="I237" s="55">
        <f>Table1[[#This Row],[laatste 5 wed.]]/Table1[[#This Row],['#punten]]*100</f>
        <v>100</v>
      </c>
      <c r="J237" s="53">
        <v>3</v>
      </c>
      <c r="K237" s="53">
        <v>3</v>
      </c>
      <c r="L237" s="53">
        <v>233</v>
      </c>
      <c r="M237" s="53">
        <v>233</v>
      </c>
      <c r="N237" s="53">
        <f>Table1[[#This Row],[Min laatste 5]]/Table1[[#This Row],['#minuten]]*100</f>
        <v>100</v>
      </c>
      <c r="O237" s="53">
        <v>0</v>
      </c>
      <c r="P237" s="53">
        <v>0</v>
      </c>
      <c r="Q237" s="55">
        <v>1</v>
      </c>
      <c r="R237" s="53">
        <v>0</v>
      </c>
      <c r="S237" s="53">
        <v>0</v>
      </c>
      <c r="T237" s="56">
        <f>ROUND(Table1[[#This Row],['#punten]]/Table1[[#This Row],['#Wed]],1)</f>
        <v>-4</v>
      </c>
      <c r="U237" s="54">
        <f>ROUND(Table1[[#This Row],['#punten]]/Table1[[#This Row],['#minuten]],2)</f>
        <v>-0.05</v>
      </c>
      <c r="V237" s="53">
        <f>ROUND((Table1[[#This Row],['#punten]]/(Table1[[#This Row],['#minuten]]/90)),2)</f>
        <v>-4.6399999999999997</v>
      </c>
      <c r="W237" s="53">
        <f>ROUND(Table1[[#This Row],[Prijs]]/Table1[[#This Row],['#punten]],0)</f>
        <v>-41667</v>
      </c>
      <c r="X237" s="57">
        <f>ROUND((Table1[[#This Row],[Goals]]+Table1[[#This Row],[Asissts]])/(Table1[[#This Row],['#minuten]]/90),2)</f>
        <v>0</v>
      </c>
    </row>
    <row r="238" spans="1:24" x14ac:dyDescent="0.2">
      <c r="A238" s="6" t="s">
        <v>188</v>
      </c>
      <c r="B238" s="62" t="s">
        <v>44</v>
      </c>
      <c r="C238" s="63">
        <v>500000</v>
      </c>
      <c r="D238" s="60" t="s">
        <v>203</v>
      </c>
      <c r="E238" s="60">
        <v>23</v>
      </c>
      <c r="F238" s="60" t="s">
        <v>141</v>
      </c>
      <c r="G238" s="58">
        <v>-24</v>
      </c>
      <c r="H238" s="64">
        <v>-24</v>
      </c>
      <c r="I238" s="64">
        <f>Table1[[#This Row],[laatste 5 wed.]]/Table1[[#This Row],['#punten]]*100</f>
        <v>100</v>
      </c>
      <c r="J238" s="60">
        <v>1</v>
      </c>
      <c r="K238" s="60">
        <v>0</v>
      </c>
      <c r="L238" s="60">
        <v>15</v>
      </c>
      <c r="M238" s="60">
        <v>15</v>
      </c>
      <c r="N238" s="60">
        <f>Table1[[#This Row],[Min laatste 5]]/Table1[[#This Row],['#minuten]]*100</f>
        <v>100</v>
      </c>
      <c r="O238" s="60">
        <v>0</v>
      </c>
      <c r="P238" s="60">
        <v>0</v>
      </c>
      <c r="Q238" s="64">
        <v>1</v>
      </c>
      <c r="R238" s="60">
        <v>0</v>
      </c>
      <c r="S238" s="60">
        <v>0</v>
      </c>
      <c r="T238" s="59">
        <f>ROUND(Table1[[#This Row],['#punten]]/Table1[[#This Row],['#Wed]],1)</f>
        <v>-24</v>
      </c>
      <c r="U238" s="58">
        <f>ROUND(Table1[[#This Row],['#punten]]/Table1[[#This Row],['#minuten]],2)</f>
        <v>-1.6</v>
      </c>
      <c r="V238" s="60">
        <f>ROUND((Table1[[#This Row],['#punten]]/(Table1[[#This Row],['#minuten]]/90)),2)</f>
        <v>-144</v>
      </c>
      <c r="W238" s="60">
        <f>ROUND(Table1[[#This Row],[Prijs]]/Table1[[#This Row],['#punten]],0)</f>
        <v>-20833</v>
      </c>
      <c r="X238" s="61">
        <f>ROUND((Table1[[#This Row],[Goals]]+Table1[[#This Row],[Asissts]])/(Table1[[#This Row],['#minuten]]/90),2)</f>
        <v>0</v>
      </c>
    </row>
    <row r="239" spans="1:24" x14ac:dyDescent="0.2">
      <c r="A239" s="6" t="s">
        <v>185</v>
      </c>
      <c r="B239" s="62" t="s">
        <v>44</v>
      </c>
      <c r="C239" s="63">
        <v>500000</v>
      </c>
      <c r="D239" s="60" t="s">
        <v>203</v>
      </c>
      <c r="E239" s="60">
        <v>21</v>
      </c>
      <c r="F239" s="60" t="s">
        <v>141</v>
      </c>
      <c r="G239" s="58">
        <v>42</v>
      </c>
      <c r="H239" s="64">
        <v>42</v>
      </c>
      <c r="I239" s="64">
        <f>Table1[[#This Row],[laatste 5 wed.]]/Table1[[#This Row],['#punten]]*100</f>
        <v>100</v>
      </c>
      <c r="J239" s="60">
        <v>4</v>
      </c>
      <c r="K239" s="60">
        <v>3</v>
      </c>
      <c r="L239" s="60">
        <v>217</v>
      </c>
      <c r="M239" s="60">
        <v>217</v>
      </c>
      <c r="N239" s="60">
        <f>Table1[[#This Row],[Min laatste 5]]/Table1[[#This Row],['#minuten]]*100</f>
        <v>100</v>
      </c>
      <c r="O239" s="60">
        <v>0</v>
      </c>
      <c r="P239" s="60">
        <v>0</v>
      </c>
      <c r="Q239" s="64">
        <v>1</v>
      </c>
      <c r="R239" s="60">
        <v>0</v>
      </c>
      <c r="S239" s="60">
        <v>0</v>
      </c>
      <c r="T239" s="59">
        <f>ROUND(Table1[[#This Row],['#punten]]/Table1[[#This Row],['#Wed]],1)</f>
        <v>10.5</v>
      </c>
      <c r="U239" s="58">
        <f>ROUND(Table1[[#This Row],['#punten]]/Table1[[#This Row],['#minuten]],2)</f>
        <v>0.19</v>
      </c>
      <c r="V239" s="60">
        <f>ROUND((Table1[[#This Row],['#punten]]/(Table1[[#This Row],['#minuten]]/90)),2)</f>
        <v>17.420000000000002</v>
      </c>
      <c r="W239" s="60">
        <f>ROUND(Table1[[#This Row],[Prijs]]/Table1[[#This Row],['#punten]],0)</f>
        <v>11905</v>
      </c>
      <c r="X239" s="61">
        <f>ROUND((Table1[[#This Row],[Goals]]+Table1[[#This Row],[Asissts]])/(Table1[[#This Row],['#minuten]]/90),2)</f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C66A-60D9-AF4B-9E29-F2E53D76A38F}">
  <dimension ref="A1:AM43"/>
  <sheetViews>
    <sheetView workbookViewId="0">
      <selection activeCell="Z19" sqref="Z19"/>
    </sheetView>
  </sheetViews>
  <sheetFormatPr baseColWidth="10" defaultColWidth="8.83203125" defaultRowHeight="16" x14ac:dyDescent="0.2"/>
  <cols>
    <col min="1" max="1" width="30.1640625" bestFit="1" customWidth="1"/>
    <col min="2" max="2" width="7.1640625" customWidth="1"/>
    <col min="3" max="3" width="10" customWidth="1"/>
    <col min="4" max="4" width="11.33203125" customWidth="1"/>
    <col min="5" max="5" width="8.6640625" customWidth="1"/>
    <col min="6" max="6" width="11" customWidth="1"/>
    <col min="7" max="7" width="10.6640625" customWidth="1"/>
    <col min="8" max="8" width="9" customWidth="1"/>
    <col min="10" max="10" width="7.33203125" customWidth="1"/>
    <col min="11" max="11" width="15" bestFit="1" customWidth="1"/>
    <col min="13" max="13" width="15" bestFit="1" customWidth="1"/>
    <col min="15" max="15" width="15" bestFit="1" customWidth="1"/>
    <col min="17" max="17" width="15" bestFit="1" customWidth="1"/>
    <col min="20" max="20" width="15" bestFit="1" customWidth="1"/>
    <col min="22" max="22" width="12.33203125" bestFit="1" customWidth="1"/>
    <col min="25" max="25" width="12.33203125" bestFit="1" customWidth="1"/>
    <col min="33" max="33" width="18.1640625" bestFit="1" customWidth="1"/>
    <col min="39" max="39" width="18.1640625" bestFit="1" customWidth="1"/>
    <col min="41" max="41" width="14.1640625" bestFit="1" customWidth="1"/>
  </cols>
  <sheetData>
    <row r="1" spans="1:39" x14ac:dyDescent="0.2">
      <c r="A1" t="s">
        <v>26</v>
      </c>
      <c r="C1" s="105" t="s">
        <v>503</v>
      </c>
      <c r="D1" s="105"/>
      <c r="E1" s="105"/>
      <c r="F1" s="105"/>
      <c r="G1" s="105"/>
      <c r="H1" s="105"/>
      <c r="J1" s="105" t="s">
        <v>528</v>
      </c>
      <c r="K1" s="105"/>
      <c r="L1" s="105"/>
      <c r="M1" s="105"/>
      <c r="N1" s="105"/>
      <c r="O1" s="105"/>
      <c r="T1" t="s">
        <v>692</v>
      </c>
    </row>
    <row r="2" spans="1:39" x14ac:dyDescent="0.2">
      <c r="A2" s="2" t="s">
        <v>17</v>
      </c>
      <c r="B2" s="3"/>
      <c r="C2" s="4" t="s">
        <v>123</v>
      </c>
      <c r="D2" s="4" t="s">
        <v>123</v>
      </c>
      <c r="E2" s="4" t="s">
        <v>123</v>
      </c>
      <c r="F2" s="4" t="s">
        <v>283</v>
      </c>
      <c r="G2" s="4" t="s">
        <v>283</v>
      </c>
      <c r="H2" s="4" t="s">
        <v>283</v>
      </c>
      <c r="K2" s="4" t="s">
        <v>283</v>
      </c>
      <c r="M2" s="4" t="s">
        <v>283</v>
      </c>
      <c r="O2" s="4" t="s">
        <v>283</v>
      </c>
      <c r="Q2" s="4" t="s">
        <v>283</v>
      </c>
      <c r="T2" s="4" t="s">
        <v>328</v>
      </c>
      <c r="V2" s="100" t="s">
        <v>283</v>
      </c>
      <c r="W2">
        <v>4</v>
      </c>
      <c r="Y2" s="100" t="s">
        <v>123</v>
      </c>
      <c r="Z2">
        <v>3</v>
      </c>
    </row>
    <row r="3" spans="1:39" x14ac:dyDescent="0.2">
      <c r="A3" s="2"/>
      <c r="B3" s="3"/>
      <c r="C3" s="4" t="s">
        <v>124</v>
      </c>
      <c r="D3" s="4" t="s">
        <v>124</v>
      </c>
      <c r="E3" s="4" t="s">
        <v>124</v>
      </c>
      <c r="F3" s="4" t="s">
        <v>124</v>
      </c>
      <c r="G3" s="4" t="s">
        <v>124</v>
      </c>
      <c r="H3" s="4" t="s">
        <v>124</v>
      </c>
      <c r="K3" s="4" t="s">
        <v>161</v>
      </c>
      <c r="M3" s="4" t="s">
        <v>161</v>
      </c>
      <c r="O3" s="4" t="s">
        <v>161</v>
      </c>
      <c r="Q3" s="4" t="s">
        <v>161</v>
      </c>
      <c r="T3" s="4" t="s">
        <v>161</v>
      </c>
      <c r="V3" s="100" t="s">
        <v>161</v>
      </c>
      <c r="W3">
        <v>1</v>
      </c>
      <c r="Y3" s="100" t="s">
        <v>161</v>
      </c>
      <c r="Z3">
        <v>1</v>
      </c>
    </row>
    <row r="4" spans="1:39" x14ac:dyDescent="0.2">
      <c r="A4" s="6" t="s">
        <v>19</v>
      </c>
      <c r="B4" s="7"/>
      <c r="C4" s="8" t="s">
        <v>125</v>
      </c>
      <c r="D4" s="8" t="s">
        <v>21</v>
      </c>
      <c r="E4" s="8" t="s">
        <v>20</v>
      </c>
      <c r="F4" s="8" t="s">
        <v>21</v>
      </c>
      <c r="G4" s="8" t="s">
        <v>21</v>
      </c>
      <c r="H4" s="8" t="s">
        <v>21</v>
      </c>
      <c r="K4" s="8" t="s">
        <v>281</v>
      </c>
      <c r="M4" s="8" t="s">
        <v>204</v>
      </c>
      <c r="O4" s="8" t="s">
        <v>204</v>
      </c>
      <c r="Q4" s="8" t="s">
        <v>204</v>
      </c>
      <c r="T4" s="8" t="s">
        <v>204</v>
      </c>
      <c r="V4" s="101" t="s">
        <v>204</v>
      </c>
      <c r="W4">
        <v>4.5</v>
      </c>
      <c r="Y4" s="101" t="s">
        <v>204</v>
      </c>
      <c r="Z4">
        <v>4.5</v>
      </c>
      <c r="AA4" s="17"/>
      <c r="AB4" t="s">
        <v>678</v>
      </c>
      <c r="AC4" t="s">
        <v>680</v>
      </c>
      <c r="AD4" s="17" t="s">
        <v>679</v>
      </c>
      <c r="AE4" s="17"/>
      <c r="AF4" s="17" t="s">
        <v>687</v>
      </c>
      <c r="AH4" t="s">
        <v>677</v>
      </c>
      <c r="AM4" s="17"/>
    </row>
    <row r="5" spans="1:39" x14ac:dyDescent="0.2">
      <c r="A5" s="6"/>
      <c r="B5" s="7"/>
      <c r="C5" s="8" t="s">
        <v>21</v>
      </c>
      <c r="D5" s="8" t="s">
        <v>126</v>
      </c>
      <c r="E5" s="8" t="s">
        <v>21</v>
      </c>
      <c r="F5" s="8" t="s">
        <v>126</v>
      </c>
      <c r="G5" s="8" t="s">
        <v>126</v>
      </c>
      <c r="H5" s="8" t="s">
        <v>126</v>
      </c>
      <c r="K5" s="8" t="s">
        <v>21</v>
      </c>
      <c r="M5" s="8" t="s">
        <v>281</v>
      </c>
      <c r="O5" s="8" t="s">
        <v>281</v>
      </c>
      <c r="Q5" s="8" t="s">
        <v>281</v>
      </c>
      <c r="T5" s="8" t="s">
        <v>281</v>
      </c>
      <c r="V5" s="101" t="s">
        <v>21</v>
      </c>
      <c r="W5">
        <v>3.5</v>
      </c>
      <c r="Y5" s="101" t="s">
        <v>21</v>
      </c>
      <c r="Z5">
        <v>3.5</v>
      </c>
      <c r="AA5" s="17" t="s">
        <v>135</v>
      </c>
      <c r="AB5" s="97">
        <v>0.27800000000000002</v>
      </c>
      <c r="AC5">
        <f>ROUND(0.27777778*47,2)</f>
        <v>13.06</v>
      </c>
      <c r="AD5" s="97">
        <v>0.40400000000000003</v>
      </c>
      <c r="AF5">
        <f>19-5.94</f>
        <v>13.059999999999999</v>
      </c>
      <c r="AH5" s="19">
        <f>AC5-AM5</f>
        <v>13.06</v>
      </c>
      <c r="AM5" s="17"/>
    </row>
    <row r="6" spans="1:39" x14ac:dyDescent="0.2">
      <c r="A6" s="6"/>
      <c r="B6" s="7"/>
      <c r="C6" s="8" t="s">
        <v>126</v>
      </c>
      <c r="D6" s="8" t="s">
        <v>279</v>
      </c>
      <c r="E6" s="8" t="s">
        <v>126</v>
      </c>
      <c r="F6" s="8" t="s">
        <v>309</v>
      </c>
      <c r="G6" s="8" t="s">
        <v>309</v>
      </c>
      <c r="H6" s="8" t="s">
        <v>309</v>
      </c>
      <c r="K6" s="8" t="s">
        <v>220</v>
      </c>
      <c r="M6" s="8" t="s">
        <v>220</v>
      </c>
      <c r="O6" s="8" t="s">
        <v>220</v>
      </c>
      <c r="Q6" s="8" t="s">
        <v>220</v>
      </c>
      <c r="T6" s="8" t="s">
        <v>517</v>
      </c>
      <c r="V6" s="101" t="s">
        <v>281</v>
      </c>
      <c r="W6">
        <v>4</v>
      </c>
      <c r="Y6" s="101" t="s">
        <v>281</v>
      </c>
      <c r="Z6">
        <v>4</v>
      </c>
      <c r="AA6" s="17" t="s">
        <v>140</v>
      </c>
      <c r="AB6" s="97">
        <v>0.33300000000000002</v>
      </c>
      <c r="AC6">
        <f>ROUND(0.33333333*47,2)</f>
        <v>15.67</v>
      </c>
      <c r="AD6" s="98">
        <v>0.22900000000000001</v>
      </c>
      <c r="AF6">
        <f>10.75+4.92</f>
        <v>15.67</v>
      </c>
      <c r="AH6" s="99">
        <f>AM6-AC6</f>
        <v>-15.67</v>
      </c>
      <c r="AM6" s="17"/>
    </row>
    <row r="7" spans="1:39" x14ac:dyDescent="0.2">
      <c r="A7" s="6"/>
      <c r="B7" s="7"/>
      <c r="C7" s="8" t="s">
        <v>127</v>
      </c>
      <c r="D7" s="8" t="s">
        <v>127</v>
      </c>
      <c r="E7" s="8" t="s">
        <v>305</v>
      </c>
      <c r="F7" s="8" t="s">
        <v>211</v>
      </c>
      <c r="G7" s="8" t="s">
        <v>211</v>
      </c>
      <c r="H7" s="8" t="s">
        <v>211</v>
      </c>
      <c r="K7" s="8" t="s">
        <v>324</v>
      </c>
      <c r="M7" s="8" t="s">
        <v>324</v>
      </c>
      <c r="O7" s="8" t="s">
        <v>324</v>
      </c>
      <c r="Q7" s="8" t="s">
        <v>324</v>
      </c>
      <c r="T7" s="8" t="s">
        <v>324</v>
      </c>
      <c r="V7" s="101" t="s">
        <v>324</v>
      </c>
      <c r="W7">
        <v>1.25</v>
      </c>
      <c r="Y7" s="101" t="s">
        <v>324</v>
      </c>
      <c r="Z7">
        <v>1.25</v>
      </c>
      <c r="AA7" s="17" t="s">
        <v>203</v>
      </c>
      <c r="AB7" s="97">
        <v>0.27800000000000002</v>
      </c>
      <c r="AC7">
        <f>AC5</f>
        <v>13.06</v>
      </c>
      <c r="AD7" s="98">
        <v>0.26100000000000001</v>
      </c>
      <c r="AF7">
        <f>12.25+0.81</f>
        <v>13.06</v>
      </c>
      <c r="AH7" s="99">
        <f>AM7-AC7</f>
        <v>-13.06</v>
      </c>
      <c r="AM7" s="17"/>
    </row>
    <row r="8" spans="1:39" x14ac:dyDescent="0.2">
      <c r="A8" s="6"/>
      <c r="B8" s="7"/>
      <c r="C8" s="8" t="s">
        <v>128</v>
      </c>
      <c r="D8" s="8" t="s">
        <v>185</v>
      </c>
      <c r="E8" s="8" t="s">
        <v>185</v>
      </c>
      <c r="F8" s="8" t="s">
        <v>185</v>
      </c>
      <c r="G8" s="8" t="s">
        <v>185</v>
      </c>
      <c r="H8" s="8" t="s">
        <v>185</v>
      </c>
      <c r="K8" s="8" t="s">
        <v>346</v>
      </c>
      <c r="M8" s="8" t="s">
        <v>586</v>
      </c>
      <c r="O8" s="8" t="s">
        <v>586</v>
      </c>
      <c r="Q8" s="8" t="s">
        <v>586</v>
      </c>
      <c r="T8" s="8" t="s">
        <v>346</v>
      </c>
      <c r="V8" s="101" t="s">
        <v>586</v>
      </c>
      <c r="W8">
        <v>0.75</v>
      </c>
      <c r="Y8" s="101" t="s">
        <v>701</v>
      </c>
      <c r="Z8">
        <v>0.75</v>
      </c>
      <c r="AA8" s="17" t="s">
        <v>149</v>
      </c>
      <c r="AB8" s="97">
        <v>0.111</v>
      </c>
      <c r="AC8">
        <f>ROUND(0.1111111*47,2)</f>
        <v>5.22</v>
      </c>
      <c r="AD8" s="98">
        <v>0.106</v>
      </c>
      <c r="AF8">
        <f>5+0.22</f>
        <v>5.22</v>
      </c>
      <c r="AH8" s="99">
        <f>AM8-AC8</f>
        <v>-5.22</v>
      </c>
      <c r="AM8" s="17"/>
    </row>
    <row r="9" spans="1:39" x14ac:dyDescent="0.2">
      <c r="A9" s="9" t="s">
        <v>23</v>
      </c>
      <c r="B9" s="10"/>
      <c r="C9" s="9" t="s">
        <v>120</v>
      </c>
      <c r="D9" s="9" t="s">
        <v>120</v>
      </c>
      <c r="E9" s="9" t="s">
        <v>31</v>
      </c>
      <c r="F9" s="9" t="s">
        <v>120</v>
      </c>
      <c r="G9" s="9" t="s">
        <v>120</v>
      </c>
      <c r="H9" s="9" t="s">
        <v>120</v>
      </c>
      <c r="K9" s="9" t="s">
        <v>201</v>
      </c>
      <c r="M9" s="9" t="s">
        <v>24</v>
      </c>
      <c r="O9" s="9" t="s">
        <v>681</v>
      </c>
      <c r="Q9" s="9" t="s">
        <v>24</v>
      </c>
      <c r="R9" s="17"/>
      <c r="T9" s="9" t="s">
        <v>201</v>
      </c>
      <c r="U9" s="17"/>
      <c r="V9" s="102" t="s">
        <v>273</v>
      </c>
      <c r="W9">
        <v>3</v>
      </c>
      <c r="Y9" s="102" t="s">
        <v>201</v>
      </c>
      <c r="Z9">
        <v>4</v>
      </c>
      <c r="AA9" s="17"/>
      <c r="AB9" s="97">
        <f>SUM(AB5:AB8)</f>
        <v>1</v>
      </c>
      <c r="AC9">
        <f>SUM(AC5:AC8)</f>
        <v>47.01</v>
      </c>
      <c r="AD9" s="98">
        <f>SUM(AD5:AD8)</f>
        <v>1</v>
      </c>
      <c r="AM9" s="17"/>
    </row>
    <row r="10" spans="1:39" x14ac:dyDescent="0.2">
      <c r="A10" s="9"/>
      <c r="B10" s="10"/>
      <c r="C10" s="9" t="s">
        <v>24</v>
      </c>
      <c r="D10" s="9" t="s">
        <v>31</v>
      </c>
      <c r="E10" s="9" t="s">
        <v>24</v>
      </c>
      <c r="F10" s="9" t="s">
        <v>31</v>
      </c>
      <c r="G10" s="9" t="s">
        <v>121</v>
      </c>
      <c r="H10" s="9" t="s">
        <v>31</v>
      </c>
      <c r="K10" s="9" t="s">
        <v>272</v>
      </c>
      <c r="M10" s="9" t="s">
        <v>272</v>
      </c>
      <c r="O10" s="9" t="s">
        <v>217</v>
      </c>
      <c r="Q10" s="9" t="s">
        <v>201</v>
      </c>
      <c r="T10" s="9" t="s">
        <v>272</v>
      </c>
      <c r="V10" s="102" t="s">
        <v>272</v>
      </c>
      <c r="W10">
        <v>4</v>
      </c>
      <c r="Y10" s="102" t="s">
        <v>272</v>
      </c>
      <c r="Z10">
        <v>4</v>
      </c>
    </row>
    <row r="11" spans="1:39" x14ac:dyDescent="0.2">
      <c r="A11" s="9"/>
      <c r="B11" s="10"/>
      <c r="C11" s="9" t="s">
        <v>129</v>
      </c>
      <c r="D11" s="9" t="s">
        <v>24</v>
      </c>
      <c r="E11" s="9" t="s">
        <v>201</v>
      </c>
      <c r="F11" s="9" t="s">
        <v>24</v>
      </c>
      <c r="G11" s="9" t="s">
        <v>31</v>
      </c>
      <c r="H11" s="9" t="s">
        <v>24</v>
      </c>
      <c r="K11" s="9" t="s">
        <v>301</v>
      </c>
      <c r="M11" s="9" t="s">
        <v>217</v>
      </c>
      <c r="O11" s="9" t="s">
        <v>122</v>
      </c>
      <c r="Q11" s="9" t="s">
        <v>272</v>
      </c>
      <c r="T11" s="9" t="s">
        <v>273</v>
      </c>
      <c r="V11" s="102" t="s">
        <v>529</v>
      </c>
      <c r="W11">
        <v>3.5</v>
      </c>
      <c r="Y11" s="102" t="s">
        <v>273</v>
      </c>
      <c r="Z11">
        <v>3</v>
      </c>
    </row>
    <row r="12" spans="1:39" x14ac:dyDescent="0.2">
      <c r="A12" s="9"/>
      <c r="B12" s="10"/>
      <c r="C12" s="9" t="s">
        <v>130</v>
      </c>
      <c r="D12" s="9" t="s">
        <v>217</v>
      </c>
      <c r="E12" s="9" t="s">
        <v>130</v>
      </c>
      <c r="F12" s="9" t="s">
        <v>301</v>
      </c>
      <c r="G12" s="9" t="s">
        <v>24</v>
      </c>
      <c r="H12" s="9" t="s">
        <v>201</v>
      </c>
      <c r="K12" s="9" t="s">
        <v>122</v>
      </c>
      <c r="M12" s="9" t="s">
        <v>301</v>
      </c>
      <c r="O12" s="9" t="s">
        <v>613</v>
      </c>
      <c r="Q12" s="9" t="s">
        <v>122</v>
      </c>
      <c r="T12" s="9" t="s">
        <v>122</v>
      </c>
      <c r="V12" s="102" t="s">
        <v>613</v>
      </c>
      <c r="W12">
        <v>1.5</v>
      </c>
      <c r="Y12" s="102" t="s">
        <v>613</v>
      </c>
      <c r="Z12">
        <v>1.5</v>
      </c>
    </row>
    <row r="13" spans="1:39" x14ac:dyDescent="0.2">
      <c r="A13" s="9"/>
      <c r="B13" s="10"/>
      <c r="C13" s="9" t="s">
        <v>131</v>
      </c>
      <c r="D13" s="9" t="s">
        <v>130</v>
      </c>
      <c r="E13" s="9" t="s">
        <v>301</v>
      </c>
      <c r="F13" s="9" t="s">
        <v>219</v>
      </c>
      <c r="G13" s="9" t="s">
        <v>263</v>
      </c>
      <c r="H13" s="9" t="s">
        <v>263</v>
      </c>
      <c r="K13" s="9" t="s">
        <v>579</v>
      </c>
      <c r="M13" s="9" t="s">
        <v>122</v>
      </c>
      <c r="O13" s="9" t="s">
        <v>29</v>
      </c>
      <c r="Q13" s="9" t="s">
        <v>29</v>
      </c>
      <c r="T13" s="9" t="s">
        <v>579</v>
      </c>
      <c r="V13" s="102" t="s">
        <v>122</v>
      </c>
      <c r="W13">
        <v>1.5</v>
      </c>
      <c r="Y13" s="102" t="s">
        <v>122</v>
      </c>
      <c r="Z13">
        <v>1.5</v>
      </c>
    </row>
    <row r="14" spans="1:39" x14ac:dyDescent="0.2">
      <c r="A14" s="9"/>
      <c r="B14" s="10"/>
      <c r="C14" s="9" t="s">
        <v>29</v>
      </c>
      <c r="D14" s="9" t="s">
        <v>29</v>
      </c>
      <c r="E14" s="9" t="s">
        <v>29</v>
      </c>
      <c r="F14" s="9" t="s">
        <v>29</v>
      </c>
      <c r="G14" s="9" t="s">
        <v>29</v>
      </c>
      <c r="H14" s="9" t="s">
        <v>29</v>
      </c>
      <c r="K14" s="9" t="s">
        <v>29</v>
      </c>
      <c r="M14" s="9" t="s">
        <v>29</v>
      </c>
      <c r="O14" s="9" t="s">
        <v>616</v>
      </c>
      <c r="Q14" s="9" t="s">
        <v>616</v>
      </c>
      <c r="T14" s="9" t="s">
        <v>616</v>
      </c>
      <c r="V14" s="102" t="s">
        <v>616</v>
      </c>
      <c r="W14">
        <v>0.5</v>
      </c>
      <c r="Y14" s="102" t="s">
        <v>616</v>
      </c>
      <c r="Z14">
        <v>0.5</v>
      </c>
    </row>
    <row r="15" spans="1:39" x14ac:dyDescent="0.2">
      <c r="A15" s="11" t="s">
        <v>25</v>
      </c>
      <c r="B15" s="12"/>
      <c r="C15" s="13" t="s">
        <v>33</v>
      </c>
      <c r="D15" s="13" t="s">
        <v>33</v>
      </c>
      <c r="E15" s="13" t="s">
        <v>33</v>
      </c>
      <c r="F15" s="13" t="s">
        <v>33</v>
      </c>
      <c r="G15" s="13" t="s">
        <v>33</v>
      </c>
      <c r="H15" s="13" t="s">
        <v>33</v>
      </c>
      <c r="K15" s="13" t="s">
        <v>33</v>
      </c>
      <c r="M15" s="13" t="s">
        <v>269</v>
      </c>
      <c r="O15" s="13" t="s">
        <v>33</v>
      </c>
      <c r="Q15" s="13" t="s">
        <v>269</v>
      </c>
      <c r="T15" s="13" t="s">
        <v>33</v>
      </c>
      <c r="V15" s="103" t="s">
        <v>269</v>
      </c>
      <c r="W15">
        <v>5.5</v>
      </c>
      <c r="Y15" s="103" t="s">
        <v>269</v>
      </c>
      <c r="Z15">
        <v>5.5</v>
      </c>
    </row>
    <row r="16" spans="1:39" x14ac:dyDescent="0.2">
      <c r="A16" s="11"/>
      <c r="B16" s="12"/>
      <c r="C16" s="13" t="s">
        <v>34</v>
      </c>
      <c r="D16" s="13" t="s">
        <v>269</v>
      </c>
      <c r="E16" s="13" t="s">
        <v>269</v>
      </c>
      <c r="F16" s="13" t="s">
        <v>269</v>
      </c>
      <c r="G16" s="13" t="s">
        <v>269</v>
      </c>
      <c r="H16" s="13" t="s">
        <v>269</v>
      </c>
      <c r="K16" s="13" t="s">
        <v>269</v>
      </c>
      <c r="M16" s="13" t="s">
        <v>136</v>
      </c>
      <c r="O16" s="13" t="s">
        <v>269</v>
      </c>
      <c r="Q16" s="13" t="s">
        <v>136</v>
      </c>
      <c r="T16" s="13" t="s">
        <v>269</v>
      </c>
      <c r="V16" s="103" t="s">
        <v>136</v>
      </c>
      <c r="W16">
        <v>4.5</v>
      </c>
      <c r="Y16" s="103" t="s">
        <v>136</v>
      </c>
      <c r="Z16">
        <v>4.5</v>
      </c>
    </row>
    <row r="17" spans="1:28" x14ac:dyDescent="0.2">
      <c r="A17" s="11"/>
      <c r="B17" s="12"/>
      <c r="C17" s="13" t="s">
        <v>132</v>
      </c>
      <c r="D17" s="13" t="s">
        <v>168</v>
      </c>
      <c r="E17" s="13" t="s">
        <v>168</v>
      </c>
      <c r="F17" s="13" t="s">
        <v>168</v>
      </c>
      <c r="G17" s="13" t="s">
        <v>168</v>
      </c>
      <c r="H17" s="13" t="s">
        <v>168</v>
      </c>
      <c r="K17" s="13" t="s">
        <v>136</v>
      </c>
      <c r="M17" s="13" t="s">
        <v>261</v>
      </c>
      <c r="O17" s="13" t="s">
        <v>136</v>
      </c>
      <c r="Q17" s="13" t="s">
        <v>261</v>
      </c>
      <c r="T17" s="13" t="s">
        <v>136</v>
      </c>
      <c r="V17" s="103" t="s">
        <v>513</v>
      </c>
      <c r="W17">
        <v>1.5</v>
      </c>
      <c r="Y17" s="103" t="s">
        <v>580</v>
      </c>
      <c r="Z17">
        <v>2.5</v>
      </c>
    </row>
    <row r="18" spans="1:28" x14ac:dyDescent="0.2">
      <c r="A18" s="11"/>
      <c r="B18" s="12"/>
      <c r="C18" s="13" t="s">
        <v>133</v>
      </c>
      <c r="D18" s="13" t="s">
        <v>133</v>
      </c>
      <c r="E18" s="13" t="s">
        <v>133</v>
      </c>
      <c r="F18" s="13" t="s">
        <v>353</v>
      </c>
      <c r="G18" s="13" t="s">
        <v>190</v>
      </c>
      <c r="H18" s="13" t="s">
        <v>133</v>
      </c>
      <c r="K18" s="13" t="s">
        <v>511</v>
      </c>
      <c r="M18" s="13" t="s">
        <v>515</v>
      </c>
      <c r="O18" s="13" t="s">
        <v>513</v>
      </c>
      <c r="Q18" s="13" t="s">
        <v>513</v>
      </c>
      <c r="T18" s="13" t="s">
        <v>513</v>
      </c>
      <c r="V18" s="103" t="s">
        <v>261</v>
      </c>
      <c r="W18">
        <v>2</v>
      </c>
      <c r="Y18" s="103" t="s">
        <v>513</v>
      </c>
      <c r="Z18">
        <v>1.5</v>
      </c>
    </row>
    <row r="19" spans="1:28" x14ac:dyDescent="0.2">
      <c r="A19" s="11"/>
      <c r="B19" s="12"/>
      <c r="C19" s="13" t="s">
        <v>134</v>
      </c>
      <c r="D19" s="13" t="s">
        <v>134</v>
      </c>
      <c r="E19" s="13" t="s">
        <v>134</v>
      </c>
      <c r="F19" s="13" t="s">
        <v>134</v>
      </c>
      <c r="G19" s="13" t="s">
        <v>134</v>
      </c>
      <c r="H19" s="13" t="s">
        <v>134</v>
      </c>
      <c r="K19" s="13" t="s">
        <v>504</v>
      </c>
      <c r="M19" s="13" t="s">
        <v>511</v>
      </c>
      <c r="O19" s="13" t="s">
        <v>511</v>
      </c>
      <c r="Q19" s="13" t="s">
        <v>511</v>
      </c>
      <c r="T19" s="13" t="s">
        <v>511</v>
      </c>
      <c r="V19" s="103" t="s">
        <v>511</v>
      </c>
      <c r="W19">
        <v>0.5</v>
      </c>
      <c r="Y19" s="103" t="s">
        <v>511</v>
      </c>
      <c r="Z19">
        <v>0.5</v>
      </c>
    </row>
    <row r="20" spans="1:28" x14ac:dyDescent="0.2">
      <c r="A20" s="1"/>
      <c r="C20" s="5"/>
      <c r="D20" s="5"/>
      <c r="E20" s="5"/>
      <c r="F20" s="5"/>
      <c r="W20">
        <f>SUM(W2:W19)</f>
        <v>47</v>
      </c>
      <c r="Z20">
        <f>SUM(Z2:Z19)</f>
        <v>47</v>
      </c>
    </row>
    <row r="21" spans="1:28" x14ac:dyDescent="0.2">
      <c r="D21" s="5"/>
    </row>
    <row r="22" spans="1:28" x14ac:dyDescent="0.2">
      <c r="V22" s="19"/>
      <c r="W22" s="19"/>
      <c r="X22" s="19"/>
      <c r="Y22" s="19"/>
      <c r="Z22" s="19"/>
      <c r="AA22" s="19"/>
    </row>
    <row r="23" spans="1:28" x14ac:dyDescent="0.2">
      <c r="A23" s="3"/>
      <c r="B23" s="3"/>
      <c r="AB23">
        <f>47-43</f>
        <v>4</v>
      </c>
    </row>
    <row r="24" spans="1:28" x14ac:dyDescent="0.2">
      <c r="A24" s="3"/>
      <c r="B24" s="3"/>
      <c r="X24" s="67"/>
      <c r="Z24" s="67"/>
      <c r="AA24" s="67"/>
    </row>
    <row r="25" spans="1:28" x14ac:dyDescent="0.2">
      <c r="A25" s="7"/>
      <c r="B25" s="7"/>
      <c r="U25" s="16"/>
    </row>
    <row r="26" spans="1:28" x14ac:dyDescent="0.2">
      <c r="A26" s="7"/>
      <c r="B26" s="7"/>
      <c r="U26" s="16"/>
    </row>
    <row r="27" spans="1:28" x14ac:dyDescent="0.2">
      <c r="A27" s="7"/>
      <c r="B27" s="7"/>
      <c r="M27" s="17"/>
      <c r="P27" s="17"/>
      <c r="U27" s="16"/>
    </row>
    <row r="28" spans="1:28" x14ac:dyDescent="0.2">
      <c r="A28" s="7"/>
      <c r="B28" s="7"/>
      <c r="U28" s="16"/>
    </row>
    <row r="29" spans="1:28" x14ac:dyDescent="0.2">
      <c r="A29" s="7"/>
      <c r="B29" s="7"/>
      <c r="U29" s="16"/>
    </row>
    <row r="30" spans="1:28" x14ac:dyDescent="0.2">
      <c r="A30" s="10"/>
      <c r="B30" s="10"/>
      <c r="U30" s="16"/>
    </row>
    <row r="31" spans="1:28" x14ac:dyDescent="0.2">
      <c r="A31" s="10"/>
      <c r="B31" s="10"/>
      <c r="U31" s="16"/>
    </row>
    <row r="32" spans="1:28" x14ac:dyDescent="0.2">
      <c r="A32" s="10"/>
      <c r="B32" s="10"/>
      <c r="U32" s="16"/>
    </row>
    <row r="33" spans="1:21" x14ac:dyDescent="0.2">
      <c r="A33" s="10"/>
      <c r="B33" s="10"/>
      <c r="U33" s="16"/>
    </row>
    <row r="34" spans="1:21" x14ac:dyDescent="0.2">
      <c r="A34" s="10"/>
      <c r="B34" s="10"/>
      <c r="U34" s="16"/>
    </row>
    <row r="35" spans="1:21" x14ac:dyDescent="0.2">
      <c r="A35" s="10"/>
      <c r="B35" s="10"/>
      <c r="M35" s="17"/>
      <c r="P35" s="17"/>
      <c r="U35" s="16"/>
    </row>
    <row r="36" spans="1:21" x14ac:dyDescent="0.2">
      <c r="A36" s="12"/>
      <c r="B36" s="12"/>
      <c r="M36" s="16"/>
      <c r="P36" s="16"/>
      <c r="U36" s="16"/>
    </row>
    <row r="37" spans="1:21" x14ac:dyDescent="0.2">
      <c r="A37" s="12"/>
      <c r="B37" s="12"/>
      <c r="M37" s="17"/>
      <c r="P37" s="17"/>
      <c r="U37" s="16"/>
    </row>
    <row r="38" spans="1:21" x14ac:dyDescent="0.2">
      <c r="A38" s="12"/>
      <c r="B38" s="12"/>
      <c r="U38" s="16"/>
    </row>
    <row r="39" spans="1:21" x14ac:dyDescent="0.2">
      <c r="A39" s="12"/>
      <c r="B39" s="12"/>
      <c r="U39" s="16"/>
    </row>
    <row r="40" spans="1:21" x14ac:dyDescent="0.2">
      <c r="A40" s="12"/>
      <c r="B40" s="12"/>
      <c r="U40" s="16"/>
    </row>
    <row r="41" spans="1:21" x14ac:dyDescent="0.2">
      <c r="A41" s="14"/>
      <c r="U41" s="16"/>
    </row>
    <row r="42" spans="1:21" x14ac:dyDescent="0.2">
      <c r="U42" s="16"/>
    </row>
    <row r="43" spans="1:21" x14ac:dyDescent="0.2">
      <c r="U43" s="16"/>
    </row>
  </sheetData>
  <mergeCells count="2">
    <mergeCell ref="C1:H1"/>
    <mergeCell ref="J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B77B-B568-7041-BD1D-5FBD787BB864}">
  <dimension ref="A1:F27"/>
  <sheetViews>
    <sheetView workbookViewId="0">
      <selection activeCell="C25" sqref="C25"/>
    </sheetView>
  </sheetViews>
  <sheetFormatPr baseColWidth="10" defaultRowHeight="16" x14ac:dyDescent="0.2"/>
  <cols>
    <col min="1" max="1" width="15.83203125" bestFit="1" customWidth="1"/>
    <col min="2" max="2" width="17.33203125" bestFit="1" customWidth="1"/>
    <col min="6" max="6" width="17.33203125" bestFit="1" customWidth="1"/>
  </cols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5</v>
      </c>
      <c r="B2" t="s">
        <v>386</v>
      </c>
      <c r="C2">
        <v>4</v>
      </c>
      <c r="D2">
        <v>4</v>
      </c>
      <c r="E2">
        <v>0</v>
      </c>
      <c r="F2" s="66">
        <v>1</v>
      </c>
    </row>
    <row r="3" spans="1:6" x14ac:dyDescent="0.2">
      <c r="B3" t="s">
        <v>645</v>
      </c>
      <c r="C3">
        <v>1</v>
      </c>
      <c r="D3">
        <v>0</v>
      </c>
      <c r="E3">
        <v>1</v>
      </c>
      <c r="F3" s="66">
        <v>0</v>
      </c>
    </row>
    <row r="4" spans="1:6" x14ac:dyDescent="0.2">
      <c r="A4" t="s">
        <v>402</v>
      </c>
      <c r="B4" t="s">
        <v>483</v>
      </c>
      <c r="C4">
        <v>2</v>
      </c>
      <c r="D4">
        <v>2</v>
      </c>
      <c r="E4">
        <v>0</v>
      </c>
      <c r="F4" s="66">
        <v>1</v>
      </c>
    </row>
    <row r="5" spans="1:6" x14ac:dyDescent="0.2">
      <c r="A5" t="s">
        <v>6</v>
      </c>
      <c r="B5" t="s">
        <v>387</v>
      </c>
      <c r="C5">
        <v>1</v>
      </c>
      <c r="D5">
        <v>1</v>
      </c>
      <c r="E5">
        <v>0</v>
      </c>
      <c r="F5" s="66">
        <v>1</v>
      </c>
    </row>
    <row r="6" spans="1:6" x14ac:dyDescent="0.2">
      <c r="B6" t="s">
        <v>168</v>
      </c>
      <c r="C6">
        <v>1</v>
      </c>
      <c r="D6">
        <v>1</v>
      </c>
      <c r="E6">
        <v>0</v>
      </c>
      <c r="F6" s="66">
        <v>1</v>
      </c>
    </row>
    <row r="7" spans="1:6" x14ac:dyDescent="0.2">
      <c r="A7" t="s">
        <v>7</v>
      </c>
      <c r="B7" t="s">
        <v>388</v>
      </c>
      <c r="C7">
        <v>3</v>
      </c>
      <c r="D7">
        <v>1</v>
      </c>
      <c r="E7">
        <v>1</v>
      </c>
      <c r="F7" s="66">
        <v>0.33300000000000002</v>
      </c>
    </row>
    <row r="8" spans="1:6" x14ac:dyDescent="0.2">
      <c r="A8" t="s">
        <v>8</v>
      </c>
      <c r="B8" t="s">
        <v>390</v>
      </c>
      <c r="C8">
        <v>1</v>
      </c>
      <c r="D8">
        <v>0</v>
      </c>
      <c r="E8">
        <v>1</v>
      </c>
      <c r="F8" s="66">
        <v>0</v>
      </c>
    </row>
    <row r="9" spans="1:6" x14ac:dyDescent="0.2">
      <c r="B9" t="s">
        <v>484</v>
      </c>
      <c r="C9">
        <v>1</v>
      </c>
      <c r="D9">
        <v>0</v>
      </c>
      <c r="E9">
        <v>1</v>
      </c>
      <c r="F9" s="66">
        <v>0</v>
      </c>
    </row>
    <row r="10" spans="1:6" x14ac:dyDescent="0.2">
      <c r="B10" t="s">
        <v>646</v>
      </c>
      <c r="C10">
        <v>1</v>
      </c>
      <c r="D10">
        <v>0</v>
      </c>
      <c r="E10">
        <v>1</v>
      </c>
      <c r="F10" s="66">
        <v>0</v>
      </c>
    </row>
    <row r="11" spans="1:6" x14ac:dyDescent="0.2">
      <c r="B11" t="s">
        <v>485</v>
      </c>
      <c r="C11">
        <v>2</v>
      </c>
      <c r="D11">
        <v>1</v>
      </c>
      <c r="E11">
        <v>1</v>
      </c>
      <c r="F11" s="66">
        <v>0.5</v>
      </c>
    </row>
    <row r="12" spans="1:6" x14ac:dyDescent="0.2">
      <c r="A12" t="s">
        <v>9</v>
      </c>
      <c r="B12" t="s">
        <v>389</v>
      </c>
      <c r="C12">
        <v>1</v>
      </c>
      <c r="D12">
        <v>1</v>
      </c>
      <c r="E12">
        <v>0</v>
      </c>
      <c r="F12" s="66">
        <v>1</v>
      </c>
    </row>
    <row r="13" spans="1:6" x14ac:dyDescent="0.2">
      <c r="B13" t="s">
        <v>647</v>
      </c>
      <c r="C13">
        <v>2</v>
      </c>
      <c r="D13">
        <v>2</v>
      </c>
      <c r="E13">
        <v>0</v>
      </c>
      <c r="F13" s="66">
        <v>1</v>
      </c>
    </row>
    <row r="14" spans="1:6" x14ac:dyDescent="0.2">
      <c r="A14" t="s">
        <v>486</v>
      </c>
      <c r="B14" t="s">
        <v>487</v>
      </c>
      <c r="C14">
        <v>2</v>
      </c>
      <c r="D14">
        <v>2</v>
      </c>
      <c r="E14">
        <v>0</v>
      </c>
      <c r="F14" s="66">
        <v>1</v>
      </c>
    </row>
    <row r="15" spans="1:6" x14ac:dyDescent="0.2">
      <c r="B15" t="s">
        <v>488</v>
      </c>
      <c r="C15">
        <v>2</v>
      </c>
      <c r="D15">
        <v>2</v>
      </c>
      <c r="E15">
        <v>0</v>
      </c>
      <c r="F15" s="66">
        <v>1</v>
      </c>
    </row>
    <row r="16" spans="1:6" x14ac:dyDescent="0.2">
      <c r="A16" t="s">
        <v>489</v>
      </c>
      <c r="B16" t="s">
        <v>490</v>
      </c>
      <c r="C16">
        <v>3</v>
      </c>
      <c r="D16">
        <v>2</v>
      </c>
      <c r="E16">
        <v>1</v>
      </c>
      <c r="F16" s="66">
        <v>0.66700000000000004</v>
      </c>
    </row>
    <row r="17" spans="1:6" x14ac:dyDescent="0.2">
      <c r="A17" t="s">
        <v>491</v>
      </c>
      <c r="B17" t="s">
        <v>492</v>
      </c>
      <c r="C17">
        <v>1</v>
      </c>
      <c r="D17">
        <v>1</v>
      </c>
      <c r="E17">
        <v>0</v>
      </c>
      <c r="F17" s="66">
        <v>1</v>
      </c>
    </row>
    <row r="18" spans="1:6" x14ac:dyDescent="0.2">
      <c r="B18" t="s">
        <v>493</v>
      </c>
      <c r="C18">
        <v>2</v>
      </c>
      <c r="D18">
        <v>2</v>
      </c>
      <c r="E18">
        <v>0</v>
      </c>
      <c r="F18" s="66">
        <v>1</v>
      </c>
    </row>
    <row r="19" spans="1:6" x14ac:dyDescent="0.2">
      <c r="A19" t="s">
        <v>391</v>
      </c>
      <c r="B19" t="s">
        <v>494</v>
      </c>
      <c r="C19">
        <v>2</v>
      </c>
      <c r="D19">
        <v>2</v>
      </c>
      <c r="E19">
        <v>0</v>
      </c>
      <c r="F19" s="66">
        <v>1</v>
      </c>
    </row>
    <row r="20" spans="1:6" x14ac:dyDescent="0.2">
      <c r="A20" t="s">
        <v>11</v>
      </c>
      <c r="B20" t="s">
        <v>392</v>
      </c>
      <c r="C20">
        <v>6</v>
      </c>
      <c r="D20">
        <v>5</v>
      </c>
      <c r="E20">
        <v>1</v>
      </c>
      <c r="F20" s="66">
        <v>0.8</v>
      </c>
    </row>
    <row r="21" spans="1:6" x14ac:dyDescent="0.2">
      <c r="B21" t="s">
        <v>495</v>
      </c>
      <c r="C21">
        <v>1</v>
      </c>
      <c r="D21">
        <v>1</v>
      </c>
      <c r="E21">
        <v>0</v>
      </c>
      <c r="F21" s="66">
        <v>1</v>
      </c>
    </row>
    <row r="22" spans="1:6" x14ac:dyDescent="0.2">
      <c r="A22" t="s">
        <v>12</v>
      </c>
      <c r="B22" t="s">
        <v>393</v>
      </c>
      <c r="C22">
        <v>4</v>
      </c>
      <c r="D22">
        <v>4</v>
      </c>
      <c r="E22">
        <v>0</v>
      </c>
      <c r="F22" s="66">
        <v>1</v>
      </c>
    </row>
    <row r="23" spans="1:6" x14ac:dyDescent="0.2">
      <c r="A23" t="s">
        <v>13</v>
      </c>
      <c r="B23" t="s">
        <v>394</v>
      </c>
      <c r="C23">
        <v>2</v>
      </c>
      <c r="D23">
        <v>2</v>
      </c>
      <c r="E23">
        <v>0</v>
      </c>
      <c r="F23" s="66">
        <v>1</v>
      </c>
    </row>
    <row r="24" spans="1:6" x14ac:dyDescent="0.2">
      <c r="B24" t="s">
        <v>496</v>
      </c>
      <c r="C24">
        <v>3</v>
      </c>
      <c r="D24">
        <v>3</v>
      </c>
      <c r="E24">
        <v>0</v>
      </c>
      <c r="F24" s="66">
        <v>1</v>
      </c>
    </row>
    <row r="25" spans="1:6" x14ac:dyDescent="0.2">
      <c r="A25" t="s">
        <v>14</v>
      </c>
      <c r="B25" t="s">
        <v>497</v>
      </c>
      <c r="C25">
        <v>1</v>
      </c>
      <c r="D25">
        <v>1</v>
      </c>
      <c r="E25">
        <v>0</v>
      </c>
      <c r="F25" s="66">
        <v>1</v>
      </c>
    </row>
    <row r="26" spans="1:6" x14ac:dyDescent="0.2">
      <c r="B26" t="s">
        <v>498</v>
      </c>
      <c r="C26">
        <v>1</v>
      </c>
      <c r="D26">
        <v>1</v>
      </c>
      <c r="E26">
        <v>0</v>
      </c>
      <c r="F26" s="66">
        <v>1</v>
      </c>
    </row>
    <row r="27" spans="1:6" x14ac:dyDescent="0.2">
      <c r="A27" t="s">
        <v>42</v>
      </c>
      <c r="B27" t="s">
        <v>499</v>
      </c>
      <c r="C27">
        <v>1</v>
      </c>
      <c r="D27">
        <v>1</v>
      </c>
      <c r="E27">
        <v>0</v>
      </c>
      <c r="F27" s="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DB2D-72B3-E343-8A1D-A93990CBFFFA}">
  <dimension ref="A1:U38"/>
  <sheetViews>
    <sheetView workbookViewId="0">
      <selection activeCell="A29" sqref="A29:XFD30"/>
    </sheetView>
  </sheetViews>
  <sheetFormatPr baseColWidth="10" defaultRowHeight="16" x14ac:dyDescent="0.2"/>
  <cols>
    <col min="2" max="2" width="27.33203125" bestFit="1" customWidth="1"/>
    <col min="3" max="3" width="11.33203125" customWidth="1"/>
    <col min="11" max="11" width="10.83203125" style="17"/>
    <col min="16" max="16" width="10.83203125" style="17"/>
  </cols>
  <sheetData>
    <row r="1" spans="1:21" x14ac:dyDescent="0.2">
      <c r="C1" s="16" t="s">
        <v>6</v>
      </c>
      <c r="D1" s="16" t="s">
        <v>11</v>
      </c>
      <c r="E1" s="16" t="s">
        <v>14</v>
      </c>
      <c r="F1" s="16" t="s">
        <v>7</v>
      </c>
      <c r="G1" s="16" t="s">
        <v>37</v>
      </c>
      <c r="H1" s="16" t="s">
        <v>399</v>
      </c>
      <c r="I1" s="16" t="s">
        <v>400</v>
      </c>
      <c r="J1" s="16" t="s">
        <v>38</v>
      </c>
      <c r="K1" s="16" t="s">
        <v>401</v>
      </c>
      <c r="L1" s="16" t="s">
        <v>260</v>
      </c>
      <c r="M1" s="16" t="s">
        <v>5</v>
      </c>
      <c r="N1" s="16" t="s">
        <v>41</v>
      </c>
      <c r="O1" s="16" t="s">
        <v>10</v>
      </c>
      <c r="P1" s="16" t="s">
        <v>16</v>
      </c>
      <c r="Q1" s="16" t="s">
        <v>42</v>
      </c>
      <c r="R1" s="16" t="s">
        <v>15</v>
      </c>
      <c r="S1" s="16" t="s">
        <v>402</v>
      </c>
      <c r="T1" s="16" t="s">
        <v>40</v>
      </c>
      <c r="U1" s="40"/>
    </row>
    <row r="2" spans="1:21" x14ac:dyDescent="0.2">
      <c r="A2" t="s">
        <v>403</v>
      </c>
      <c r="B2" s="17" t="s">
        <v>398</v>
      </c>
      <c r="U2" s="40"/>
    </row>
    <row r="3" spans="1:21" x14ac:dyDescent="0.2">
      <c r="A3" t="s">
        <v>404</v>
      </c>
      <c r="B3" s="40">
        <v>5</v>
      </c>
      <c r="C3" s="71" t="s">
        <v>100</v>
      </c>
      <c r="D3" s="71" t="s">
        <v>82</v>
      </c>
      <c r="E3" s="70" t="s">
        <v>86</v>
      </c>
      <c r="F3" s="71" t="s">
        <v>79</v>
      </c>
      <c r="G3" s="70" t="s">
        <v>95</v>
      </c>
      <c r="H3" s="73" t="s">
        <v>418</v>
      </c>
      <c r="I3" s="71" t="s">
        <v>103</v>
      </c>
      <c r="J3" s="70" t="s">
        <v>77</v>
      </c>
      <c r="K3" s="73" t="s">
        <v>90</v>
      </c>
      <c r="L3" s="71" t="s">
        <v>91</v>
      </c>
      <c r="M3" s="70" t="s">
        <v>96</v>
      </c>
      <c r="N3" s="73" t="s">
        <v>420</v>
      </c>
      <c r="O3" s="70" t="s">
        <v>99</v>
      </c>
      <c r="P3" s="73" t="s">
        <v>83</v>
      </c>
      <c r="Q3" s="71" t="s">
        <v>78</v>
      </c>
      <c r="R3" s="73" t="s">
        <v>419</v>
      </c>
      <c r="S3" s="73" t="s">
        <v>80</v>
      </c>
      <c r="T3" s="71" t="s">
        <v>92</v>
      </c>
      <c r="U3" s="40"/>
    </row>
    <row r="4" spans="1:21" s="67" customFormat="1" x14ac:dyDescent="0.2">
      <c r="B4" s="68" t="s">
        <v>423</v>
      </c>
      <c r="C4" s="69" t="s">
        <v>426</v>
      </c>
      <c r="D4" s="69" t="s">
        <v>425</v>
      </c>
      <c r="E4" s="69"/>
      <c r="F4" s="69" t="s">
        <v>424</v>
      </c>
      <c r="G4" s="69"/>
      <c r="H4" s="69"/>
      <c r="I4" s="69"/>
      <c r="J4" s="69"/>
      <c r="K4" s="69"/>
      <c r="L4" s="69"/>
      <c r="M4" s="69" t="s">
        <v>427</v>
      </c>
      <c r="N4" s="69"/>
      <c r="O4" s="69"/>
      <c r="P4" s="69"/>
      <c r="Q4" s="69"/>
      <c r="R4" s="69"/>
      <c r="S4" s="69"/>
      <c r="T4" s="69"/>
      <c r="U4" s="68"/>
    </row>
    <row r="5" spans="1:21" x14ac:dyDescent="0.2">
      <c r="A5" t="s">
        <v>405</v>
      </c>
      <c r="B5" s="40">
        <v>6</v>
      </c>
      <c r="C5" s="72" t="s">
        <v>418</v>
      </c>
      <c r="D5" s="74" t="s">
        <v>421</v>
      </c>
      <c r="E5" s="74" t="s">
        <v>101</v>
      </c>
      <c r="F5" s="41" t="s">
        <v>93</v>
      </c>
      <c r="G5" s="76" t="s">
        <v>85</v>
      </c>
      <c r="H5" s="76" t="s">
        <v>97</v>
      </c>
      <c r="I5" s="74" t="s">
        <v>76</v>
      </c>
      <c r="J5" s="74" t="s">
        <v>89</v>
      </c>
      <c r="K5" s="71" t="s">
        <v>81</v>
      </c>
      <c r="L5" s="70" t="s">
        <v>84</v>
      </c>
      <c r="M5" s="70" t="s">
        <v>102</v>
      </c>
      <c r="N5" s="76" t="s">
        <v>88</v>
      </c>
      <c r="O5" s="76" t="s">
        <v>103</v>
      </c>
      <c r="P5" s="71" t="s">
        <v>94</v>
      </c>
      <c r="Q5" s="74" t="s">
        <v>417</v>
      </c>
      <c r="R5" s="76" t="s">
        <v>98</v>
      </c>
      <c r="S5" s="41" t="s">
        <v>75</v>
      </c>
      <c r="T5" s="41" t="s">
        <v>87</v>
      </c>
      <c r="U5" s="40"/>
    </row>
    <row r="6" spans="1:21" x14ac:dyDescent="0.2">
      <c r="B6" s="68" t="s">
        <v>416</v>
      </c>
      <c r="C6" s="17" t="s">
        <v>458</v>
      </c>
      <c r="D6" s="40" t="s">
        <v>459</v>
      </c>
      <c r="E6" s="40" t="s">
        <v>460</v>
      </c>
      <c r="F6" s="40"/>
      <c r="G6" s="40"/>
      <c r="H6" s="40" t="s">
        <v>461</v>
      </c>
      <c r="I6" s="40" t="s">
        <v>462</v>
      </c>
      <c r="J6" s="40"/>
      <c r="L6" s="17"/>
      <c r="M6" s="17" t="s">
        <v>463</v>
      </c>
      <c r="N6" s="40"/>
      <c r="O6" s="40"/>
      <c r="P6" s="17" t="s">
        <v>464</v>
      </c>
      <c r="Q6" s="40" t="s">
        <v>465</v>
      </c>
      <c r="R6" s="40"/>
      <c r="S6" s="40"/>
      <c r="T6" s="40"/>
      <c r="U6" s="40"/>
    </row>
    <row r="7" spans="1:21" ht="17" customHeight="1" x14ac:dyDescent="0.2">
      <c r="A7" t="s">
        <v>428</v>
      </c>
      <c r="B7" s="40">
        <v>7</v>
      </c>
      <c r="C7" s="78" t="s">
        <v>97</v>
      </c>
      <c r="D7" s="74" t="s">
        <v>90</v>
      </c>
      <c r="E7" s="76" t="s">
        <v>79</v>
      </c>
      <c r="F7" s="76" t="s">
        <v>91</v>
      </c>
      <c r="G7" s="74" t="s">
        <v>80</v>
      </c>
      <c r="H7" s="41" t="s">
        <v>77</v>
      </c>
      <c r="I7" s="74" t="s">
        <v>422</v>
      </c>
      <c r="J7" s="41" t="s">
        <v>96</v>
      </c>
      <c r="K7" s="70" t="s">
        <v>95</v>
      </c>
      <c r="L7" s="73" t="s">
        <v>419</v>
      </c>
      <c r="M7" s="73" t="s">
        <v>101</v>
      </c>
      <c r="N7" s="76" t="s">
        <v>100</v>
      </c>
      <c r="O7" s="76" t="s">
        <v>85</v>
      </c>
      <c r="P7" s="71" t="s">
        <v>98</v>
      </c>
      <c r="Q7" s="41" t="s">
        <v>99</v>
      </c>
      <c r="R7" s="74" t="s">
        <v>420</v>
      </c>
      <c r="S7" s="76" t="s">
        <v>104</v>
      </c>
      <c r="T7" s="41" t="s">
        <v>86</v>
      </c>
      <c r="U7" s="40"/>
    </row>
    <row r="8" spans="1:21" s="67" customFormat="1" ht="17" customHeight="1" x14ac:dyDescent="0.2">
      <c r="B8" s="68" t="s">
        <v>423</v>
      </c>
      <c r="C8" s="67" t="s">
        <v>429</v>
      </c>
      <c r="D8" s="68" t="s">
        <v>430</v>
      </c>
      <c r="E8" s="68"/>
      <c r="F8" s="68" t="s">
        <v>431</v>
      </c>
      <c r="G8" s="68"/>
      <c r="H8" s="68"/>
      <c r="I8" s="68"/>
      <c r="J8" s="68"/>
      <c r="K8" s="69"/>
      <c r="L8" s="69"/>
      <c r="M8" s="69" t="s">
        <v>432</v>
      </c>
      <c r="N8" s="68"/>
      <c r="O8" s="68"/>
      <c r="P8" s="69"/>
      <c r="Q8" s="68"/>
      <c r="R8" s="68"/>
      <c r="S8" s="68"/>
      <c r="T8" s="68"/>
      <c r="U8" s="68"/>
    </row>
    <row r="9" spans="1:21" ht="17" customHeight="1" x14ac:dyDescent="0.2">
      <c r="A9" t="s">
        <v>406</v>
      </c>
      <c r="B9" s="17">
        <v>8</v>
      </c>
      <c r="C9" s="41" t="s">
        <v>93</v>
      </c>
      <c r="D9" s="76" t="s">
        <v>94</v>
      </c>
      <c r="E9" s="76" t="s">
        <v>78</v>
      </c>
      <c r="F9" s="74" t="s">
        <v>418</v>
      </c>
      <c r="G9" s="41" t="s">
        <v>75</v>
      </c>
      <c r="H9" s="74" t="s">
        <v>417</v>
      </c>
      <c r="I9" s="76" t="s">
        <v>81</v>
      </c>
      <c r="J9" s="76" t="s">
        <v>82</v>
      </c>
      <c r="K9" s="70" t="s">
        <v>87</v>
      </c>
      <c r="L9" s="70" t="s">
        <v>102</v>
      </c>
      <c r="M9" s="70" t="s">
        <v>84</v>
      </c>
      <c r="N9" s="76" t="s">
        <v>92</v>
      </c>
      <c r="O9" s="76" t="s">
        <v>88</v>
      </c>
      <c r="P9" s="73" t="s">
        <v>89</v>
      </c>
      <c r="Q9" s="76" t="s">
        <v>103</v>
      </c>
      <c r="R9" s="74" t="s">
        <v>76</v>
      </c>
      <c r="S9" s="74" t="s">
        <v>83</v>
      </c>
      <c r="T9" s="74" t="s">
        <v>421</v>
      </c>
      <c r="U9" s="40"/>
    </row>
    <row r="10" spans="1:21" ht="17" customHeight="1" x14ac:dyDescent="0.2">
      <c r="B10" s="69" t="s">
        <v>408</v>
      </c>
      <c r="C10" s="40"/>
      <c r="D10" s="40"/>
      <c r="E10" s="40"/>
      <c r="F10" s="40"/>
      <c r="G10" s="40"/>
      <c r="H10" s="40"/>
      <c r="I10" s="40"/>
      <c r="J10" s="40"/>
      <c r="L10" s="17"/>
      <c r="M10" s="17"/>
      <c r="N10" s="40"/>
      <c r="O10" s="40"/>
      <c r="Q10" s="40"/>
      <c r="R10" s="40"/>
      <c r="S10" s="40"/>
      <c r="T10" s="40"/>
      <c r="U10" s="40"/>
    </row>
    <row r="11" spans="1:21" ht="17" customHeight="1" x14ac:dyDescent="0.2">
      <c r="A11" t="s">
        <v>407</v>
      </c>
      <c r="B11" s="17">
        <v>9</v>
      </c>
      <c r="C11" s="76" t="s">
        <v>79</v>
      </c>
      <c r="D11" s="76" t="s">
        <v>97</v>
      </c>
      <c r="E11" s="74" t="s">
        <v>419</v>
      </c>
      <c r="F11" s="76" t="s">
        <v>85</v>
      </c>
      <c r="G11" s="76" t="s">
        <v>81</v>
      </c>
      <c r="H11" s="76" t="s">
        <v>100</v>
      </c>
      <c r="I11" s="41" t="s">
        <v>87</v>
      </c>
      <c r="J11" s="41" t="s">
        <v>95</v>
      </c>
      <c r="K11" s="70" t="s">
        <v>99</v>
      </c>
      <c r="L11" s="73" t="s">
        <v>80</v>
      </c>
      <c r="M11" s="71" t="s">
        <v>104</v>
      </c>
      <c r="N11" s="74" t="s">
        <v>422</v>
      </c>
      <c r="O11" s="74" t="s">
        <v>420</v>
      </c>
      <c r="P11" s="70" t="s">
        <v>77</v>
      </c>
      <c r="Q11" s="74" t="s">
        <v>101</v>
      </c>
      <c r="R11" s="41" t="s">
        <v>86</v>
      </c>
      <c r="S11" s="76" t="s">
        <v>98</v>
      </c>
      <c r="T11" s="74" t="s">
        <v>90</v>
      </c>
      <c r="U11" s="40"/>
    </row>
    <row r="12" spans="1:21" s="67" customFormat="1" ht="17" customHeight="1" x14ac:dyDescent="0.2">
      <c r="B12" s="69" t="s">
        <v>423</v>
      </c>
      <c r="C12" s="68" t="s">
        <v>437</v>
      </c>
      <c r="D12" s="68" t="s">
        <v>434</v>
      </c>
      <c r="E12" s="68"/>
      <c r="F12" s="68" t="s">
        <v>435</v>
      </c>
      <c r="G12" s="68"/>
      <c r="H12" s="68"/>
      <c r="I12" s="68"/>
      <c r="J12" s="68"/>
      <c r="K12" s="69"/>
      <c r="L12" s="69"/>
      <c r="M12" s="69" t="s">
        <v>436</v>
      </c>
      <c r="N12" s="68"/>
      <c r="O12" s="68"/>
      <c r="P12" s="69"/>
      <c r="Q12" s="68"/>
      <c r="R12" s="68"/>
      <c r="S12" s="68"/>
      <c r="T12" s="68"/>
      <c r="U12" s="68"/>
    </row>
    <row r="13" spans="1:21" x14ac:dyDescent="0.2">
      <c r="A13" s="18" t="s">
        <v>409</v>
      </c>
      <c r="B13" s="18">
        <v>10</v>
      </c>
      <c r="C13" s="77" t="s">
        <v>82</v>
      </c>
      <c r="D13" s="75" t="s">
        <v>86</v>
      </c>
      <c r="E13" s="75" t="s">
        <v>102</v>
      </c>
      <c r="F13" s="75" t="s">
        <v>96</v>
      </c>
      <c r="G13" s="79" t="s">
        <v>83</v>
      </c>
      <c r="H13" s="79" t="s">
        <v>421</v>
      </c>
      <c r="I13" s="77" t="s">
        <v>88</v>
      </c>
      <c r="J13" s="79" t="s">
        <v>417</v>
      </c>
      <c r="K13" s="77" t="s">
        <v>103</v>
      </c>
      <c r="L13" s="77" t="s">
        <v>92</v>
      </c>
      <c r="M13" s="75" t="s">
        <v>99</v>
      </c>
      <c r="N13" s="79" t="s">
        <v>76</v>
      </c>
      <c r="O13" s="75" t="s">
        <v>95</v>
      </c>
      <c r="P13" s="79" t="s">
        <v>422</v>
      </c>
      <c r="Q13" s="79" t="s">
        <v>89</v>
      </c>
      <c r="R13" s="77" t="s">
        <v>78</v>
      </c>
      <c r="S13" s="77" t="s">
        <v>91</v>
      </c>
      <c r="T13" s="77" t="s">
        <v>94</v>
      </c>
      <c r="U13" s="40"/>
    </row>
    <row r="14" spans="1:21" s="17" customFormat="1" x14ac:dyDescent="0.2">
      <c r="B14" s="69" t="s">
        <v>449</v>
      </c>
    </row>
    <row r="15" spans="1:21" x14ac:dyDescent="0.2">
      <c r="A15" t="s">
        <v>410</v>
      </c>
      <c r="B15" s="40">
        <v>11</v>
      </c>
      <c r="C15" s="72" t="s">
        <v>80</v>
      </c>
      <c r="D15" s="74" t="s">
        <v>419</v>
      </c>
      <c r="E15" s="76" t="s">
        <v>104</v>
      </c>
      <c r="F15" s="74" t="s">
        <v>101</v>
      </c>
      <c r="G15" s="74" t="s">
        <v>420</v>
      </c>
      <c r="H15" s="76" t="s">
        <v>85</v>
      </c>
      <c r="I15" s="41" t="s">
        <v>75</v>
      </c>
      <c r="J15" s="41" t="s">
        <v>93</v>
      </c>
      <c r="K15" s="73" t="s">
        <v>418</v>
      </c>
      <c r="L15" s="76" t="s">
        <v>97</v>
      </c>
      <c r="M15" s="76" t="s">
        <v>79</v>
      </c>
      <c r="N15" s="41" t="s">
        <v>84</v>
      </c>
      <c r="O15" s="74" t="s">
        <v>90</v>
      </c>
      <c r="P15" s="71" t="s">
        <v>81</v>
      </c>
      <c r="Q15" s="76" t="s">
        <v>98</v>
      </c>
      <c r="R15" s="41" t="s">
        <v>87</v>
      </c>
      <c r="S15" s="76" t="s">
        <v>94</v>
      </c>
      <c r="T15" s="41" t="s">
        <v>102</v>
      </c>
      <c r="U15" s="40"/>
    </row>
    <row r="16" spans="1:21" s="67" customFormat="1" x14ac:dyDescent="0.2">
      <c r="B16" s="68" t="s">
        <v>423</v>
      </c>
      <c r="C16" s="67" t="s">
        <v>433</v>
      </c>
      <c r="D16" s="68" t="s">
        <v>438</v>
      </c>
      <c r="E16" s="68"/>
      <c r="F16" s="68" t="s">
        <v>439</v>
      </c>
      <c r="G16" s="68"/>
      <c r="H16" s="68"/>
      <c r="I16" s="68"/>
      <c r="J16" s="68"/>
      <c r="K16" s="68"/>
      <c r="L16" s="68"/>
      <c r="M16" s="68" t="s">
        <v>440</v>
      </c>
      <c r="N16" s="68"/>
      <c r="O16" s="68"/>
      <c r="P16" s="69"/>
      <c r="Q16" s="68"/>
      <c r="R16" s="68"/>
      <c r="S16" s="68"/>
      <c r="T16" s="68"/>
      <c r="U16" s="68"/>
    </row>
    <row r="17" spans="1:21" x14ac:dyDescent="0.2">
      <c r="A17" t="s">
        <v>411</v>
      </c>
      <c r="B17" s="40">
        <v>12</v>
      </c>
      <c r="C17" s="41" t="s">
        <v>77</v>
      </c>
      <c r="D17" s="74" t="s">
        <v>422</v>
      </c>
      <c r="E17" s="76" t="s">
        <v>82</v>
      </c>
      <c r="F17" s="41" t="s">
        <v>84</v>
      </c>
      <c r="G17" s="74" t="s">
        <v>76</v>
      </c>
      <c r="H17" s="74" t="s">
        <v>101</v>
      </c>
      <c r="I17" s="76" t="s">
        <v>78</v>
      </c>
      <c r="J17" s="76" t="s">
        <v>452</v>
      </c>
      <c r="K17" s="73" t="s">
        <v>417</v>
      </c>
      <c r="L17" s="41" t="s">
        <v>99</v>
      </c>
      <c r="M17" s="74" t="s">
        <v>421</v>
      </c>
      <c r="N17" s="76" t="s">
        <v>104</v>
      </c>
      <c r="O17" s="41" t="s">
        <v>453</v>
      </c>
      <c r="P17" s="71" t="s">
        <v>79</v>
      </c>
      <c r="Q17" s="76" t="s">
        <v>100</v>
      </c>
      <c r="R17" s="74" t="s">
        <v>89</v>
      </c>
      <c r="S17" s="41" t="s">
        <v>86</v>
      </c>
      <c r="T17" s="76" t="s">
        <v>91</v>
      </c>
      <c r="U17" s="40"/>
    </row>
    <row r="18" spans="1:21" x14ac:dyDescent="0.2">
      <c r="B18" s="68" t="s">
        <v>408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Q18" s="40"/>
      <c r="R18" s="40"/>
      <c r="S18" s="40"/>
      <c r="T18" s="40"/>
      <c r="U18" s="40"/>
    </row>
    <row r="19" spans="1:21" ht="17" customHeight="1" x14ac:dyDescent="0.2">
      <c r="A19" t="s">
        <v>412</v>
      </c>
      <c r="B19" s="40">
        <v>13</v>
      </c>
      <c r="C19" s="74" t="s">
        <v>90</v>
      </c>
      <c r="D19" s="41" t="s">
        <v>96</v>
      </c>
      <c r="E19" s="41" t="s">
        <v>75</v>
      </c>
      <c r="F19" s="74" t="s">
        <v>454</v>
      </c>
      <c r="G19" s="76" t="s">
        <v>103</v>
      </c>
      <c r="H19" s="76" t="s">
        <v>98</v>
      </c>
      <c r="I19" s="74" t="s">
        <v>421</v>
      </c>
      <c r="J19" s="76" t="s">
        <v>97</v>
      </c>
      <c r="K19" s="71" t="s">
        <v>88</v>
      </c>
      <c r="L19" s="74" t="s">
        <v>83</v>
      </c>
      <c r="M19" s="76" t="s">
        <v>85</v>
      </c>
      <c r="N19" s="41" t="s">
        <v>102</v>
      </c>
      <c r="O19" s="76" t="s">
        <v>91</v>
      </c>
      <c r="P19" s="70" t="s">
        <v>93</v>
      </c>
      <c r="Q19" s="41" t="s">
        <v>95</v>
      </c>
      <c r="R19" s="76" t="s">
        <v>94</v>
      </c>
      <c r="S19" s="74" t="s">
        <v>417</v>
      </c>
      <c r="T19" s="74" t="s">
        <v>418</v>
      </c>
      <c r="U19" s="40"/>
    </row>
    <row r="20" spans="1:21" s="67" customFormat="1" x14ac:dyDescent="0.2">
      <c r="B20" s="68" t="s">
        <v>423</v>
      </c>
      <c r="C20" s="68" t="s">
        <v>442</v>
      </c>
      <c r="D20" s="68" t="s">
        <v>443</v>
      </c>
      <c r="E20" s="68"/>
      <c r="F20" s="68" t="s">
        <v>441</v>
      </c>
      <c r="G20" s="68"/>
      <c r="H20" s="68"/>
      <c r="I20" s="68"/>
      <c r="J20" s="68"/>
      <c r="K20" s="69"/>
      <c r="L20" s="68"/>
      <c r="M20" s="68" t="s">
        <v>444</v>
      </c>
      <c r="N20" s="68"/>
      <c r="O20" s="68"/>
      <c r="P20" s="69"/>
      <c r="Q20" s="68"/>
      <c r="R20" s="68"/>
      <c r="S20" s="68"/>
      <c r="T20" s="68"/>
      <c r="U20" s="68"/>
    </row>
    <row r="21" spans="1:21" x14ac:dyDescent="0.2">
      <c r="A21" t="s">
        <v>413</v>
      </c>
      <c r="B21" s="40">
        <v>14</v>
      </c>
      <c r="C21" s="76" t="s">
        <v>104</v>
      </c>
      <c r="D21" s="41" t="s">
        <v>77</v>
      </c>
      <c r="E21" s="76" t="s">
        <v>81</v>
      </c>
      <c r="F21" s="41" t="s">
        <v>75</v>
      </c>
      <c r="G21" s="74" t="s">
        <v>455</v>
      </c>
      <c r="H21" s="41" t="s">
        <v>87</v>
      </c>
      <c r="I21" s="76" t="s">
        <v>100</v>
      </c>
      <c r="J21" s="74" t="s">
        <v>420</v>
      </c>
      <c r="K21" s="71" t="s">
        <v>85</v>
      </c>
      <c r="L21" s="74" t="s">
        <v>76</v>
      </c>
      <c r="M21" s="76" t="s">
        <v>98</v>
      </c>
      <c r="N21" s="74" t="s">
        <v>101</v>
      </c>
      <c r="O21" s="41" t="s">
        <v>86</v>
      </c>
      <c r="P21" s="71" t="s">
        <v>78</v>
      </c>
      <c r="Q21" s="74" t="s">
        <v>422</v>
      </c>
      <c r="R21" s="41" t="s">
        <v>84</v>
      </c>
      <c r="S21" s="76" t="s">
        <v>88</v>
      </c>
      <c r="T21" s="74" t="s">
        <v>89</v>
      </c>
      <c r="U21" s="40"/>
    </row>
    <row r="22" spans="1:21" x14ac:dyDescent="0.2">
      <c r="A22" t="s">
        <v>414</v>
      </c>
      <c r="B22" s="40">
        <v>15</v>
      </c>
      <c r="C22" s="74" t="s">
        <v>420</v>
      </c>
      <c r="D22" s="76" t="s">
        <v>79</v>
      </c>
      <c r="E22" s="74" t="s">
        <v>89</v>
      </c>
      <c r="F22" s="74" t="s">
        <v>90</v>
      </c>
      <c r="G22" s="41" t="s">
        <v>93</v>
      </c>
      <c r="H22" s="76" t="s">
        <v>103</v>
      </c>
      <c r="I22" s="76" t="s">
        <v>92</v>
      </c>
      <c r="J22" s="41" t="s">
        <v>456</v>
      </c>
      <c r="K22" s="73" t="s">
        <v>83</v>
      </c>
      <c r="L22" s="76" t="s">
        <v>82</v>
      </c>
      <c r="M22" s="76" t="s">
        <v>100</v>
      </c>
      <c r="N22" s="41" t="s">
        <v>96</v>
      </c>
      <c r="O22" s="74" t="s">
        <v>418</v>
      </c>
      <c r="P22" s="73" t="s">
        <v>417</v>
      </c>
      <c r="Q22" s="41" t="s">
        <v>77</v>
      </c>
      <c r="R22" s="76" t="s">
        <v>81</v>
      </c>
      <c r="S22" s="41" t="s">
        <v>457</v>
      </c>
      <c r="T22" s="76" t="s">
        <v>78</v>
      </c>
      <c r="U22" s="40"/>
    </row>
    <row r="23" spans="1:21" s="67" customFormat="1" x14ac:dyDescent="0.2">
      <c r="B23" s="68" t="s">
        <v>423</v>
      </c>
      <c r="C23" s="68" t="s">
        <v>446</v>
      </c>
      <c r="D23" s="68" t="s">
        <v>445</v>
      </c>
      <c r="E23" s="68"/>
      <c r="F23" s="68" t="s">
        <v>447</v>
      </c>
      <c r="G23" s="68"/>
      <c r="H23" s="68"/>
      <c r="I23" s="68"/>
      <c r="J23" s="68"/>
      <c r="K23" s="69"/>
      <c r="L23" s="68"/>
      <c r="M23" s="68" t="s">
        <v>448</v>
      </c>
      <c r="N23" s="68"/>
      <c r="O23" s="68"/>
      <c r="P23" s="69"/>
      <c r="Q23" s="68"/>
      <c r="R23" s="68"/>
      <c r="S23" s="68"/>
      <c r="T23" s="68"/>
      <c r="U23" s="68"/>
    </row>
    <row r="24" spans="1:21" x14ac:dyDescent="0.2">
      <c r="A24" s="18" t="s">
        <v>415</v>
      </c>
      <c r="B24" s="18">
        <v>16</v>
      </c>
      <c r="C24" s="75" t="s">
        <v>75</v>
      </c>
      <c r="D24" s="75" t="s">
        <v>95</v>
      </c>
      <c r="E24" s="77" t="s">
        <v>94</v>
      </c>
      <c r="F24" s="79" t="s">
        <v>419</v>
      </c>
      <c r="G24" s="75" t="s">
        <v>87</v>
      </c>
      <c r="H24" s="79" t="s">
        <v>80</v>
      </c>
      <c r="I24" s="75" t="s">
        <v>102</v>
      </c>
      <c r="J24" s="79" t="s">
        <v>90</v>
      </c>
      <c r="K24" s="77" t="s">
        <v>82</v>
      </c>
      <c r="L24" s="75" t="s">
        <v>93</v>
      </c>
      <c r="M24" s="79" t="s">
        <v>422</v>
      </c>
      <c r="N24" s="77" t="s">
        <v>91</v>
      </c>
      <c r="O24" s="77" t="s">
        <v>97</v>
      </c>
      <c r="P24" s="79" t="s">
        <v>421</v>
      </c>
      <c r="Q24" s="77" t="s">
        <v>88</v>
      </c>
      <c r="R24" s="79" t="s">
        <v>83</v>
      </c>
      <c r="S24" s="77" t="s">
        <v>85</v>
      </c>
      <c r="T24" s="77" t="s">
        <v>104</v>
      </c>
      <c r="U24" s="40"/>
    </row>
    <row r="25" spans="1:21" s="17" customFormat="1" x14ac:dyDescent="0.2">
      <c r="B25" s="69" t="s">
        <v>450</v>
      </c>
    </row>
    <row r="26" spans="1:21" x14ac:dyDescent="0.2">
      <c r="A26" s="104" t="s">
        <v>451</v>
      </c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40"/>
    </row>
    <row r="29" spans="1:21" x14ac:dyDescent="0.2">
      <c r="B29" s="80" t="s">
        <v>466</v>
      </c>
      <c r="C29" s="17">
        <v>5</v>
      </c>
      <c r="D29">
        <v>4</v>
      </c>
      <c r="E29">
        <v>6</v>
      </c>
      <c r="F29">
        <v>3</v>
      </c>
      <c r="G29">
        <v>3</v>
      </c>
      <c r="H29">
        <v>5</v>
      </c>
      <c r="I29">
        <v>6</v>
      </c>
      <c r="J29">
        <v>3</v>
      </c>
      <c r="K29" s="17">
        <v>5</v>
      </c>
      <c r="L29">
        <v>4</v>
      </c>
      <c r="M29">
        <v>5</v>
      </c>
      <c r="N29">
        <v>5</v>
      </c>
      <c r="O29">
        <v>5</v>
      </c>
      <c r="P29">
        <v>5</v>
      </c>
      <c r="Q29">
        <v>5</v>
      </c>
      <c r="R29">
        <v>4</v>
      </c>
      <c r="S29">
        <v>6</v>
      </c>
      <c r="T29">
        <v>5</v>
      </c>
    </row>
    <row r="30" spans="1:21" x14ac:dyDescent="0.2">
      <c r="B30" s="73" t="s">
        <v>467</v>
      </c>
      <c r="C30" s="17">
        <v>4</v>
      </c>
      <c r="D30">
        <v>4</v>
      </c>
      <c r="E30">
        <v>3</v>
      </c>
      <c r="F30">
        <v>5</v>
      </c>
      <c r="G30">
        <v>5</v>
      </c>
      <c r="H30">
        <v>5</v>
      </c>
      <c r="I30">
        <v>3</v>
      </c>
      <c r="J30">
        <v>4</v>
      </c>
      <c r="K30" s="17">
        <v>4</v>
      </c>
      <c r="L30">
        <v>4</v>
      </c>
      <c r="M30">
        <v>3</v>
      </c>
      <c r="N30">
        <v>4</v>
      </c>
      <c r="O30">
        <v>3</v>
      </c>
      <c r="P30">
        <v>5</v>
      </c>
      <c r="Q30">
        <v>4</v>
      </c>
      <c r="R30">
        <v>5</v>
      </c>
      <c r="S30">
        <v>3</v>
      </c>
      <c r="T30">
        <v>4</v>
      </c>
    </row>
    <row r="31" spans="1:21" x14ac:dyDescent="0.2">
      <c r="B31" s="17"/>
      <c r="C31" s="17">
        <f>SUM(C28:C30)</f>
        <v>9</v>
      </c>
      <c r="D31" s="17">
        <f t="shared" ref="D31:L31" si="0">SUM(D28:D30)</f>
        <v>8</v>
      </c>
      <c r="E31" s="17">
        <f t="shared" si="0"/>
        <v>9</v>
      </c>
      <c r="F31" s="17">
        <f t="shared" si="0"/>
        <v>8</v>
      </c>
      <c r="G31" s="17">
        <f t="shared" si="0"/>
        <v>8</v>
      </c>
      <c r="H31" s="17">
        <f t="shared" si="0"/>
        <v>10</v>
      </c>
      <c r="I31" s="17">
        <f t="shared" si="0"/>
        <v>9</v>
      </c>
      <c r="J31" s="17">
        <f t="shared" si="0"/>
        <v>7</v>
      </c>
      <c r="K31" s="17">
        <f t="shared" si="0"/>
        <v>9</v>
      </c>
      <c r="L31" s="17">
        <f t="shared" si="0"/>
        <v>8</v>
      </c>
      <c r="M31" s="17">
        <f>SUM(M28:M30)</f>
        <v>8</v>
      </c>
      <c r="N31" s="17">
        <f t="shared" ref="N31" si="1">SUM(N28:N30)</f>
        <v>9</v>
      </c>
      <c r="O31" s="17">
        <f t="shared" ref="O31" si="2">SUM(O28:O30)</f>
        <v>8</v>
      </c>
      <c r="P31" s="17">
        <f t="shared" ref="P31" si="3">SUM(P28:P30)</f>
        <v>10</v>
      </c>
      <c r="Q31" s="17">
        <f t="shared" ref="Q31" si="4">SUM(Q28:Q30)</f>
        <v>9</v>
      </c>
      <c r="R31" s="17">
        <f t="shared" ref="R31" si="5">SUM(R28:R30)</f>
        <v>9</v>
      </c>
      <c r="S31" s="17">
        <f>SUM(S28:S30)</f>
        <v>9</v>
      </c>
      <c r="T31" s="17">
        <f t="shared" ref="T31" si="6">SUM(T28:T30)</f>
        <v>9</v>
      </c>
    </row>
    <row r="32" spans="1:21" x14ac:dyDescent="0.2">
      <c r="B32" s="17"/>
      <c r="C32" s="17"/>
      <c r="P32" s="19"/>
    </row>
    <row r="33" spans="2:16" x14ac:dyDescent="0.2">
      <c r="B33" s="17"/>
      <c r="C33" s="17"/>
      <c r="P33" s="19"/>
    </row>
    <row r="34" spans="2:16" x14ac:dyDescent="0.2">
      <c r="B34" s="17"/>
      <c r="C34" s="17"/>
      <c r="P34" s="19"/>
    </row>
    <row r="35" spans="2:16" x14ac:dyDescent="0.2">
      <c r="B35" s="17"/>
      <c r="C35" s="17"/>
      <c r="P35" s="19"/>
    </row>
    <row r="36" spans="2:16" x14ac:dyDescent="0.2">
      <c r="B36" s="17"/>
      <c r="C36" s="17"/>
      <c r="P36" s="19"/>
    </row>
    <row r="37" spans="2:16" x14ac:dyDescent="0.2">
      <c r="B37" s="17"/>
      <c r="C37" s="17"/>
      <c r="P37" s="19"/>
    </row>
    <row r="38" spans="2:16" x14ac:dyDescent="0.2">
      <c r="B38" s="17"/>
    </row>
  </sheetData>
  <mergeCells count="1">
    <mergeCell ref="A26:T26"/>
  </mergeCells>
  <pageMargins left="0.7" right="0.7" top="0.75" bottom="0.75" header="0.3" footer="0.3"/>
  <ignoredErrors>
    <ignoredError sqref="A3:A2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B7F2-924C-A241-A403-D1C8D6602872}">
  <dimension ref="A1:Y74"/>
  <sheetViews>
    <sheetView zoomScale="75" workbookViewId="0">
      <selection activeCell="S3" sqref="S3"/>
    </sheetView>
  </sheetViews>
  <sheetFormatPr baseColWidth="10" defaultRowHeight="16" x14ac:dyDescent="0.2"/>
  <cols>
    <col min="1" max="1" width="9.6640625" bestFit="1" customWidth="1"/>
    <col min="2" max="2" width="16.5" bestFit="1" customWidth="1"/>
    <col min="3" max="3" width="21" style="16" customWidth="1"/>
    <col min="4" max="5" width="4.5" bestFit="1" customWidth="1"/>
    <col min="6" max="6" width="4.83203125" customWidth="1"/>
    <col min="7" max="15" width="4.5" bestFit="1" customWidth="1"/>
    <col min="16" max="16" width="4.83203125" bestFit="1" customWidth="1"/>
    <col min="17" max="17" width="25.33203125" style="18" bestFit="1" customWidth="1"/>
    <col min="19" max="19" width="14.5" bestFit="1" customWidth="1"/>
    <col min="20" max="20" width="14.5" customWidth="1"/>
  </cols>
  <sheetData>
    <row r="1" spans="1:25" x14ac:dyDescent="0.2">
      <c r="C1" s="16" t="s">
        <v>468</v>
      </c>
      <c r="D1" s="1">
        <v>5</v>
      </c>
      <c r="E1" s="1">
        <v>6</v>
      </c>
      <c r="F1" s="1" t="s">
        <v>474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8" t="s">
        <v>469</v>
      </c>
      <c r="S1" t="s">
        <v>481</v>
      </c>
      <c r="W1" t="s">
        <v>507</v>
      </c>
      <c r="X1" t="s">
        <v>508</v>
      </c>
      <c r="Y1" t="s">
        <v>509</v>
      </c>
    </row>
    <row r="2" spans="1:25" x14ac:dyDescent="0.2">
      <c r="A2" t="s">
        <v>114</v>
      </c>
      <c r="B2" s="36" t="s">
        <v>283</v>
      </c>
      <c r="C2" s="16">
        <v>290</v>
      </c>
      <c r="D2">
        <v>118</v>
      </c>
      <c r="E2">
        <v>118</v>
      </c>
      <c r="F2">
        <v>118</v>
      </c>
      <c r="G2">
        <v>54</v>
      </c>
      <c r="H2">
        <v>118</v>
      </c>
      <c r="I2">
        <v>54</v>
      </c>
      <c r="J2">
        <v>30</v>
      </c>
      <c r="K2">
        <v>118</v>
      </c>
      <c r="L2">
        <v>118</v>
      </c>
      <c r="M2">
        <v>118</v>
      </c>
      <c r="N2">
        <v>30</v>
      </c>
      <c r="O2">
        <v>118</v>
      </c>
      <c r="P2">
        <v>118</v>
      </c>
      <c r="Q2" s="18">
        <f t="shared" ref="Q2:Q19" si="0">C2+SUM(D2:P2)</f>
        <v>1520</v>
      </c>
      <c r="S2">
        <f>SUM(D2:E2)+SUM(G2:P2)</f>
        <v>1112</v>
      </c>
      <c r="W2" s="15">
        <v>3500000</v>
      </c>
      <c r="X2" s="15">
        <v>4000000</v>
      </c>
      <c r="Y2" s="15">
        <f>X2-W2</f>
        <v>500000</v>
      </c>
    </row>
    <row r="3" spans="1:25" x14ac:dyDescent="0.2">
      <c r="B3" s="36" t="s">
        <v>124</v>
      </c>
      <c r="C3" s="16">
        <v>260</v>
      </c>
      <c r="D3">
        <v>54</v>
      </c>
      <c r="E3">
        <v>12</v>
      </c>
      <c r="F3" t="s">
        <v>480</v>
      </c>
      <c r="G3">
        <v>-12</v>
      </c>
      <c r="H3">
        <v>12</v>
      </c>
      <c r="I3">
        <v>12</v>
      </c>
      <c r="J3">
        <v>106</v>
      </c>
      <c r="K3">
        <v>12</v>
      </c>
      <c r="L3">
        <f>27*2</f>
        <v>54</v>
      </c>
      <c r="M3">
        <v>12</v>
      </c>
      <c r="N3">
        <v>54</v>
      </c>
      <c r="O3">
        <v>118</v>
      </c>
      <c r="P3">
        <v>-12</v>
      </c>
      <c r="Q3" s="18">
        <f>C3+SUM(D3:P3)</f>
        <v>682</v>
      </c>
      <c r="S3">
        <f t="shared" ref="S3:S8" si="1">SUM(D3:E3)+SUM(G3:P3)</f>
        <v>422</v>
      </c>
      <c r="W3" s="15">
        <v>1500000</v>
      </c>
      <c r="X3" s="15">
        <v>1750000</v>
      </c>
      <c r="Y3" s="15">
        <f t="shared" ref="Y3:Y20" si="2">X3-W3</f>
        <v>250000</v>
      </c>
    </row>
    <row r="4" spans="1:25" x14ac:dyDescent="0.2">
      <c r="B4" s="35" t="s">
        <v>21</v>
      </c>
      <c r="C4" s="16">
        <v>264</v>
      </c>
      <c r="D4">
        <v>30</v>
      </c>
      <c r="E4">
        <v>102</v>
      </c>
      <c r="F4" t="s">
        <v>480</v>
      </c>
      <c r="G4">
        <v>54</v>
      </c>
      <c r="H4">
        <v>102</v>
      </c>
      <c r="I4">
        <v>102</v>
      </c>
      <c r="J4">
        <v>12</v>
      </c>
      <c r="K4">
        <v>54</v>
      </c>
      <c r="L4">
        <v>102</v>
      </c>
      <c r="M4">
        <v>30</v>
      </c>
      <c r="N4">
        <v>12</v>
      </c>
      <c r="O4">
        <v>54</v>
      </c>
      <c r="P4">
        <v>150</v>
      </c>
      <c r="Q4" s="18">
        <f t="shared" si="0"/>
        <v>1068</v>
      </c>
      <c r="S4">
        <f t="shared" si="1"/>
        <v>804</v>
      </c>
      <c r="W4" s="15">
        <v>3500000</v>
      </c>
      <c r="X4" s="15">
        <v>3500000</v>
      </c>
      <c r="Y4" s="15">
        <f t="shared" si="2"/>
        <v>0</v>
      </c>
    </row>
    <row r="5" spans="1:25" x14ac:dyDescent="0.2">
      <c r="B5" s="35" t="s">
        <v>126</v>
      </c>
      <c r="C5" s="16">
        <v>258</v>
      </c>
      <c r="D5">
        <v>102</v>
      </c>
      <c r="E5">
        <v>150</v>
      </c>
      <c r="F5">
        <v>90</v>
      </c>
      <c r="G5">
        <v>102</v>
      </c>
      <c r="H5">
        <v>54</v>
      </c>
      <c r="I5">
        <v>150</v>
      </c>
      <c r="J5">
        <v>12</v>
      </c>
      <c r="K5">
        <v>42</v>
      </c>
      <c r="L5">
        <v>36</v>
      </c>
      <c r="M5">
        <v>102</v>
      </c>
      <c r="N5">
        <v>42</v>
      </c>
      <c r="O5">
        <v>54</v>
      </c>
      <c r="P5">
        <v>-12</v>
      </c>
      <c r="Q5" s="18">
        <f t="shared" si="0"/>
        <v>1182</v>
      </c>
      <c r="S5">
        <f t="shared" si="1"/>
        <v>834</v>
      </c>
      <c r="W5" s="15">
        <v>3000000</v>
      </c>
      <c r="X5" s="15">
        <v>4000000</v>
      </c>
      <c r="Y5" s="15">
        <f t="shared" si="2"/>
        <v>1000000</v>
      </c>
    </row>
    <row r="6" spans="1:25" x14ac:dyDescent="0.2">
      <c r="B6" s="35" t="s">
        <v>309</v>
      </c>
      <c r="C6" s="16">
        <v>306</v>
      </c>
      <c r="D6">
        <v>54</v>
      </c>
      <c r="E6">
        <v>36</v>
      </c>
      <c r="F6">
        <v>102</v>
      </c>
      <c r="G6">
        <v>102</v>
      </c>
      <c r="H6">
        <v>78</v>
      </c>
      <c r="I6">
        <v>18</v>
      </c>
      <c r="J6">
        <v>30</v>
      </c>
      <c r="K6">
        <v>0</v>
      </c>
      <c r="L6">
        <v>18</v>
      </c>
      <c r="M6">
        <f>-22*2</f>
        <v>-44</v>
      </c>
      <c r="N6">
        <v>54</v>
      </c>
      <c r="O6">
        <v>6</v>
      </c>
      <c r="P6">
        <v>0</v>
      </c>
      <c r="Q6" s="18">
        <f t="shared" si="0"/>
        <v>760</v>
      </c>
      <c r="S6">
        <f t="shared" si="1"/>
        <v>352</v>
      </c>
      <c r="W6" s="15">
        <v>2500000</v>
      </c>
      <c r="X6" s="15">
        <v>2500000</v>
      </c>
      <c r="Y6" s="15">
        <f t="shared" si="2"/>
        <v>0</v>
      </c>
    </row>
    <row r="7" spans="1:25" x14ac:dyDescent="0.2">
      <c r="B7" s="35" t="s">
        <v>211</v>
      </c>
      <c r="C7" s="16">
        <v>228</v>
      </c>
      <c r="D7">
        <v>54</v>
      </c>
      <c r="E7">
        <v>12</v>
      </c>
      <c r="F7" t="s">
        <v>480</v>
      </c>
      <c r="G7">
        <v>-68</v>
      </c>
      <c r="H7">
        <v>-12</v>
      </c>
      <c r="I7">
        <v>12</v>
      </c>
      <c r="J7">
        <v>90</v>
      </c>
      <c r="K7">
        <v>12</v>
      </c>
      <c r="L7">
        <v>54</v>
      </c>
      <c r="M7">
        <v>12</v>
      </c>
      <c r="N7">
        <v>0</v>
      </c>
      <c r="O7">
        <v>0</v>
      </c>
      <c r="P7">
        <v>0</v>
      </c>
      <c r="Q7" s="18">
        <f t="shared" si="0"/>
        <v>394</v>
      </c>
      <c r="S7">
        <f t="shared" si="1"/>
        <v>166</v>
      </c>
      <c r="W7" s="15">
        <v>1000000</v>
      </c>
      <c r="X7" s="15">
        <v>1500000</v>
      </c>
      <c r="Y7" s="15">
        <f t="shared" si="2"/>
        <v>500000</v>
      </c>
    </row>
    <row r="8" spans="1:25" x14ac:dyDescent="0.2">
      <c r="B8" s="35" t="s">
        <v>184</v>
      </c>
      <c r="C8" s="16">
        <v>150</v>
      </c>
      <c r="D8">
        <v>66</v>
      </c>
      <c r="E8">
        <v>78</v>
      </c>
      <c r="F8" t="s">
        <v>480</v>
      </c>
      <c r="G8">
        <f>63*2</f>
        <v>126</v>
      </c>
      <c r="H8">
        <v>90</v>
      </c>
      <c r="I8">
        <v>-12</v>
      </c>
      <c r="J8">
        <v>12</v>
      </c>
      <c r="K8">
        <v>42</v>
      </c>
      <c r="L8">
        <v>66</v>
      </c>
      <c r="M8">
        <v>-12</v>
      </c>
      <c r="N8">
        <v>18</v>
      </c>
      <c r="O8">
        <v>-48</v>
      </c>
      <c r="P8">
        <v>0</v>
      </c>
      <c r="Q8" s="18">
        <f t="shared" si="0"/>
        <v>576</v>
      </c>
      <c r="S8">
        <f t="shared" si="1"/>
        <v>426</v>
      </c>
      <c r="W8" s="15">
        <v>750000</v>
      </c>
      <c r="X8" s="15">
        <v>1500000</v>
      </c>
      <c r="Y8" s="15">
        <f t="shared" si="2"/>
        <v>750000</v>
      </c>
    </row>
    <row r="9" spans="1:25" x14ac:dyDescent="0.2">
      <c r="B9" s="37" t="s">
        <v>120</v>
      </c>
      <c r="C9" s="16">
        <v>346</v>
      </c>
      <c r="D9">
        <v>150</v>
      </c>
      <c r="E9">
        <v>150</v>
      </c>
      <c r="F9">
        <v>70</v>
      </c>
      <c r="G9">
        <v>46</v>
      </c>
      <c r="H9">
        <v>70</v>
      </c>
      <c r="I9">
        <v>126</v>
      </c>
      <c r="J9">
        <v>34</v>
      </c>
      <c r="K9">
        <f>55*2</f>
        <v>110</v>
      </c>
      <c r="L9">
        <v>70</v>
      </c>
      <c r="M9">
        <v>150</v>
      </c>
      <c r="N9">
        <v>86</v>
      </c>
      <c r="O9">
        <v>110</v>
      </c>
      <c r="P9">
        <v>70</v>
      </c>
      <c r="Q9" s="18">
        <f t="shared" si="0"/>
        <v>1588</v>
      </c>
      <c r="S9">
        <f t="shared" ref="S9:S64" si="3">SUM(D9:E9)+SUM(G9:P9)</f>
        <v>1172</v>
      </c>
      <c r="W9" s="15">
        <v>4000000</v>
      </c>
      <c r="X9" s="15">
        <v>5500000</v>
      </c>
      <c r="Y9" s="15">
        <f t="shared" si="2"/>
        <v>1500000</v>
      </c>
    </row>
    <row r="10" spans="1:25" x14ac:dyDescent="0.2">
      <c r="B10" s="37" t="s">
        <v>31</v>
      </c>
      <c r="C10" s="16">
        <v>338</v>
      </c>
      <c r="D10">
        <v>190</v>
      </c>
      <c r="E10">
        <v>70</v>
      </c>
      <c r="F10">
        <v>34</v>
      </c>
      <c r="G10">
        <v>46</v>
      </c>
      <c r="H10">
        <v>126</v>
      </c>
      <c r="I10">
        <v>110</v>
      </c>
      <c r="J10">
        <v>16</v>
      </c>
      <c r="K10">
        <v>10</v>
      </c>
      <c r="L10">
        <v>28</v>
      </c>
      <c r="M10">
        <v>0</v>
      </c>
      <c r="N10">
        <v>0</v>
      </c>
      <c r="O10">
        <f>68*2</f>
        <v>136</v>
      </c>
      <c r="P10">
        <v>4</v>
      </c>
      <c r="Q10" s="18">
        <f t="shared" si="0"/>
        <v>1108</v>
      </c>
      <c r="S10">
        <f t="shared" si="3"/>
        <v>736</v>
      </c>
      <c r="W10" s="15">
        <v>3000000</v>
      </c>
      <c r="X10" s="15">
        <v>3000000</v>
      </c>
      <c r="Y10" s="15">
        <f t="shared" si="2"/>
        <v>0</v>
      </c>
    </row>
    <row r="11" spans="1:25" x14ac:dyDescent="0.2">
      <c r="B11" s="37" t="s">
        <v>24</v>
      </c>
      <c r="C11" s="16">
        <v>322</v>
      </c>
      <c r="D11">
        <f>63*2</f>
        <v>126</v>
      </c>
      <c r="E11">
        <v>28</v>
      </c>
      <c r="F11">
        <v>150</v>
      </c>
      <c r="G11">
        <v>70</v>
      </c>
      <c r="H11">
        <v>110</v>
      </c>
      <c r="I11">
        <v>78</v>
      </c>
      <c r="J11">
        <v>46</v>
      </c>
      <c r="K11">
        <v>114</v>
      </c>
      <c r="L11">
        <v>182</v>
      </c>
      <c r="M11">
        <v>0</v>
      </c>
      <c r="N11">
        <v>166</v>
      </c>
      <c r="O11">
        <v>34</v>
      </c>
      <c r="P11">
        <v>102</v>
      </c>
      <c r="Q11" s="18">
        <f t="shared" si="0"/>
        <v>1528</v>
      </c>
      <c r="S11">
        <f>SUM(D11:E11)+SUM(G11:P11)</f>
        <v>1056</v>
      </c>
      <c r="W11" s="15">
        <v>2500000</v>
      </c>
      <c r="X11" s="15">
        <v>5000000</v>
      </c>
      <c r="Y11" s="15">
        <f t="shared" si="2"/>
        <v>2500000</v>
      </c>
    </row>
    <row r="12" spans="1:25" x14ac:dyDescent="0.2">
      <c r="B12" s="37" t="s">
        <v>201</v>
      </c>
      <c r="C12" s="16">
        <v>292</v>
      </c>
      <c r="D12">
        <v>46</v>
      </c>
      <c r="E12">
        <v>150</v>
      </c>
      <c r="F12" t="s">
        <v>480</v>
      </c>
      <c r="G12">
        <v>46</v>
      </c>
      <c r="H12">
        <v>110</v>
      </c>
      <c r="I12">
        <v>110</v>
      </c>
      <c r="J12">
        <v>16</v>
      </c>
      <c r="K12">
        <v>126</v>
      </c>
      <c r="L12">
        <v>126</v>
      </c>
      <c r="M12">
        <v>154</v>
      </c>
      <c r="N12">
        <v>16</v>
      </c>
      <c r="O12">
        <v>126</v>
      </c>
      <c r="P12">
        <v>150</v>
      </c>
      <c r="Q12" s="18">
        <f t="shared" si="0"/>
        <v>1468</v>
      </c>
      <c r="S12">
        <f t="shared" si="3"/>
        <v>1176</v>
      </c>
      <c r="W12" s="15">
        <v>2500000</v>
      </c>
      <c r="X12" s="15">
        <v>4000000</v>
      </c>
      <c r="Y12" s="15">
        <f t="shared" si="2"/>
        <v>1500000</v>
      </c>
    </row>
    <row r="13" spans="1:25" x14ac:dyDescent="0.2">
      <c r="B13" s="37" t="s">
        <v>219</v>
      </c>
      <c r="C13" s="16">
        <v>364</v>
      </c>
      <c r="D13">
        <v>34</v>
      </c>
      <c r="E13">
        <v>150</v>
      </c>
      <c r="F13">
        <v>16</v>
      </c>
      <c r="G13">
        <v>16</v>
      </c>
      <c r="H13">
        <v>110</v>
      </c>
      <c r="I13">
        <f>29*2</f>
        <v>58</v>
      </c>
      <c r="J13">
        <v>58</v>
      </c>
      <c r="K13">
        <v>46</v>
      </c>
      <c r="L13">
        <v>110</v>
      </c>
      <c r="M13">
        <v>34</v>
      </c>
      <c r="N13">
        <v>16</v>
      </c>
      <c r="O13">
        <v>16</v>
      </c>
      <c r="P13">
        <v>50</v>
      </c>
      <c r="Q13" s="18">
        <f t="shared" si="0"/>
        <v>1078</v>
      </c>
      <c r="S13">
        <f t="shared" si="3"/>
        <v>698</v>
      </c>
      <c r="W13" s="15">
        <v>1500000</v>
      </c>
      <c r="X13" s="15">
        <v>2500000</v>
      </c>
      <c r="Y13" s="15">
        <f t="shared" si="2"/>
        <v>1000000</v>
      </c>
    </row>
    <row r="14" spans="1:25" x14ac:dyDescent="0.2">
      <c r="B14" s="37" t="s">
        <v>29</v>
      </c>
      <c r="C14" s="16">
        <v>44</v>
      </c>
      <c r="D14">
        <v>0</v>
      </c>
      <c r="E14">
        <v>0</v>
      </c>
      <c r="F14" t="s">
        <v>480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-20</v>
      </c>
      <c r="P14">
        <v>34</v>
      </c>
      <c r="Q14" s="18">
        <f t="shared" si="0"/>
        <v>58</v>
      </c>
      <c r="S14">
        <f t="shared" si="3"/>
        <v>14</v>
      </c>
      <c r="W14" s="15">
        <v>500000</v>
      </c>
      <c r="X14" s="15">
        <v>750000</v>
      </c>
      <c r="Y14" s="15">
        <f t="shared" si="2"/>
        <v>250000</v>
      </c>
    </row>
    <row r="15" spans="1:25" x14ac:dyDescent="0.2">
      <c r="B15" s="20" t="s">
        <v>33</v>
      </c>
      <c r="C15" s="16">
        <f>622-D15</f>
        <v>480</v>
      </c>
      <c r="D15">
        <v>142</v>
      </c>
      <c r="E15">
        <v>310</v>
      </c>
      <c r="F15" t="s">
        <v>480</v>
      </c>
      <c r="G15">
        <v>110</v>
      </c>
      <c r="H15">
        <f>348/2</f>
        <v>174</v>
      </c>
      <c r="I15">
        <v>142</v>
      </c>
      <c r="J15">
        <v>28</v>
      </c>
      <c r="K15">
        <f>-36/2</f>
        <v>-18</v>
      </c>
      <c r="L15">
        <v>46</v>
      </c>
      <c r="M15">
        <v>302</v>
      </c>
      <c r="N15">
        <v>68</v>
      </c>
      <c r="O15">
        <v>110</v>
      </c>
      <c r="P15">
        <v>78</v>
      </c>
      <c r="Q15" s="18">
        <f t="shared" si="0"/>
        <v>1972</v>
      </c>
      <c r="S15">
        <f t="shared" si="3"/>
        <v>1492</v>
      </c>
      <c r="W15" s="15">
        <v>6000000</v>
      </c>
      <c r="X15" s="15">
        <v>7000000</v>
      </c>
      <c r="Y15" s="15">
        <f t="shared" si="2"/>
        <v>1000000</v>
      </c>
    </row>
    <row r="16" spans="1:25" x14ac:dyDescent="0.2">
      <c r="B16" s="20" t="s">
        <v>269</v>
      </c>
      <c r="C16" s="16">
        <v>362</v>
      </c>
      <c r="D16">
        <v>150</v>
      </c>
      <c r="E16">
        <f>156/2</f>
        <v>78</v>
      </c>
      <c r="F16">
        <v>174</v>
      </c>
      <c r="G16">
        <v>46</v>
      </c>
      <c r="H16">
        <v>78</v>
      </c>
      <c r="I16">
        <v>46</v>
      </c>
      <c r="J16">
        <v>142</v>
      </c>
      <c r="K16">
        <v>110</v>
      </c>
      <c r="L16">
        <v>110</v>
      </c>
      <c r="M16">
        <v>46</v>
      </c>
      <c r="N16">
        <v>46</v>
      </c>
      <c r="O16">
        <v>46</v>
      </c>
      <c r="P16">
        <v>206</v>
      </c>
      <c r="Q16" s="18">
        <f t="shared" si="0"/>
        <v>1640</v>
      </c>
      <c r="S16">
        <f t="shared" si="3"/>
        <v>1104</v>
      </c>
      <c r="W16" s="15">
        <v>5000000</v>
      </c>
      <c r="X16" s="15">
        <v>5500000</v>
      </c>
      <c r="Y16" s="15">
        <f t="shared" si="2"/>
        <v>500000</v>
      </c>
    </row>
    <row r="17" spans="1:25" x14ac:dyDescent="0.2">
      <c r="B17" s="20" t="s">
        <v>168</v>
      </c>
      <c r="C17" s="16">
        <v>490</v>
      </c>
      <c r="D17">
        <v>110</v>
      </c>
      <c r="E17">
        <v>110</v>
      </c>
      <c r="F17">
        <v>98</v>
      </c>
      <c r="G17">
        <v>110</v>
      </c>
      <c r="H17">
        <v>110</v>
      </c>
      <c r="I17">
        <v>302</v>
      </c>
      <c r="J17">
        <v>92</v>
      </c>
      <c r="K17">
        <v>34</v>
      </c>
      <c r="L17">
        <v>28</v>
      </c>
      <c r="M17">
        <v>110</v>
      </c>
      <c r="N17">
        <v>98</v>
      </c>
      <c r="O17">
        <v>174</v>
      </c>
      <c r="P17">
        <v>28</v>
      </c>
      <c r="Q17" s="18">
        <f t="shared" si="0"/>
        <v>1894</v>
      </c>
      <c r="S17">
        <f t="shared" si="3"/>
        <v>1306</v>
      </c>
      <c r="W17" s="15">
        <v>4000000</v>
      </c>
      <c r="X17" s="15">
        <v>6000000</v>
      </c>
      <c r="Y17" s="15">
        <f t="shared" si="2"/>
        <v>2000000</v>
      </c>
    </row>
    <row r="18" spans="1:25" x14ac:dyDescent="0.2">
      <c r="B18" s="20" t="s">
        <v>190</v>
      </c>
      <c r="C18" s="16">
        <v>370</v>
      </c>
      <c r="D18">
        <v>34</v>
      </c>
      <c r="E18">
        <v>110</v>
      </c>
      <c r="F18" t="s">
        <v>480</v>
      </c>
      <c r="G18">
        <f>39*2</f>
        <v>78</v>
      </c>
      <c r="H18">
        <v>34</v>
      </c>
      <c r="I18">
        <v>28</v>
      </c>
      <c r="J18">
        <v>28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8">
        <f t="shared" si="0"/>
        <v>682</v>
      </c>
      <c r="S18">
        <f t="shared" si="3"/>
        <v>312</v>
      </c>
      <c r="W18" s="15">
        <v>750000</v>
      </c>
      <c r="X18" s="15">
        <v>1000000</v>
      </c>
      <c r="Y18" s="15">
        <f t="shared" si="2"/>
        <v>250000</v>
      </c>
    </row>
    <row r="19" spans="1:25" x14ac:dyDescent="0.2">
      <c r="B19" s="20" t="s">
        <v>134</v>
      </c>
      <c r="C19" s="16">
        <v>124</v>
      </c>
      <c r="D19">
        <v>60</v>
      </c>
      <c r="E19">
        <f>17*2</f>
        <v>34</v>
      </c>
      <c r="F19" t="s">
        <v>480</v>
      </c>
      <c r="G19">
        <v>28</v>
      </c>
      <c r="H19">
        <v>22</v>
      </c>
      <c r="I19">
        <v>28</v>
      </c>
      <c r="J19">
        <v>22</v>
      </c>
      <c r="K19">
        <v>28</v>
      </c>
      <c r="L19">
        <f>2*14</f>
        <v>28</v>
      </c>
      <c r="M19">
        <v>28</v>
      </c>
      <c r="N19">
        <v>28</v>
      </c>
      <c r="O19">
        <v>28</v>
      </c>
      <c r="P19">
        <v>110</v>
      </c>
      <c r="Q19" s="18">
        <f t="shared" si="0"/>
        <v>568</v>
      </c>
      <c r="S19">
        <f t="shared" si="3"/>
        <v>444</v>
      </c>
      <c r="W19" s="15">
        <v>500000</v>
      </c>
      <c r="X19" s="15">
        <v>750000</v>
      </c>
      <c r="Y19" s="15">
        <f t="shared" si="2"/>
        <v>250000</v>
      </c>
    </row>
    <row r="20" spans="1:25" x14ac:dyDescent="0.2">
      <c r="B20" s="42"/>
      <c r="V20" t="s">
        <v>506</v>
      </c>
      <c r="W20" s="15">
        <f>SUM(W2:W19)</f>
        <v>46000000</v>
      </c>
      <c r="X20" s="15">
        <f>SUM(X2:X19)</f>
        <v>59750000</v>
      </c>
      <c r="Y20" s="15">
        <f t="shared" si="2"/>
        <v>13750000</v>
      </c>
    </row>
    <row r="22" spans="1:25" x14ac:dyDescent="0.2">
      <c r="A22" t="s">
        <v>115</v>
      </c>
      <c r="B22" s="36" t="s">
        <v>123</v>
      </c>
      <c r="C22" s="16">
        <v>202</v>
      </c>
      <c r="D22">
        <v>54</v>
      </c>
      <c r="E22">
        <v>36</v>
      </c>
      <c r="F22">
        <v>118</v>
      </c>
      <c r="G22">
        <v>118</v>
      </c>
      <c r="H22">
        <v>118</v>
      </c>
      <c r="I22">
        <v>18</v>
      </c>
      <c r="J22">
        <f>27*2</f>
        <v>54</v>
      </c>
      <c r="K22">
        <v>42</v>
      </c>
      <c r="L22">
        <v>18</v>
      </c>
      <c r="M22">
        <v>12</v>
      </c>
      <c r="N22">
        <v>54</v>
      </c>
      <c r="O22">
        <v>30</v>
      </c>
      <c r="P22">
        <v>18</v>
      </c>
      <c r="Q22" s="18">
        <f t="shared" ref="Q22:Q32" si="4">C22+SUM(D22:P22)</f>
        <v>892</v>
      </c>
      <c r="S22">
        <f t="shared" si="3"/>
        <v>572</v>
      </c>
    </row>
    <row r="23" spans="1:25" x14ac:dyDescent="0.2">
      <c r="B23" s="36" t="s">
        <v>181</v>
      </c>
      <c r="C23" s="16">
        <v>226</v>
      </c>
      <c r="D23">
        <v>118</v>
      </c>
      <c r="E23">
        <v>118</v>
      </c>
      <c r="F23">
        <v>42</v>
      </c>
      <c r="G23">
        <v>118</v>
      </c>
      <c r="H23">
        <v>54</v>
      </c>
      <c r="I23">
        <v>118</v>
      </c>
      <c r="J23">
        <v>12</v>
      </c>
      <c r="K23">
        <v>42</v>
      </c>
      <c r="L23">
        <f>18*2</f>
        <v>36</v>
      </c>
      <c r="M23">
        <v>118</v>
      </c>
      <c r="N23">
        <v>42</v>
      </c>
      <c r="O23">
        <v>54</v>
      </c>
      <c r="P23">
        <v>0</v>
      </c>
      <c r="Q23" s="18">
        <f t="shared" si="4"/>
        <v>1098</v>
      </c>
      <c r="S23">
        <f t="shared" si="3"/>
        <v>830</v>
      </c>
    </row>
    <row r="24" spans="1:25" x14ac:dyDescent="0.2">
      <c r="B24" s="36" t="s">
        <v>268</v>
      </c>
      <c r="C24" s="16">
        <v>164</v>
      </c>
      <c r="D24">
        <v>42</v>
      </c>
      <c r="E24">
        <v>12</v>
      </c>
      <c r="F24" t="s">
        <v>480</v>
      </c>
      <c r="G24">
        <v>12</v>
      </c>
      <c r="H24">
        <v>12</v>
      </c>
      <c r="I24">
        <v>30</v>
      </c>
      <c r="J24">
        <v>42</v>
      </c>
      <c r="K24">
        <f>59*2</f>
        <v>118</v>
      </c>
      <c r="L24">
        <v>-12</v>
      </c>
      <c r="M24">
        <v>12</v>
      </c>
      <c r="N24">
        <v>118</v>
      </c>
      <c r="O24">
        <v>12</v>
      </c>
      <c r="P24">
        <v>18</v>
      </c>
      <c r="Q24" s="18">
        <f t="shared" si="4"/>
        <v>580</v>
      </c>
      <c r="S24">
        <f t="shared" si="3"/>
        <v>416</v>
      </c>
    </row>
    <row r="25" spans="1:25" x14ac:dyDescent="0.2">
      <c r="B25" s="36" t="s">
        <v>223</v>
      </c>
      <c r="C25" s="16">
        <v>72</v>
      </c>
      <c r="D25">
        <v>42</v>
      </c>
      <c r="E25">
        <v>118</v>
      </c>
      <c r="F25">
        <v>12</v>
      </c>
      <c r="G25">
        <v>12</v>
      </c>
      <c r="H25">
        <v>118</v>
      </c>
      <c r="I25">
        <v>106</v>
      </c>
      <c r="J25">
        <v>106</v>
      </c>
      <c r="K25">
        <v>54</v>
      </c>
      <c r="L25">
        <v>118</v>
      </c>
      <c r="M25">
        <f>21*2</f>
        <v>42</v>
      </c>
      <c r="N25">
        <v>12</v>
      </c>
      <c r="O25">
        <v>12</v>
      </c>
      <c r="P25">
        <v>42</v>
      </c>
      <c r="Q25" s="18">
        <f t="shared" si="4"/>
        <v>866</v>
      </c>
      <c r="S25">
        <f t="shared" si="3"/>
        <v>782</v>
      </c>
    </row>
    <row r="26" spans="1:25" x14ac:dyDescent="0.2">
      <c r="B26" s="35" t="s">
        <v>20</v>
      </c>
      <c r="C26" s="1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54</v>
      </c>
      <c r="K26">
        <v>42</v>
      </c>
      <c r="L26">
        <v>18</v>
      </c>
      <c r="M26">
        <f>36-24</f>
        <v>12</v>
      </c>
      <c r="N26">
        <v>54</v>
      </c>
      <c r="O26">
        <v>6</v>
      </c>
      <c r="P26">
        <v>18</v>
      </c>
      <c r="Q26" s="18">
        <f>C26+SUM(D26:P26)</f>
        <v>204</v>
      </c>
      <c r="S26">
        <f t="shared" si="3"/>
        <v>204</v>
      </c>
    </row>
    <row r="27" spans="1:25" x14ac:dyDescent="0.2">
      <c r="B27" s="35" t="s">
        <v>125</v>
      </c>
      <c r="C27" s="16">
        <v>54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12</v>
      </c>
      <c r="N27">
        <v>0</v>
      </c>
      <c r="O27">
        <v>78</v>
      </c>
      <c r="P27">
        <v>0</v>
      </c>
      <c r="Q27" s="18">
        <f t="shared" si="4"/>
        <v>144</v>
      </c>
      <c r="S27">
        <f t="shared" si="3"/>
        <v>90</v>
      </c>
    </row>
    <row r="28" spans="1:25" x14ac:dyDescent="0.2">
      <c r="B28" s="35" t="s">
        <v>281</v>
      </c>
      <c r="C28" s="16">
        <v>102</v>
      </c>
      <c r="D28">
        <v>102</v>
      </c>
      <c r="E28">
        <v>102</v>
      </c>
      <c r="F28">
        <v>0</v>
      </c>
      <c r="G28">
        <v>0</v>
      </c>
      <c r="H28">
        <v>78</v>
      </c>
      <c r="I28">
        <v>0</v>
      </c>
      <c r="J28">
        <v>30</v>
      </c>
      <c r="K28">
        <v>102</v>
      </c>
      <c r="L28">
        <v>150</v>
      </c>
      <c r="M28">
        <v>102</v>
      </c>
      <c r="N28">
        <v>54</v>
      </c>
      <c r="O28">
        <v>102</v>
      </c>
      <c r="P28">
        <v>198</v>
      </c>
      <c r="Q28" s="18">
        <f t="shared" si="4"/>
        <v>1122</v>
      </c>
      <c r="S28">
        <f t="shared" si="3"/>
        <v>1020</v>
      </c>
    </row>
    <row r="29" spans="1:25" x14ac:dyDescent="0.2">
      <c r="B29" s="35" t="s">
        <v>282</v>
      </c>
      <c r="C29" s="16">
        <v>258</v>
      </c>
      <c r="D29">
        <v>102</v>
      </c>
      <c r="E29">
        <v>102</v>
      </c>
      <c r="F29">
        <v>150</v>
      </c>
      <c r="G29">
        <v>54</v>
      </c>
      <c r="H29">
        <v>0</v>
      </c>
      <c r="I29">
        <v>54</v>
      </c>
      <c r="J29">
        <v>0</v>
      </c>
      <c r="K29">
        <v>0</v>
      </c>
      <c r="L29">
        <v>0</v>
      </c>
      <c r="M29">
        <v>0</v>
      </c>
      <c r="N29">
        <v>54</v>
      </c>
      <c r="O29">
        <v>102</v>
      </c>
      <c r="P29">
        <v>0</v>
      </c>
      <c r="Q29" s="18">
        <f t="shared" si="4"/>
        <v>876</v>
      </c>
      <c r="S29">
        <f t="shared" si="3"/>
        <v>468</v>
      </c>
    </row>
    <row r="30" spans="1:25" x14ac:dyDescent="0.2">
      <c r="B30" s="35" t="s">
        <v>204</v>
      </c>
      <c r="C30" s="16">
        <v>312</v>
      </c>
      <c r="D30">
        <v>54</v>
      </c>
      <c r="E30">
        <v>102</v>
      </c>
      <c r="F30" t="s">
        <v>480</v>
      </c>
      <c r="G30">
        <v>102</v>
      </c>
      <c r="H30">
        <v>102</v>
      </c>
      <c r="I30">
        <v>198</v>
      </c>
      <c r="J30">
        <v>108</v>
      </c>
      <c r="K30">
        <v>54</v>
      </c>
      <c r="L30">
        <v>102</v>
      </c>
      <c r="M30">
        <v>30</v>
      </c>
      <c r="N30">
        <v>12</v>
      </c>
      <c r="O30">
        <v>102</v>
      </c>
      <c r="P30">
        <v>198</v>
      </c>
      <c r="Q30" s="18">
        <f t="shared" si="4"/>
        <v>1476</v>
      </c>
      <c r="S30">
        <f t="shared" si="3"/>
        <v>1164</v>
      </c>
    </row>
    <row r="31" spans="1:25" x14ac:dyDescent="0.2">
      <c r="B31" s="35" t="s">
        <v>279</v>
      </c>
      <c r="C31" s="16">
        <v>156</v>
      </c>
      <c r="D31">
        <v>0</v>
      </c>
      <c r="E31">
        <v>78</v>
      </c>
      <c r="F31">
        <v>102</v>
      </c>
      <c r="G31">
        <v>54</v>
      </c>
      <c r="H31">
        <v>102</v>
      </c>
      <c r="I31">
        <v>54</v>
      </c>
      <c r="J31">
        <f>624-546</f>
        <v>78</v>
      </c>
      <c r="K31">
        <v>102</v>
      </c>
      <c r="L31">
        <v>102</v>
      </c>
      <c r="M31">
        <v>102</v>
      </c>
      <c r="N31">
        <v>126</v>
      </c>
      <c r="O31">
        <v>102</v>
      </c>
      <c r="P31">
        <v>102</v>
      </c>
      <c r="Q31" s="18">
        <f t="shared" si="4"/>
        <v>1260</v>
      </c>
      <c r="S31">
        <f t="shared" si="3"/>
        <v>1002</v>
      </c>
    </row>
    <row r="32" spans="1:25" x14ac:dyDescent="0.2">
      <c r="B32" s="35" t="s">
        <v>276</v>
      </c>
      <c r="C32" s="16">
        <v>234</v>
      </c>
      <c r="D32">
        <v>102</v>
      </c>
      <c r="E32">
        <v>102</v>
      </c>
      <c r="F32">
        <v>102</v>
      </c>
      <c r="G32">
        <v>0</v>
      </c>
      <c r="H32">
        <v>102</v>
      </c>
      <c r="I32">
        <f>75*2</f>
        <v>150</v>
      </c>
      <c r="J32">
        <v>30</v>
      </c>
      <c r="K32">
        <v>198</v>
      </c>
      <c r="L32">
        <v>102</v>
      </c>
      <c r="M32">
        <v>102</v>
      </c>
      <c r="N32">
        <v>0</v>
      </c>
      <c r="O32">
        <v>78</v>
      </c>
      <c r="P32">
        <v>0</v>
      </c>
      <c r="Q32" s="18">
        <f t="shared" si="4"/>
        <v>1302</v>
      </c>
      <c r="S32">
        <f>SUM(D32:E32)+SUM(G32:P32)</f>
        <v>966</v>
      </c>
    </row>
    <row r="33" spans="2:19" x14ac:dyDescent="0.2">
      <c r="B33" s="35" t="s">
        <v>178</v>
      </c>
      <c r="C33" s="16">
        <v>210</v>
      </c>
      <c r="D33">
        <v>102</v>
      </c>
      <c r="E33">
        <v>78</v>
      </c>
      <c r="F33">
        <v>42</v>
      </c>
      <c r="G33">
        <v>102</v>
      </c>
      <c r="H33">
        <v>54</v>
      </c>
      <c r="I33">
        <v>102</v>
      </c>
      <c r="J33">
        <v>12</v>
      </c>
      <c r="K33">
        <f>42-24</f>
        <v>18</v>
      </c>
      <c r="L33">
        <v>36</v>
      </c>
      <c r="M33">
        <v>150</v>
      </c>
      <c r="N33">
        <v>66</v>
      </c>
      <c r="O33">
        <v>126</v>
      </c>
      <c r="P33">
        <v>-12</v>
      </c>
      <c r="Q33" s="18">
        <f t="shared" ref="Q33" si="5">C33+SUM(D33:P33)</f>
        <v>1086</v>
      </c>
      <c r="S33">
        <f t="shared" si="3"/>
        <v>834</v>
      </c>
    </row>
    <row r="34" spans="2:19" x14ac:dyDescent="0.2">
      <c r="B34" s="35" t="s">
        <v>360</v>
      </c>
      <c r="C34" s="16">
        <v>102</v>
      </c>
      <c r="D34">
        <v>102</v>
      </c>
      <c r="E34">
        <v>102</v>
      </c>
      <c r="F34">
        <v>42</v>
      </c>
      <c r="G34">
        <v>102</v>
      </c>
      <c r="H34">
        <v>54</v>
      </c>
      <c r="I34">
        <v>102</v>
      </c>
      <c r="J34">
        <v>12</v>
      </c>
      <c r="K34">
        <v>0</v>
      </c>
      <c r="L34">
        <v>0</v>
      </c>
      <c r="M34">
        <v>0</v>
      </c>
      <c r="N34">
        <v>42</v>
      </c>
      <c r="O34">
        <v>102</v>
      </c>
      <c r="P34">
        <v>0</v>
      </c>
      <c r="Q34" s="18">
        <f t="shared" ref="Q34:Q36" si="6">C34+SUM(D34:P34)</f>
        <v>762</v>
      </c>
      <c r="S34">
        <f t="shared" si="3"/>
        <v>618</v>
      </c>
    </row>
    <row r="35" spans="2:19" x14ac:dyDescent="0.2">
      <c r="B35" s="35" t="s">
        <v>221</v>
      </c>
      <c r="C35" s="16">
        <v>240</v>
      </c>
      <c r="D35">
        <v>66</v>
      </c>
      <c r="E35">
        <v>102</v>
      </c>
      <c r="F35">
        <v>12</v>
      </c>
      <c r="G35">
        <v>12</v>
      </c>
      <c r="H35">
        <v>198</v>
      </c>
      <c r="I35">
        <v>90</v>
      </c>
      <c r="J35">
        <v>90</v>
      </c>
      <c r="K35">
        <v>102</v>
      </c>
      <c r="L35">
        <v>102</v>
      </c>
      <c r="M35">
        <v>42</v>
      </c>
      <c r="N35">
        <v>-12</v>
      </c>
      <c r="O35">
        <v>12</v>
      </c>
      <c r="P35">
        <v>42</v>
      </c>
      <c r="Q35" s="18">
        <f t="shared" si="6"/>
        <v>1098</v>
      </c>
      <c r="S35">
        <f>SUM(D35:E35)+SUM(G35:P35)</f>
        <v>846</v>
      </c>
    </row>
    <row r="36" spans="2:19" x14ac:dyDescent="0.2">
      <c r="B36" s="35" t="s">
        <v>305</v>
      </c>
      <c r="C36" s="16">
        <v>144</v>
      </c>
      <c r="D36">
        <v>-12</v>
      </c>
      <c r="E36">
        <v>78</v>
      </c>
      <c r="F36" t="s">
        <v>480</v>
      </c>
      <c r="G36">
        <v>12</v>
      </c>
      <c r="H36">
        <v>-12</v>
      </c>
      <c r="I36">
        <v>90</v>
      </c>
      <c r="J36">
        <v>102</v>
      </c>
      <c r="K36">
        <v>12</v>
      </c>
      <c r="L36">
        <v>54</v>
      </c>
      <c r="M36">
        <v>12</v>
      </c>
      <c r="N36">
        <v>102</v>
      </c>
      <c r="O36">
        <v>12</v>
      </c>
      <c r="P36">
        <v>-30</v>
      </c>
      <c r="Q36" s="18">
        <f t="shared" si="6"/>
        <v>564</v>
      </c>
      <c r="S36">
        <f t="shared" si="3"/>
        <v>420</v>
      </c>
    </row>
    <row r="37" spans="2:19" x14ac:dyDescent="0.2">
      <c r="B37" s="35" t="s">
        <v>209</v>
      </c>
      <c r="C37" s="16">
        <v>228</v>
      </c>
      <c r="D37">
        <v>102</v>
      </c>
      <c r="E37">
        <v>12</v>
      </c>
      <c r="F37" t="s">
        <v>480</v>
      </c>
      <c r="G37">
        <v>-12</v>
      </c>
      <c r="H37">
        <v>12</v>
      </c>
      <c r="I37">
        <v>12</v>
      </c>
      <c r="J37">
        <v>90</v>
      </c>
      <c r="K37">
        <v>12</v>
      </c>
      <c r="L37">
        <v>54</v>
      </c>
      <c r="M37">
        <v>12</v>
      </c>
      <c r="N37">
        <v>150</v>
      </c>
      <c r="O37">
        <v>102</v>
      </c>
      <c r="P37">
        <v>-36</v>
      </c>
      <c r="Q37" s="18">
        <f t="shared" ref="Q37:Q64" si="7">C37+SUM(D37:P37)</f>
        <v>738</v>
      </c>
      <c r="S37">
        <f t="shared" si="3"/>
        <v>510</v>
      </c>
    </row>
    <row r="38" spans="2:19" x14ac:dyDescent="0.2">
      <c r="B38" s="35" t="s">
        <v>127</v>
      </c>
      <c r="C38" s="16">
        <v>204</v>
      </c>
      <c r="D38">
        <v>54</v>
      </c>
      <c r="E38">
        <v>-12</v>
      </c>
      <c r="F38" t="s">
        <v>480</v>
      </c>
      <c r="G38">
        <v>-12</v>
      </c>
      <c r="H38">
        <f>12-24</f>
        <v>-12</v>
      </c>
      <c r="I38">
        <v>12</v>
      </c>
      <c r="J38">
        <v>90</v>
      </c>
      <c r="K38">
        <v>12</v>
      </c>
      <c r="L38">
        <v>150</v>
      </c>
      <c r="M38">
        <f>12-24</f>
        <v>-12</v>
      </c>
      <c r="N38">
        <v>0</v>
      </c>
      <c r="O38">
        <v>102</v>
      </c>
      <c r="P38">
        <v>-36</v>
      </c>
      <c r="Q38" s="18">
        <f t="shared" si="7"/>
        <v>540</v>
      </c>
      <c r="S38">
        <f t="shared" si="3"/>
        <v>336</v>
      </c>
    </row>
    <row r="39" spans="2:19" x14ac:dyDescent="0.2">
      <c r="B39" s="35" t="s">
        <v>186</v>
      </c>
      <c r="C39" s="16">
        <v>174</v>
      </c>
      <c r="D39">
        <v>90</v>
      </c>
      <c r="E39">
        <f>51*2</f>
        <v>102</v>
      </c>
      <c r="F39" t="s">
        <v>480</v>
      </c>
      <c r="G39">
        <v>54</v>
      </c>
      <c r="H39">
        <v>90</v>
      </c>
      <c r="I39">
        <v>-12</v>
      </c>
      <c r="J39">
        <v>12</v>
      </c>
      <c r="K39">
        <v>42</v>
      </c>
      <c r="L39">
        <v>18</v>
      </c>
      <c r="M39">
        <v>-12</v>
      </c>
      <c r="N39">
        <v>18</v>
      </c>
      <c r="O39">
        <v>-12</v>
      </c>
      <c r="P39">
        <v>42</v>
      </c>
      <c r="Q39" s="18">
        <f t="shared" si="7"/>
        <v>606</v>
      </c>
      <c r="S39">
        <f t="shared" si="3"/>
        <v>432</v>
      </c>
    </row>
    <row r="40" spans="2:19" x14ac:dyDescent="0.2">
      <c r="B40" s="35" t="s">
        <v>185</v>
      </c>
      <c r="C40" s="16">
        <v>42</v>
      </c>
      <c r="D40">
        <v>0</v>
      </c>
      <c r="E40">
        <v>0</v>
      </c>
      <c r="F40" t="s">
        <v>480</v>
      </c>
      <c r="G40">
        <v>54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8">
        <f t="shared" si="7"/>
        <v>96</v>
      </c>
      <c r="S40">
        <f t="shared" si="3"/>
        <v>54</v>
      </c>
    </row>
    <row r="41" spans="2:19" x14ac:dyDescent="0.2">
      <c r="B41" s="37" t="s">
        <v>121</v>
      </c>
      <c r="C41" s="16">
        <v>372</v>
      </c>
      <c r="D41">
        <v>86</v>
      </c>
      <c r="E41">
        <v>70</v>
      </c>
      <c r="F41" t="s">
        <v>480</v>
      </c>
      <c r="G41">
        <v>166</v>
      </c>
      <c r="H41">
        <v>70</v>
      </c>
      <c r="I41">
        <v>190</v>
      </c>
      <c r="J41">
        <v>16</v>
      </c>
      <c r="K41">
        <f>92/2</f>
        <v>46</v>
      </c>
      <c r="L41">
        <v>70</v>
      </c>
      <c r="M41">
        <v>74</v>
      </c>
      <c r="N41">
        <v>16</v>
      </c>
      <c r="O41">
        <v>0</v>
      </c>
      <c r="P41">
        <f>690/3</f>
        <v>230</v>
      </c>
      <c r="Q41" s="18">
        <f t="shared" si="7"/>
        <v>1406</v>
      </c>
      <c r="S41">
        <f t="shared" si="3"/>
        <v>1034</v>
      </c>
    </row>
    <row r="42" spans="2:19" x14ac:dyDescent="0.2">
      <c r="B42" s="37" t="s">
        <v>277</v>
      </c>
      <c r="C42" s="16">
        <v>80</v>
      </c>
      <c r="D42">
        <v>160</v>
      </c>
      <c r="E42">
        <v>0</v>
      </c>
      <c r="F42" t="s">
        <v>480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8">
        <f t="shared" si="7"/>
        <v>240</v>
      </c>
      <c r="S42">
        <f>SUM(D42:E42)+SUM(G42:P42)</f>
        <v>160</v>
      </c>
    </row>
    <row r="43" spans="2:19" x14ac:dyDescent="0.2">
      <c r="B43" s="37" t="s">
        <v>272</v>
      </c>
      <c r="C43" s="16">
        <f>116</f>
        <v>116</v>
      </c>
      <c r="D43">
        <v>0</v>
      </c>
      <c r="E43">
        <v>190</v>
      </c>
      <c r="F43">
        <v>150</v>
      </c>
      <c r="G43">
        <v>126</v>
      </c>
      <c r="H43">
        <v>0</v>
      </c>
      <c r="I43">
        <v>126</v>
      </c>
      <c r="J43">
        <v>34</v>
      </c>
      <c r="K43">
        <v>190</v>
      </c>
      <c r="L43">
        <v>190</v>
      </c>
      <c r="M43">
        <v>70</v>
      </c>
      <c r="N43">
        <v>46</v>
      </c>
      <c r="O43">
        <v>150</v>
      </c>
      <c r="P43">
        <v>70</v>
      </c>
      <c r="Q43" s="18">
        <f>C43+SUM(D43:P43)</f>
        <v>1458</v>
      </c>
      <c r="S43">
        <f>SUM(D43:E43)+SUM(G43:P43)</f>
        <v>1192</v>
      </c>
    </row>
    <row r="44" spans="2:19" x14ac:dyDescent="0.2">
      <c r="B44" s="37" t="s">
        <v>173</v>
      </c>
      <c r="C44" s="16">
        <v>162</v>
      </c>
      <c r="D44">
        <v>70</v>
      </c>
      <c r="E44">
        <v>70</v>
      </c>
      <c r="F44">
        <v>34</v>
      </c>
      <c r="G44">
        <v>70</v>
      </c>
      <c r="H44">
        <v>86</v>
      </c>
      <c r="I44">
        <v>70</v>
      </c>
      <c r="J44">
        <v>16</v>
      </c>
      <c r="K44">
        <v>74</v>
      </c>
      <c r="L44">
        <v>28</v>
      </c>
      <c r="M44">
        <v>40</v>
      </c>
      <c r="N44">
        <v>0</v>
      </c>
      <c r="O44">
        <v>0</v>
      </c>
      <c r="P44">
        <v>0</v>
      </c>
      <c r="Q44" s="18">
        <f t="shared" si="7"/>
        <v>720</v>
      </c>
      <c r="S44">
        <f t="shared" ref="S44" si="8">SUM(D44:E44)+SUM(G44:P44)</f>
        <v>524</v>
      </c>
    </row>
    <row r="45" spans="2:19" x14ac:dyDescent="0.2">
      <c r="B45" s="37" t="s">
        <v>311</v>
      </c>
      <c r="C45" s="16">
        <v>236</v>
      </c>
      <c r="D45">
        <f>23*2</f>
        <v>46</v>
      </c>
      <c r="E45">
        <v>4</v>
      </c>
      <c r="F45">
        <v>70</v>
      </c>
      <c r="G45">
        <v>150</v>
      </c>
      <c r="H45">
        <v>70</v>
      </c>
      <c r="I45">
        <v>0</v>
      </c>
      <c r="J45">
        <v>46</v>
      </c>
      <c r="K45">
        <v>34</v>
      </c>
      <c r="L45">
        <v>62</v>
      </c>
      <c r="M45">
        <v>0</v>
      </c>
      <c r="N45">
        <v>0</v>
      </c>
      <c r="O45">
        <v>34</v>
      </c>
      <c r="P45">
        <v>22</v>
      </c>
      <c r="Q45" s="18">
        <f t="shared" si="7"/>
        <v>774</v>
      </c>
      <c r="S45">
        <f t="shared" si="3"/>
        <v>468</v>
      </c>
    </row>
    <row r="46" spans="2:19" x14ac:dyDescent="0.2">
      <c r="B46" s="37" t="s">
        <v>273</v>
      </c>
      <c r="C46" s="16">
        <v>306</v>
      </c>
      <c r="D46">
        <v>70</v>
      </c>
      <c r="E46">
        <v>0</v>
      </c>
      <c r="F46">
        <v>70</v>
      </c>
      <c r="G46">
        <f>492-446</f>
        <v>46</v>
      </c>
      <c r="H46">
        <v>0</v>
      </c>
      <c r="I46">
        <v>0</v>
      </c>
      <c r="J46">
        <v>90</v>
      </c>
      <c r="K46">
        <v>0</v>
      </c>
      <c r="L46">
        <v>0</v>
      </c>
      <c r="M46">
        <v>0</v>
      </c>
      <c r="N46">
        <v>126</v>
      </c>
      <c r="O46">
        <v>70</v>
      </c>
      <c r="P46">
        <v>190</v>
      </c>
      <c r="Q46" s="18">
        <f t="shared" si="7"/>
        <v>968</v>
      </c>
      <c r="S46">
        <f t="shared" si="3"/>
        <v>592</v>
      </c>
    </row>
    <row r="47" spans="2:19" x14ac:dyDescent="0.2">
      <c r="B47" s="37" t="s">
        <v>32</v>
      </c>
      <c r="C47" s="16">
        <v>252</v>
      </c>
      <c r="D47">
        <v>126</v>
      </c>
      <c r="E47">
        <v>70</v>
      </c>
      <c r="F47" t="s">
        <v>480</v>
      </c>
      <c r="G47">
        <v>46</v>
      </c>
      <c r="H47">
        <v>70</v>
      </c>
      <c r="I47">
        <v>70</v>
      </c>
      <c r="J47">
        <v>16</v>
      </c>
      <c r="K47">
        <v>0</v>
      </c>
      <c r="L47">
        <v>70</v>
      </c>
      <c r="M47">
        <v>34</v>
      </c>
      <c r="N47">
        <v>16</v>
      </c>
      <c r="O47">
        <v>46</v>
      </c>
      <c r="P47">
        <v>110</v>
      </c>
      <c r="Q47" s="18">
        <f t="shared" si="7"/>
        <v>926</v>
      </c>
      <c r="S47">
        <f t="shared" si="3"/>
        <v>674</v>
      </c>
    </row>
    <row r="48" spans="2:19" x14ac:dyDescent="0.2">
      <c r="B48" s="37" t="s">
        <v>130</v>
      </c>
      <c r="C48" s="16">
        <v>272</v>
      </c>
      <c r="D48">
        <v>16</v>
      </c>
      <c r="E48">
        <v>28</v>
      </c>
      <c r="F48">
        <v>28</v>
      </c>
      <c r="G48">
        <v>102</v>
      </c>
      <c r="H48">
        <v>58</v>
      </c>
      <c r="I48">
        <v>4</v>
      </c>
      <c r="J48">
        <v>34</v>
      </c>
      <c r="K48">
        <f>610-526</f>
        <v>84</v>
      </c>
      <c r="L48">
        <v>-16</v>
      </c>
      <c r="M48">
        <v>0</v>
      </c>
      <c r="N48">
        <v>56</v>
      </c>
      <c r="O48">
        <v>70</v>
      </c>
      <c r="P48">
        <v>4</v>
      </c>
      <c r="Q48" s="18">
        <f t="shared" si="7"/>
        <v>740</v>
      </c>
      <c r="S48">
        <f t="shared" si="3"/>
        <v>440</v>
      </c>
    </row>
    <row r="49" spans="2:19" x14ac:dyDescent="0.2">
      <c r="B49" s="37" t="s">
        <v>217</v>
      </c>
      <c r="C49" s="16">
        <v>164</v>
      </c>
      <c r="D49">
        <v>10</v>
      </c>
      <c r="E49">
        <v>70</v>
      </c>
      <c r="F49">
        <v>16</v>
      </c>
      <c r="G49">
        <v>16</v>
      </c>
      <c r="H49">
        <v>190</v>
      </c>
      <c r="I49">
        <f>29*2</f>
        <v>58</v>
      </c>
      <c r="J49">
        <v>58</v>
      </c>
      <c r="K49">
        <f>103*2</f>
        <v>206</v>
      </c>
      <c r="L49">
        <v>150</v>
      </c>
      <c r="M49">
        <v>34</v>
      </c>
      <c r="N49">
        <v>16</v>
      </c>
      <c r="O49">
        <v>16</v>
      </c>
      <c r="P49">
        <v>34</v>
      </c>
      <c r="Q49" s="18">
        <f t="shared" si="7"/>
        <v>1038</v>
      </c>
      <c r="S49">
        <f t="shared" si="3"/>
        <v>858</v>
      </c>
    </row>
    <row r="50" spans="2:19" x14ac:dyDescent="0.2">
      <c r="B50" s="37" t="s">
        <v>176</v>
      </c>
      <c r="C50" s="16">
        <v>196</v>
      </c>
      <c r="D50">
        <v>110</v>
      </c>
      <c r="E50">
        <v>110</v>
      </c>
      <c r="F50">
        <v>34</v>
      </c>
      <c r="G50">
        <v>150</v>
      </c>
      <c r="H50">
        <v>46</v>
      </c>
      <c r="I50">
        <v>70</v>
      </c>
      <c r="J50">
        <v>16</v>
      </c>
      <c r="K50">
        <v>34</v>
      </c>
      <c r="L50">
        <v>28</v>
      </c>
      <c r="M50">
        <v>70</v>
      </c>
      <c r="N50">
        <v>34</v>
      </c>
      <c r="O50">
        <v>62</v>
      </c>
      <c r="P50">
        <v>4</v>
      </c>
      <c r="Q50" s="18">
        <f t="shared" si="7"/>
        <v>964</v>
      </c>
      <c r="S50">
        <f t="shared" si="3"/>
        <v>734</v>
      </c>
    </row>
    <row r="51" spans="2:19" x14ac:dyDescent="0.2">
      <c r="B51" s="37" t="s">
        <v>301</v>
      </c>
      <c r="C51" s="16">
        <v>204</v>
      </c>
      <c r="D51">
        <v>16</v>
      </c>
      <c r="E51">
        <v>70</v>
      </c>
      <c r="F51" t="s">
        <v>480</v>
      </c>
      <c r="G51">
        <v>16</v>
      </c>
      <c r="H51">
        <v>4</v>
      </c>
      <c r="I51">
        <v>58</v>
      </c>
      <c r="J51">
        <v>70</v>
      </c>
      <c r="K51">
        <v>96</v>
      </c>
      <c r="L51">
        <v>166</v>
      </c>
      <c r="M51">
        <v>16</v>
      </c>
      <c r="N51">
        <v>150</v>
      </c>
      <c r="O51">
        <v>16</v>
      </c>
      <c r="P51">
        <v>22</v>
      </c>
      <c r="Q51" s="18">
        <f t="shared" si="7"/>
        <v>904</v>
      </c>
      <c r="S51">
        <f t="shared" si="3"/>
        <v>700</v>
      </c>
    </row>
    <row r="52" spans="2:19" x14ac:dyDescent="0.2">
      <c r="B52" s="37" t="s">
        <v>212</v>
      </c>
      <c r="C52" s="16">
        <v>184</v>
      </c>
      <c r="D52">
        <v>166</v>
      </c>
      <c r="E52">
        <v>16</v>
      </c>
      <c r="F52" t="s">
        <v>480</v>
      </c>
      <c r="G52">
        <v>4</v>
      </c>
      <c r="H52">
        <v>16</v>
      </c>
      <c r="I52">
        <v>16</v>
      </c>
      <c r="J52">
        <v>-22</v>
      </c>
      <c r="K52">
        <v>16</v>
      </c>
      <c r="L52">
        <v>166</v>
      </c>
      <c r="M52">
        <v>16</v>
      </c>
      <c r="N52">
        <v>46</v>
      </c>
      <c r="O52">
        <v>70</v>
      </c>
      <c r="P52">
        <v>4</v>
      </c>
      <c r="Q52" s="18">
        <f t="shared" si="7"/>
        <v>698</v>
      </c>
      <c r="S52">
        <f t="shared" si="3"/>
        <v>514</v>
      </c>
    </row>
    <row r="53" spans="2:19" x14ac:dyDescent="0.2">
      <c r="B53" s="37" t="s">
        <v>231</v>
      </c>
      <c r="C53" s="16">
        <v>188</v>
      </c>
      <c r="D53">
        <v>-8</v>
      </c>
      <c r="E53">
        <v>0</v>
      </c>
      <c r="F53" t="s">
        <v>480</v>
      </c>
      <c r="G53">
        <v>0</v>
      </c>
      <c r="H53">
        <v>0</v>
      </c>
      <c r="I53">
        <v>0</v>
      </c>
      <c r="J53">
        <v>70</v>
      </c>
      <c r="K53">
        <v>0</v>
      </c>
      <c r="L53">
        <v>126</v>
      </c>
      <c r="M53">
        <v>0</v>
      </c>
      <c r="N53">
        <v>0</v>
      </c>
      <c r="O53">
        <v>0</v>
      </c>
      <c r="P53">
        <v>0</v>
      </c>
      <c r="Q53" s="18">
        <f t="shared" si="7"/>
        <v>376</v>
      </c>
      <c r="S53">
        <f t="shared" si="3"/>
        <v>188</v>
      </c>
    </row>
    <row r="54" spans="2:19" x14ac:dyDescent="0.2">
      <c r="B54" s="37" t="s">
        <v>131</v>
      </c>
      <c r="C54" s="16">
        <v>46</v>
      </c>
      <c r="D54">
        <v>16</v>
      </c>
      <c r="E54">
        <v>70</v>
      </c>
      <c r="F54" t="s">
        <v>480</v>
      </c>
      <c r="G54">
        <f>28-12</f>
        <v>16</v>
      </c>
      <c r="H54">
        <v>4</v>
      </c>
      <c r="I54">
        <v>58</v>
      </c>
      <c r="J54">
        <f>70-24</f>
        <v>46</v>
      </c>
      <c r="K54">
        <v>28</v>
      </c>
      <c r="L54">
        <v>0</v>
      </c>
      <c r="M54">
        <v>0</v>
      </c>
      <c r="N54">
        <v>0</v>
      </c>
      <c r="O54">
        <v>0</v>
      </c>
      <c r="P54">
        <v>0</v>
      </c>
      <c r="Q54" s="18">
        <f t="shared" si="7"/>
        <v>284</v>
      </c>
      <c r="S54">
        <f t="shared" si="3"/>
        <v>238</v>
      </c>
    </row>
    <row r="55" spans="2:19" x14ac:dyDescent="0.2">
      <c r="B55" s="37" t="s">
        <v>263</v>
      </c>
      <c r="C55" s="16">
        <v>148</v>
      </c>
      <c r="D55">
        <v>34</v>
      </c>
      <c r="E55">
        <v>16</v>
      </c>
      <c r="F55" t="s">
        <v>480</v>
      </c>
      <c r="G55">
        <v>-16</v>
      </c>
      <c r="H55">
        <v>16</v>
      </c>
      <c r="I55">
        <f>37*2</f>
        <v>74</v>
      </c>
      <c r="J55">
        <v>34</v>
      </c>
      <c r="K55">
        <v>110</v>
      </c>
      <c r="L55">
        <v>4</v>
      </c>
      <c r="M55">
        <v>16</v>
      </c>
      <c r="N55">
        <v>70</v>
      </c>
      <c r="O55">
        <v>0</v>
      </c>
      <c r="P55">
        <v>22</v>
      </c>
      <c r="Q55" s="18">
        <f t="shared" si="7"/>
        <v>528</v>
      </c>
      <c r="S55">
        <f t="shared" si="3"/>
        <v>380</v>
      </c>
    </row>
    <row r="56" spans="2:19" x14ac:dyDescent="0.2">
      <c r="B56" s="37" t="s">
        <v>358</v>
      </c>
      <c r="C56" s="16">
        <v>164</v>
      </c>
      <c r="D56">
        <v>58</v>
      </c>
      <c r="E56">
        <v>4</v>
      </c>
      <c r="F56" t="s">
        <v>480</v>
      </c>
      <c r="G56">
        <v>0</v>
      </c>
      <c r="H56">
        <v>0</v>
      </c>
      <c r="I56">
        <v>34</v>
      </c>
      <c r="J56">
        <v>58</v>
      </c>
      <c r="K56">
        <v>46</v>
      </c>
      <c r="L56">
        <v>102</v>
      </c>
      <c r="M56">
        <v>4</v>
      </c>
      <c r="N56">
        <v>0</v>
      </c>
      <c r="O56">
        <v>4</v>
      </c>
      <c r="P56">
        <v>110</v>
      </c>
      <c r="Q56" s="18">
        <f t="shared" si="7"/>
        <v>584</v>
      </c>
      <c r="S56">
        <f t="shared" si="3"/>
        <v>420</v>
      </c>
    </row>
    <row r="57" spans="2:19" x14ac:dyDescent="0.2">
      <c r="B57" s="43" t="s">
        <v>132</v>
      </c>
      <c r="C57" s="16">
        <v>208</v>
      </c>
      <c r="D57">
        <v>4</v>
      </c>
      <c r="E57">
        <v>0</v>
      </c>
      <c r="F57">
        <v>110</v>
      </c>
      <c r="G57">
        <v>110</v>
      </c>
      <c r="H57">
        <v>4</v>
      </c>
      <c r="I57">
        <v>92</v>
      </c>
      <c r="J57">
        <v>36</v>
      </c>
      <c r="K57">
        <v>110</v>
      </c>
      <c r="L57">
        <v>34</v>
      </c>
      <c r="M57">
        <v>54</v>
      </c>
      <c r="N57">
        <v>46</v>
      </c>
      <c r="O57">
        <v>110</v>
      </c>
      <c r="P57">
        <v>0</v>
      </c>
      <c r="Q57" s="18">
        <f t="shared" si="7"/>
        <v>918</v>
      </c>
      <c r="S57">
        <f t="shared" si="3"/>
        <v>600</v>
      </c>
    </row>
    <row r="58" spans="2:19" x14ac:dyDescent="0.2">
      <c r="B58" s="20" t="s">
        <v>34</v>
      </c>
      <c r="C58" s="16">
        <v>220</v>
      </c>
      <c r="D58">
        <v>110</v>
      </c>
      <c r="E58">
        <f>156/2</f>
        <v>78</v>
      </c>
      <c r="F58">
        <v>46</v>
      </c>
      <c r="G58">
        <v>110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8">
        <f t="shared" si="7"/>
        <v>564</v>
      </c>
      <c r="S58">
        <f t="shared" si="3"/>
        <v>298</v>
      </c>
    </row>
    <row r="59" spans="2:19" x14ac:dyDescent="0.2">
      <c r="B59" s="20" t="s">
        <v>195</v>
      </c>
      <c r="C59" s="16">
        <v>256</v>
      </c>
      <c r="D59">
        <v>142</v>
      </c>
      <c r="E59">
        <v>110</v>
      </c>
      <c r="F59" t="s">
        <v>480</v>
      </c>
      <c r="G59">
        <v>22</v>
      </c>
      <c r="H59">
        <v>46</v>
      </c>
      <c r="I59">
        <v>46</v>
      </c>
      <c r="J59">
        <v>28</v>
      </c>
      <c r="K59">
        <v>46</v>
      </c>
      <c r="L59">
        <v>46</v>
      </c>
      <c r="M59">
        <v>22</v>
      </c>
      <c r="N59">
        <v>0</v>
      </c>
      <c r="O59">
        <v>104</v>
      </c>
      <c r="P59">
        <v>0</v>
      </c>
      <c r="Q59" s="18">
        <f t="shared" si="7"/>
        <v>868</v>
      </c>
      <c r="S59">
        <f t="shared" si="3"/>
        <v>612</v>
      </c>
    </row>
    <row r="60" spans="2:19" x14ac:dyDescent="0.2">
      <c r="B60" s="20" t="s">
        <v>194</v>
      </c>
      <c r="C60" s="16">
        <v>78</v>
      </c>
      <c r="D60">
        <v>110</v>
      </c>
      <c r="E60">
        <v>0</v>
      </c>
      <c r="F60" t="s">
        <v>480</v>
      </c>
      <c r="G60">
        <v>0</v>
      </c>
      <c r="H60">
        <v>0</v>
      </c>
      <c r="I60">
        <v>0</v>
      </c>
      <c r="J60">
        <v>28</v>
      </c>
      <c r="K60">
        <v>0</v>
      </c>
      <c r="L60">
        <v>0</v>
      </c>
      <c r="M60">
        <v>46</v>
      </c>
      <c r="N60">
        <v>28</v>
      </c>
      <c r="O60">
        <v>46</v>
      </c>
      <c r="P60">
        <v>46</v>
      </c>
      <c r="Q60" s="18">
        <f t="shared" si="7"/>
        <v>382</v>
      </c>
      <c r="S60">
        <f t="shared" si="3"/>
        <v>304</v>
      </c>
    </row>
    <row r="61" spans="2:19" x14ac:dyDescent="0.2">
      <c r="B61" s="20" t="s">
        <v>352</v>
      </c>
      <c r="C61" s="16">
        <v>0</v>
      </c>
      <c r="D61">
        <v>0</v>
      </c>
      <c r="E61">
        <v>110</v>
      </c>
      <c r="F61">
        <v>46</v>
      </c>
      <c r="G61">
        <v>0</v>
      </c>
      <c r="H61">
        <f>39*2</f>
        <v>78</v>
      </c>
      <c r="I61">
        <f>23*2</f>
        <v>46</v>
      </c>
      <c r="J61">
        <v>302</v>
      </c>
      <c r="K61">
        <v>78</v>
      </c>
      <c r="L61">
        <v>110</v>
      </c>
      <c r="M61">
        <f>23*2</f>
        <v>46</v>
      </c>
      <c r="N61">
        <v>0</v>
      </c>
      <c r="O61">
        <v>0</v>
      </c>
      <c r="P61">
        <v>0</v>
      </c>
      <c r="Q61" s="18">
        <f t="shared" si="7"/>
        <v>816</v>
      </c>
      <c r="S61">
        <f t="shared" si="3"/>
        <v>770</v>
      </c>
    </row>
    <row r="62" spans="2:19" x14ac:dyDescent="0.2">
      <c r="B62" s="20" t="s">
        <v>257</v>
      </c>
      <c r="C62" s="16">
        <v>328</v>
      </c>
      <c r="D62">
        <v>28</v>
      </c>
      <c r="E62">
        <v>110</v>
      </c>
      <c r="F62" t="s">
        <v>480</v>
      </c>
      <c r="G62">
        <f>46*2</f>
        <v>92</v>
      </c>
      <c r="H62">
        <v>34</v>
      </c>
      <c r="I62">
        <v>98</v>
      </c>
      <c r="J62">
        <v>110</v>
      </c>
      <c r="K62">
        <f>37*2</f>
        <v>74</v>
      </c>
      <c r="L62">
        <f>49*2</f>
        <v>98</v>
      </c>
      <c r="M62">
        <v>34</v>
      </c>
      <c r="N62">
        <v>28</v>
      </c>
      <c r="O62">
        <v>46</v>
      </c>
      <c r="P62">
        <v>174</v>
      </c>
      <c r="Q62" s="18">
        <f t="shared" si="7"/>
        <v>1254</v>
      </c>
      <c r="S62">
        <f t="shared" si="3"/>
        <v>926</v>
      </c>
    </row>
    <row r="63" spans="2:19" x14ac:dyDescent="0.2">
      <c r="B63" s="20" t="s">
        <v>35</v>
      </c>
      <c r="C63" s="16">
        <v>170</v>
      </c>
      <c r="D63">
        <v>78</v>
      </c>
      <c r="E63">
        <v>28</v>
      </c>
      <c r="F63">
        <v>0</v>
      </c>
      <c r="G63">
        <v>46</v>
      </c>
      <c r="H63">
        <v>110</v>
      </c>
      <c r="I63">
        <f>498-432</f>
        <v>66</v>
      </c>
      <c r="J63">
        <v>86</v>
      </c>
      <c r="K63">
        <f>34-24</f>
        <v>10</v>
      </c>
      <c r="L63">
        <v>74</v>
      </c>
      <c r="M63">
        <v>28</v>
      </c>
      <c r="N63">
        <v>142</v>
      </c>
      <c r="O63">
        <v>142</v>
      </c>
      <c r="P63">
        <v>66</v>
      </c>
      <c r="Q63" s="18">
        <f t="shared" si="7"/>
        <v>1046</v>
      </c>
      <c r="S63">
        <f t="shared" si="3"/>
        <v>876</v>
      </c>
    </row>
    <row r="64" spans="2:19" x14ac:dyDescent="0.2">
      <c r="B64" s="20" t="s">
        <v>133</v>
      </c>
      <c r="C64" s="16">
        <v>408</v>
      </c>
      <c r="D64">
        <v>28</v>
      </c>
      <c r="E64">
        <v>28</v>
      </c>
      <c r="F64" t="s">
        <v>480</v>
      </c>
      <c r="G64">
        <v>28</v>
      </c>
      <c r="H64">
        <v>34</v>
      </c>
      <c r="I64">
        <v>28</v>
      </c>
      <c r="J64">
        <v>64</v>
      </c>
      <c r="K64">
        <v>28</v>
      </c>
      <c r="L64">
        <v>0</v>
      </c>
      <c r="M64">
        <v>46</v>
      </c>
      <c r="N64">
        <v>46</v>
      </c>
      <c r="O64">
        <v>28</v>
      </c>
      <c r="P64">
        <v>28</v>
      </c>
      <c r="Q64" s="18">
        <f t="shared" si="7"/>
        <v>794</v>
      </c>
      <c r="S64">
        <f t="shared" si="3"/>
        <v>386</v>
      </c>
    </row>
    <row r="66" spans="3:19" x14ac:dyDescent="0.2">
      <c r="C66" s="16" t="s">
        <v>116</v>
      </c>
      <c r="D66">
        <v>64</v>
      </c>
      <c r="E66">
        <v>64</v>
      </c>
      <c r="F66">
        <v>64</v>
      </c>
      <c r="G66">
        <v>0</v>
      </c>
      <c r="H66">
        <v>128</v>
      </c>
      <c r="I66">
        <v>0</v>
      </c>
      <c r="J66">
        <v>64</v>
      </c>
      <c r="K66">
        <v>0</v>
      </c>
      <c r="L66">
        <v>64</v>
      </c>
      <c r="M66">
        <v>0</v>
      </c>
      <c r="N66">
        <v>0</v>
      </c>
      <c r="O66">
        <v>0</v>
      </c>
      <c r="P66">
        <v>64</v>
      </c>
      <c r="S66">
        <f>SUM(D66:E66)+SUM(G66:P66)</f>
        <v>448</v>
      </c>
    </row>
    <row r="68" spans="3:19" x14ac:dyDescent="0.2">
      <c r="C68"/>
    </row>
    <row r="69" spans="3:19" x14ac:dyDescent="0.2">
      <c r="C69"/>
    </row>
    <row r="70" spans="3:19" x14ac:dyDescent="0.2">
      <c r="C70"/>
    </row>
    <row r="71" spans="3:19" x14ac:dyDescent="0.2">
      <c r="C71"/>
    </row>
    <row r="72" spans="3:19" x14ac:dyDescent="0.2">
      <c r="C72"/>
    </row>
    <row r="73" spans="3:19" x14ac:dyDescent="0.2">
      <c r="C73"/>
    </row>
    <row r="74" spans="3:19" x14ac:dyDescent="0.2">
      <c r="C74"/>
    </row>
  </sheetData>
  <pageMargins left="0.7" right="0.7" top="0.75" bottom="0.75" header="0.3" footer="0.3"/>
  <ignoredErrors>
    <ignoredError sqref="S9:S10 S51:S64 S45:S49 S22:S28 S30:S31 S33:S42 S3:S8 S12:S1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C52A-8E73-E34D-B47E-FF557EF419ED}">
  <dimension ref="A1:Y207"/>
  <sheetViews>
    <sheetView zoomScale="75" zoomScaleNormal="24" workbookViewId="0">
      <selection activeCell="I25" sqref="I25"/>
    </sheetView>
  </sheetViews>
  <sheetFormatPr baseColWidth="10" defaultRowHeight="16" x14ac:dyDescent="0.2"/>
  <cols>
    <col min="1" max="1" width="23.33203125" bestFit="1" customWidth="1"/>
    <col min="2" max="2" width="7.6640625" bestFit="1" customWidth="1"/>
    <col min="3" max="3" width="10.83203125" bestFit="1" customWidth="1"/>
    <col min="4" max="5" width="7" customWidth="1"/>
    <col min="6" max="6" width="7.83203125" bestFit="1" customWidth="1"/>
    <col min="7" max="8" width="10.83203125" style="5"/>
  </cols>
  <sheetData>
    <row r="1" spans="1:25" x14ac:dyDescent="0.2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s="5" t="s">
        <v>57</v>
      </c>
      <c r="H1" s="5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482</v>
      </c>
    </row>
    <row r="2" spans="1:25" x14ac:dyDescent="0.2">
      <c r="A2" s="11" t="s">
        <v>136</v>
      </c>
      <c r="B2" s="21" t="s">
        <v>43</v>
      </c>
      <c r="C2" s="22">
        <v>4500000</v>
      </c>
      <c r="D2" s="23" t="s">
        <v>135</v>
      </c>
      <c r="E2" s="23">
        <v>21</v>
      </c>
      <c r="F2" s="23" t="s">
        <v>141</v>
      </c>
      <c r="G2" s="24">
        <v>1120</v>
      </c>
      <c r="H2" s="25">
        <v>460</v>
      </c>
      <c r="I2" s="25">
        <f>ROUND((Table13[[#This Row],[laatste 5 wed.]]/Table13[[#This Row],['#punten]])*100,1)</f>
        <v>41.1</v>
      </c>
      <c r="J2" s="23">
        <v>15</v>
      </c>
      <c r="K2" s="23">
        <v>15</v>
      </c>
      <c r="L2" s="23">
        <v>1238</v>
      </c>
      <c r="M2" s="23">
        <v>292</v>
      </c>
      <c r="N2" s="23">
        <f>ROUND(Table13[[#This Row],[Min laatste 5]]/Table13[[#This Row],['#minuten]]*100,1)</f>
        <v>23.6</v>
      </c>
      <c r="O2" s="23">
        <v>8</v>
      </c>
      <c r="P2" s="23">
        <v>4</v>
      </c>
      <c r="Q2" s="45">
        <v>3</v>
      </c>
      <c r="R2" s="23">
        <v>0</v>
      </c>
      <c r="S2" s="23">
        <v>2</v>
      </c>
      <c r="T2" s="26">
        <f>ROUND(Table13[[#This Row],['#punten]]/Table13[[#This Row],['#Wed]],2)</f>
        <v>74.67</v>
      </c>
      <c r="U2" s="24">
        <f>ROUND(Table13[[#This Row],['#punten]]/Table13[[#This Row],['#minuten]],2)</f>
        <v>0.9</v>
      </c>
      <c r="V2" s="23">
        <f>Table13[[#This Row],[Pt/minuut]]*90</f>
        <v>81</v>
      </c>
      <c r="W2" s="23">
        <f>ROUND(Table13[[#This Row],[Prijs]]/Table13[[#This Row],['#punten]],0)</f>
        <v>4018</v>
      </c>
      <c r="X2" s="27">
        <f>ROUND((Table13[[#This Row],[Goals]]+Table13[[#This Row],[Asissts]])/(Table13[[#This Row],['#minuten]]/90),2)</f>
        <v>0.87</v>
      </c>
    </row>
    <row r="3" spans="1:25" x14ac:dyDescent="0.2">
      <c r="A3" s="11" t="s">
        <v>132</v>
      </c>
      <c r="B3" s="21" t="s">
        <v>43</v>
      </c>
      <c r="C3" s="22">
        <v>3500000</v>
      </c>
      <c r="D3" s="23" t="s">
        <v>135</v>
      </c>
      <c r="E3" s="23">
        <v>26</v>
      </c>
      <c r="F3" s="23" t="s">
        <v>141</v>
      </c>
      <c r="G3" s="24">
        <v>918</v>
      </c>
      <c r="H3" s="25">
        <v>320</v>
      </c>
      <c r="I3" s="25">
        <f>ROUND((Table13[[#This Row],[laatste 5 wed.]]/Table13[[#This Row],['#punten]])*100,1)</f>
        <v>34.9</v>
      </c>
      <c r="J3" s="23">
        <v>13</v>
      </c>
      <c r="K3" s="23">
        <v>13</v>
      </c>
      <c r="L3" s="23">
        <v>1120</v>
      </c>
      <c r="M3" s="23">
        <v>330</v>
      </c>
      <c r="N3" s="23">
        <f>ROUND(Table13[[#This Row],[Min laatste 5]]/Table13[[#This Row],['#minuten]]*100,1)</f>
        <v>29.5</v>
      </c>
      <c r="O3" s="23">
        <v>7</v>
      </c>
      <c r="P3" s="23">
        <v>2</v>
      </c>
      <c r="Q3" s="45">
        <v>4</v>
      </c>
      <c r="R3" s="23">
        <v>0</v>
      </c>
      <c r="S3" s="23">
        <v>2</v>
      </c>
      <c r="T3" s="26">
        <f>ROUND(Table13[[#This Row],['#punten]]/Table13[[#This Row],['#Wed]],2)</f>
        <v>70.62</v>
      </c>
      <c r="U3" s="24">
        <f>ROUND(Table13[[#This Row],['#punten]]/Table13[[#This Row],['#minuten]],2)</f>
        <v>0.82</v>
      </c>
      <c r="V3" s="23">
        <f>Table13[[#This Row],[Pt/minuut]]*90</f>
        <v>73.8</v>
      </c>
      <c r="W3" s="23">
        <f>ROUND(Table13[[#This Row],[Prijs]]/Table13[[#This Row],['#punten]],0)</f>
        <v>3813</v>
      </c>
      <c r="X3" s="27">
        <f>ROUND((Table13[[#This Row],[Goals]]+Table13[[#This Row],[Asissts]])/(Table13[[#This Row],['#minuten]]/90),2)</f>
        <v>0.72</v>
      </c>
    </row>
    <row r="4" spans="1:25" x14ac:dyDescent="0.2">
      <c r="A4" s="11" t="s">
        <v>137</v>
      </c>
      <c r="B4" s="62" t="s">
        <v>43</v>
      </c>
      <c r="C4" s="63">
        <v>3000000</v>
      </c>
      <c r="D4" s="60" t="s">
        <v>135</v>
      </c>
      <c r="E4" s="60">
        <v>28</v>
      </c>
      <c r="F4" s="60" t="s">
        <v>142</v>
      </c>
      <c r="G4" s="58">
        <v>684</v>
      </c>
      <c r="H4" s="64">
        <v>144</v>
      </c>
      <c r="I4" s="64">
        <f>ROUND((Table13[[#This Row],[laatste 5 wed.]]/Table13[[#This Row],['#punten]])*100,1)</f>
        <v>21.1</v>
      </c>
      <c r="J4" s="60">
        <v>11</v>
      </c>
      <c r="K4" s="60">
        <v>3</v>
      </c>
      <c r="L4" s="60">
        <v>385</v>
      </c>
      <c r="M4" s="60">
        <v>208</v>
      </c>
      <c r="N4" s="60">
        <f>ROUND(Table13[[#This Row],[Min laatste 5]]/Table13[[#This Row],['#minuten]]*100,1)</f>
        <v>54</v>
      </c>
      <c r="O4" s="60">
        <v>5</v>
      </c>
      <c r="P4" s="60">
        <v>0</v>
      </c>
      <c r="Q4" s="86">
        <v>0</v>
      </c>
      <c r="R4" s="60">
        <v>0</v>
      </c>
      <c r="S4" s="60">
        <v>1</v>
      </c>
      <c r="T4" s="59">
        <f>ROUND(Table13[[#This Row],['#punten]]/Table13[[#This Row],['#Wed]],2)</f>
        <v>62.18</v>
      </c>
      <c r="U4" s="58">
        <f>ROUND(Table13[[#This Row],['#punten]]/Table13[[#This Row],['#minuten]],2)</f>
        <v>1.78</v>
      </c>
      <c r="V4" s="60">
        <f>Table13[[#This Row],[Pt/minuut]]*90</f>
        <v>160.19999999999999</v>
      </c>
      <c r="W4" s="60">
        <f>ROUND(Table13[[#This Row],[Prijs]]/Table13[[#This Row],['#punten]],0)</f>
        <v>4386</v>
      </c>
      <c r="X4" s="61">
        <f>ROUND((Table13[[#This Row],[Goals]]+Table13[[#This Row],[Asissts]])/(Table13[[#This Row],['#minuten]]/90),2)</f>
        <v>1.17</v>
      </c>
    </row>
    <row r="5" spans="1:25" x14ac:dyDescent="0.2">
      <c r="A5" s="11" t="s">
        <v>139</v>
      </c>
      <c r="B5" s="21" t="s">
        <v>43</v>
      </c>
      <c r="C5" s="22">
        <v>3000000</v>
      </c>
      <c r="D5" s="23" t="s">
        <v>135</v>
      </c>
      <c r="E5" s="23">
        <v>31</v>
      </c>
      <c r="F5" s="23" t="s">
        <v>141</v>
      </c>
      <c r="G5" s="24">
        <v>676</v>
      </c>
      <c r="H5" s="25">
        <v>394</v>
      </c>
      <c r="I5" s="25">
        <f>ROUND((Table13[[#This Row],[laatste 5 wed.]]/Table13[[#This Row],['#punten]])*100,1)</f>
        <v>58.3</v>
      </c>
      <c r="J5" s="23">
        <v>12</v>
      </c>
      <c r="K5" s="23">
        <v>11</v>
      </c>
      <c r="L5" s="23">
        <v>920</v>
      </c>
      <c r="M5" s="23">
        <v>433</v>
      </c>
      <c r="N5" s="23">
        <f>ROUND(Table13[[#This Row],[Min laatste 5]]/Table13[[#This Row],['#minuten]]*100,1)</f>
        <v>47.1</v>
      </c>
      <c r="O5" s="23">
        <v>1</v>
      </c>
      <c r="P5" s="23">
        <v>6</v>
      </c>
      <c r="Q5" s="45">
        <v>1</v>
      </c>
      <c r="R5" s="23">
        <v>0</v>
      </c>
      <c r="S5" s="23">
        <v>2</v>
      </c>
      <c r="T5" s="26">
        <f>ROUND(Table13[[#This Row],['#punten]]/Table13[[#This Row],['#Wed]],2)</f>
        <v>56.33</v>
      </c>
      <c r="U5" s="24">
        <f>ROUND(Table13[[#This Row],['#punten]]/Table13[[#This Row],['#minuten]],2)</f>
        <v>0.73</v>
      </c>
      <c r="V5" s="23">
        <f>Table13[[#This Row],[Pt/minuut]]*90</f>
        <v>65.7</v>
      </c>
      <c r="W5" s="23">
        <f>ROUND(Table13[[#This Row],[Prijs]]/Table13[[#This Row],['#punten]],0)</f>
        <v>4438</v>
      </c>
      <c r="X5" s="27">
        <f>ROUND((Table13[[#This Row],[Goals]]+Table13[[#This Row],[Asissts]])/(Table13[[#This Row],['#minuten]]/90),2)</f>
        <v>0.68</v>
      </c>
    </row>
    <row r="6" spans="1:25" x14ac:dyDescent="0.2">
      <c r="A6" s="11" t="s">
        <v>511</v>
      </c>
      <c r="B6" s="21" t="s">
        <v>159</v>
      </c>
      <c r="C6" s="22">
        <v>500000</v>
      </c>
      <c r="D6" s="23" t="s">
        <v>135</v>
      </c>
      <c r="E6" s="23">
        <v>21</v>
      </c>
      <c r="F6" s="23" t="s">
        <v>160</v>
      </c>
      <c r="G6" s="24">
        <v>224</v>
      </c>
      <c r="H6" s="25">
        <v>110</v>
      </c>
      <c r="I6" s="25">
        <f>ROUND((Table13[[#This Row],[laatste 5 wed.]]/Table13[[#This Row],['#punten]])*100,1)</f>
        <v>49.1</v>
      </c>
      <c r="J6" s="23">
        <v>11</v>
      </c>
      <c r="K6" s="23">
        <v>2</v>
      </c>
      <c r="L6" s="23">
        <v>294</v>
      </c>
      <c r="M6" s="23">
        <v>98</v>
      </c>
      <c r="N6" s="23">
        <f>ROUND(Table13[[#This Row],[Min laatste 5]]/Table13[[#This Row],['#minuten]]*100,1)</f>
        <v>33.299999999999997</v>
      </c>
      <c r="O6" s="23">
        <v>1</v>
      </c>
      <c r="P6" s="23">
        <v>1</v>
      </c>
      <c r="Q6" s="45">
        <v>1</v>
      </c>
      <c r="R6" s="23">
        <v>0</v>
      </c>
      <c r="S6" s="23">
        <v>2</v>
      </c>
      <c r="T6" s="26">
        <f>ROUND(Table13[[#This Row],['#punten]]/Table13[[#This Row],['#Wed]],2)</f>
        <v>20.36</v>
      </c>
      <c r="U6" s="24">
        <f>ROUND(Table13[[#This Row],['#punten]]/Table13[[#This Row],['#minuten]],2)</f>
        <v>0.76</v>
      </c>
      <c r="V6" s="23">
        <f>Table13[[#This Row],[Pt/minuut]]*90</f>
        <v>68.400000000000006</v>
      </c>
      <c r="W6" s="23">
        <f>ROUND(Table13[[#This Row],[Prijs]]/Table13[[#This Row],['#punten]],0)</f>
        <v>2232</v>
      </c>
      <c r="X6" s="27">
        <f>ROUND((Table13[[#This Row],[Goals]]+Table13[[#This Row],[Asissts]])/(Table13[[#This Row],['#minuten]]/90),2)</f>
        <v>0.61</v>
      </c>
    </row>
    <row r="7" spans="1:25" x14ac:dyDescent="0.2">
      <c r="A7" s="11" t="s">
        <v>165</v>
      </c>
      <c r="B7" s="28" t="s">
        <v>159</v>
      </c>
      <c r="C7" s="29">
        <v>1500000</v>
      </c>
      <c r="D7" s="30" t="s">
        <v>135</v>
      </c>
      <c r="E7" s="30">
        <v>27</v>
      </c>
      <c r="F7" s="30" t="s">
        <v>160</v>
      </c>
      <c r="G7" s="31">
        <v>912</v>
      </c>
      <c r="H7" s="32">
        <v>300</v>
      </c>
      <c r="I7" s="32">
        <f>ROUND((Table13[[#This Row],[laatste 5 wed.]]/Table13[[#This Row],['#punten]])*100,1)</f>
        <v>32.9</v>
      </c>
      <c r="J7" s="30">
        <v>16</v>
      </c>
      <c r="K7" s="30">
        <v>16</v>
      </c>
      <c r="L7" s="30">
        <v>1388</v>
      </c>
      <c r="M7" s="30">
        <v>450</v>
      </c>
      <c r="N7" s="30">
        <f>ROUND(Table13[[#This Row],[Min laatste 5]]/Table13[[#This Row],['#minuten]]*100,1)</f>
        <v>32.4</v>
      </c>
      <c r="O7" s="30">
        <v>6</v>
      </c>
      <c r="P7" s="30">
        <v>1</v>
      </c>
      <c r="Q7" s="48">
        <v>2</v>
      </c>
      <c r="R7" s="30">
        <v>0</v>
      </c>
      <c r="S7" s="30">
        <v>5</v>
      </c>
      <c r="T7" s="33">
        <f>ROUND(Table13[[#This Row],['#punten]]/Table13[[#This Row],['#Wed]],2)</f>
        <v>57</v>
      </c>
      <c r="U7" s="31">
        <f>ROUND(Table13[[#This Row],['#punten]]/Table13[[#This Row],['#minuten]],2)</f>
        <v>0.66</v>
      </c>
      <c r="V7" s="30">
        <f>Table13[[#This Row],[Pt/minuut]]*90</f>
        <v>59.400000000000006</v>
      </c>
      <c r="W7" s="30">
        <f>ROUND(Table13[[#This Row],[Prijs]]/Table13[[#This Row],['#punten]],0)</f>
        <v>1645</v>
      </c>
      <c r="X7" s="34">
        <f>ROUND((Table13[[#This Row],[Goals]]+Table13[[#This Row],[Asissts]])/(Table13[[#This Row],['#minuten]]/90),2)</f>
        <v>0.45</v>
      </c>
    </row>
    <row r="8" spans="1:25" x14ac:dyDescent="0.2">
      <c r="A8" s="11" t="s">
        <v>530</v>
      </c>
      <c r="B8" s="28" t="s">
        <v>159</v>
      </c>
      <c r="C8" s="29">
        <v>1000000</v>
      </c>
      <c r="D8" s="30" t="s">
        <v>135</v>
      </c>
      <c r="E8" s="30">
        <v>18</v>
      </c>
      <c r="F8" s="30" t="s">
        <v>141</v>
      </c>
      <c r="G8" s="31">
        <v>0</v>
      </c>
      <c r="H8" s="32">
        <v>0</v>
      </c>
      <c r="I8" s="32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48">
        <v>0</v>
      </c>
      <c r="R8" s="30">
        <v>0</v>
      </c>
      <c r="S8" s="30">
        <v>0</v>
      </c>
      <c r="T8" s="26">
        <v>0</v>
      </c>
      <c r="U8" s="24">
        <v>0</v>
      </c>
      <c r="V8" s="23">
        <v>0</v>
      </c>
      <c r="W8" s="23">
        <v>0</v>
      </c>
      <c r="X8" s="27">
        <v>0</v>
      </c>
    </row>
    <row r="9" spans="1:25" x14ac:dyDescent="0.2">
      <c r="A9" s="11" t="s">
        <v>171</v>
      </c>
      <c r="B9" s="28" t="s">
        <v>6</v>
      </c>
      <c r="C9" s="29">
        <v>2000000</v>
      </c>
      <c r="D9" s="30" t="s">
        <v>135</v>
      </c>
      <c r="E9" s="30">
        <v>19</v>
      </c>
      <c r="F9" s="30" t="s">
        <v>141</v>
      </c>
      <c r="G9" s="31">
        <v>438</v>
      </c>
      <c r="H9" s="32">
        <v>222</v>
      </c>
      <c r="I9" s="32">
        <f>ROUND((Table13[[#This Row],[laatste 5 wed.]]/Table13[[#This Row],['#punten]])*100,1)</f>
        <v>50.7</v>
      </c>
      <c r="J9" s="30">
        <v>12</v>
      </c>
      <c r="K9" s="30">
        <v>7</v>
      </c>
      <c r="L9" s="30">
        <v>542</v>
      </c>
      <c r="M9" s="30">
        <v>310</v>
      </c>
      <c r="N9" s="30">
        <f>ROUND(Table13[[#This Row],[Min laatste 5]]/Table13[[#This Row],['#minuten]]*100,1)</f>
        <v>57.2</v>
      </c>
      <c r="O9" s="30">
        <v>2</v>
      </c>
      <c r="P9" s="30">
        <v>1</v>
      </c>
      <c r="Q9" s="48">
        <v>1</v>
      </c>
      <c r="R9" s="30">
        <v>0</v>
      </c>
      <c r="S9" s="30">
        <v>1</v>
      </c>
      <c r="T9" s="33">
        <f>ROUND(Table13[[#This Row],['#punten]]/Table13[[#This Row],['#Wed]],2)</f>
        <v>36.5</v>
      </c>
      <c r="U9" s="31">
        <f>ROUND(Table13[[#This Row],['#punten]]/Table13[[#This Row],['#minuten]],2)</f>
        <v>0.81</v>
      </c>
      <c r="V9" s="30">
        <f>Table13[[#This Row],[Pt/minuut]]*90</f>
        <v>72.900000000000006</v>
      </c>
      <c r="W9" s="30">
        <f>ROUND(Table13[[#This Row],[Prijs]]/Table13[[#This Row],['#punten]],0)</f>
        <v>4566</v>
      </c>
      <c r="X9" s="34">
        <f>ROUND((Table13[[#This Row],[Goals]]+Table13[[#This Row],[Asissts]])/(Table13[[#This Row],['#minuten]]/90),2)</f>
        <v>0.5</v>
      </c>
    </row>
    <row r="10" spans="1:25" x14ac:dyDescent="0.2">
      <c r="A10" s="11" t="s">
        <v>501</v>
      </c>
      <c r="B10" s="28" t="s">
        <v>6</v>
      </c>
      <c r="C10" s="29">
        <v>2000000</v>
      </c>
      <c r="D10" s="30" t="s">
        <v>135</v>
      </c>
      <c r="E10" s="30">
        <v>20</v>
      </c>
      <c r="F10" s="30" t="s">
        <v>187</v>
      </c>
      <c r="G10" s="31">
        <v>722</v>
      </c>
      <c r="H10" s="32">
        <v>28</v>
      </c>
      <c r="I10" s="32">
        <f>ROUND((Table13[[#This Row],[laatste 5 wed.]]/Table13[[#This Row],['#punten]])*100,1)</f>
        <v>3.9</v>
      </c>
      <c r="J10" s="30">
        <v>10</v>
      </c>
      <c r="K10" s="30">
        <v>7</v>
      </c>
      <c r="L10" s="30">
        <v>537</v>
      </c>
      <c r="M10" s="30">
        <v>72</v>
      </c>
      <c r="N10" s="30">
        <f>ROUND(Table13[[#This Row],[Min laatste 5]]/Table13[[#This Row],['#minuten]]*100,1)</f>
        <v>13.4</v>
      </c>
      <c r="O10" s="30">
        <v>3</v>
      </c>
      <c r="P10" s="30">
        <v>2</v>
      </c>
      <c r="Q10" s="48">
        <v>0</v>
      </c>
      <c r="R10" s="30">
        <v>0</v>
      </c>
      <c r="S10" s="30">
        <v>4</v>
      </c>
      <c r="T10" s="33">
        <f>ROUND(Table13[[#This Row],['#punten]]/Table13[[#This Row],['#Wed]],2)</f>
        <v>72.2</v>
      </c>
      <c r="U10" s="31">
        <f>ROUND(Table13[[#This Row],['#punten]]/Table13[[#This Row],['#minuten]],2)</f>
        <v>1.34</v>
      </c>
      <c r="V10" s="30">
        <f>Table13[[#This Row],[Pt/minuut]]*90</f>
        <v>120.60000000000001</v>
      </c>
      <c r="W10" s="30">
        <f>ROUND(Table13[[#This Row],[Prijs]]/Table13[[#This Row],['#punten]],0)</f>
        <v>2770</v>
      </c>
      <c r="X10" s="34">
        <f>ROUND((Table13[[#This Row],[Goals]]+Table13[[#This Row],[Asissts]])/(Table13[[#This Row],['#minuten]]/90),2)</f>
        <v>0.84</v>
      </c>
    </row>
    <row r="11" spans="1:25" x14ac:dyDescent="0.2">
      <c r="A11" s="11" t="s">
        <v>168</v>
      </c>
      <c r="B11" s="21" t="s">
        <v>6</v>
      </c>
      <c r="C11" s="22">
        <v>6000000</v>
      </c>
      <c r="D11" s="23" t="s">
        <v>135</v>
      </c>
      <c r="E11" s="23">
        <v>25</v>
      </c>
      <c r="F11" s="23" t="s">
        <v>169</v>
      </c>
      <c r="G11" s="24">
        <v>1894</v>
      </c>
      <c r="H11" s="25">
        <v>502</v>
      </c>
      <c r="I11" s="25">
        <f>ROUND((Table13[[#This Row],[laatste 5 wed.]]/Table13[[#This Row],['#punten]])*100,1)</f>
        <v>26.5</v>
      </c>
      <c r="J11" s="23">
        <v>16</v>
      </c>
      <c r="K11" s="23">
        <v>16</v>
      </c>
      <c r="L11" s="23">
        <v>1393</v>
      </c>
      <c r="M11" s="23">
        <v>447</v>
      </c>
      <c r="N11" s="23">
        <f>ROUND(Table13[[#This Row],[Min laatste 5]]/Table13[[#This Row],['#minuten]]*100,1)</f>
        <v>32.1</v>
      </c>
      <c r="O11" s="23">
        <v>18</v>
      </c>
      <c r="P11" s="23">
        <v>1</v>
      </c>
      <c r="Q11" s="45">
        <v>0</v>
      </c>
      <c r="R11" s="23">
        <v>0</v>
      </c>
      <c r="S11" s="23">
        <v>6</v>
      </c>
      <c r="T11" s="26">
        <f>ROUND(Table13[[#This Row],['#punten]]/Table13[[#This Row],['#Wed]],2)</f>
        <v>118.38</v>
      </c>
      <c r="U11" s="24">
        <f>ROUND(Table13[[#This Row],['#punten]]/Table13[[#This Row],['#minuten]],2)</f>
        <v>1.36</v>
      </c>
      <c r="V11" s="23">
        <f>Table13[[#This Row],[Pt/minuut]]*90</f>
        <v>122.4</v>
      </c>
      <c r="W11" s="23">
        <f>ROUND(Table13[[#This Row],[Prijs]]/Table13[[#This Row],['#punten]],0)</f>
        <v>3168</v>
      </c>
      <c r="X11" s="27">
        <f>ROUND((Table13[[#This Row],[Goals]]+Table13[[#This Row],[Asissts]])/(Table13[[#This Row],['#minuten]]/90),2)</f>
        <v>1.23</v>
      </c>
    </row>
    <row r="12" spans="1:25" x14ac:dyDescent="0.2">
      <c r="A12" s="11" t="s">
        <v>513</v>
      </c>
      <c r="B12" s="106" t="s">
        <v>44</v>
      </c>
      <c r="C12" s="107">
        <v>1500000</v>
      </c>
      <c r="D12" s="108" t="s">
        <v>135</v>
      </c>
      <c r="E12" s="108">
        <v>21</v>
      </c>
      <c r="F12" s="108" t="s">
        <v>514</v>
      </c>
      <c r="G12" s="109">
        <v>720</v>
      </c>
      <c r="H12" s="110">
        <v>350</v>
      </c>
      <c r="I12" s="110">
        <f>ROUND((Table13[[#This Row],[laatste 5 wed.]]/Table13[[#This Row],['#punten]])*100,1)</f>
        <v>48.6</v>
      </c>
      <c r="J12" s="108">
        <v>13</v>
      </c>
      <c r="K12" s="108">
        <v>6</v>
      </c>
      <c r="L12" s="108">
        <v>583</v>
      </c>
      <c r="M12" s="108">
        <v>390</v>
      </c>
      <c r="N12" s="108">
        <f>ROUND(Table13[[#This Row],[Min laatste 5]]/Table13[[#This Row],['#minuten]]*100,1)</f>
        <v>66.900000000000006</v>
      </c>
      <c r="O12" s="108">
        <v>5</v>
      </c>
      <c r="P12" s="30">
        <v>2</v>
      </c>
      <c r="Q12" s="48">
        <v>2</v>
      </c>
      <c r="R12" s="30">
        <v>0</v>
      </c>
      <c r="S12" s="108">
        <v>0</v>
      </c>
      <c r="T12" s="111">
        <f>ROUND(Table13[[#This Row],['#punten]]/Table13[[#This Row],['#Wed]],2)</f>
        <v>55.38</v>
      </c>
      <c r="U12" s="31">
        <f>ROUND(Table13[[#This Row],['#punten]]/Table13[[#This Row],['#minuten]],2)</f>
        <v>1.23</v>
      </c>
      <c r="V12" s="30">
        <f>Table13[[#This Row],[Pt/minuut]]*90</f>
        <v>110.7</v>
      </c>
      <c r="W12" s="30">
        <f>ROUND(Table13[[#This Row],[Prijs]]/Table13[[#This Row],['#punten]],0)</f>
        <v>2083</v>
      </c>
      <c r="X12" s="34">
        <f>ROUND((Table13[[#This Row],[Goals]]+Table13[[#This Row],[Asissts]])/(Table13[[#This Row],['#minuten]]/90),2)</f>
        <v>1.08</v>
      </c>
    </row>
    <row r="13" spans="1:25" x14ac:dyDescent="0.2">
      <c r="A13" s="11" t="s">
        <v>515</v>
      </c>
      <c r="B13" s="28" t="s">
        <v>44</v>
      </c>
      <c r="C13" s="29">
        <v>1000000</v>
      </c>
      <c r="D13" s="30" t="s">
        <v>135</v>
      </c>
      <c r="E13" s="30">
        <v>21</v>
      </c>
      <c r="F13" s="30" t="s">
        <v>141</v>
      </c>
      <c r="G13" s="31">
        <v>696</v>
      </c>
      <c r="H13" s="32">
        <v>198</v>
      </c>
      <c r="I13" s="32">
        <f>ROUND((Table13[[#This Row],[laatste 5 wed.]]/Table13[[#This Row],['#punten]])*100,1)</f>
        <v>28.4</v>
      </c>
      <c r="J13" s="30">
        <v>14</v>
      </c>
      <c r="K13" s="30">
        <v>14</v>
      </c>
      <c r="L13" s="30">
        <v>1134</v>
      </c>
      <c r="M13" s="30">
        <v>422</v>
      </c>
      <c r="N13" s="30">
        <f>ROUND(Table13[[#This Row],[Min laatste 5]]/Table13[[#This Row],['#minuten]]*100,1)</f>
        <v>37.200000000000003</v>
      </c>
      <c r="O13" s="30">
        <v>3</v>
      </c>
      <c r="P13" s="30">
        <v>2</v>
      </c>
      <c r="Q13" s="48">
        <v>2</v>
      </c>
      <c r="R13" s="30">
        <v>0</v>
      </c>
      <c r="S13" s="30">
        <v>3</v>
      </c>
      <c r="T13" s="33">
        <f>ROUND(Table13[[#This Row],['#punten]]/Table13[[#This Row],['#Wed]],2)</f>
        <v>49.71</v>
      </c>
      <c r="U13" s="31">
        <f>ROUND(Table13[[#This Row],['#punten]]/Table13[[#This Row],['#minuten]],2)</f>
        <v>0.61</v>
      </c>
      <c r="V13" s="30">
        <f>Table13[[#This Row],[Pt/minuut]]*90</f>
        <v>54.9</v>
      </c>
      <c r="W13" s="30">
        <f>ROUND(Table13[[#This Row],[Prijs]]/Table13[[#This Row],['#punten]],0)</f>
        <v>1437</v>
      </c>
      <c r="X13" s="34">
        <f>ROUND((Table13[[#This Row],[Goals]]+Table13[[#This Row],[Asissts]])/(Table13[[#This Row],['#minuten]]/90),2)</f>
        <v>0.4</v>
      </c>
    </row>
    <row r="14" spans="1:25" x14ac:dyDescent="0.2">
      <c r="A14" s="11" t="s">
        <v>190</v>
      </c>
      <c r="B14" s="28" t="s">
        <v>44</v>
      </c>
      <c r="C14" s="29">
        <v>1000000</v>
      </c>
      <c r="D14" s="30" t="s">
        <v>135</v>
      </c>
      <c r="E14" s="30">
        <v>23</v>
      </c>
      <c r="F14" s="30" t="s">
        <v>141</v>
      </c>
      <c r="G14" s="31">
        <v>682</v>
      </c>
      <c r="H14" s="32">
        <v>0</v>
      </c>
      <c r="I14" s="32">
        <f>ROUND((Table13[[#This Row],[laatste 5 wed.]]/Table13[[#This Row],['#punten]])*100,1)</f>
        <v>0</v>
      </c>
      <c r="J14" s="30">
        <v>16</v>
      </c>
      <c r="K14" s="30">
        <v>10</v>
      </c>
      <c r="L14" s="30">
        <v>736</v>
      </c>
      <c r="M14" s="30">
        <v>74</v>
      </c>
      <c r="N14" s="30">
        <f>ROUND(Table13[[#This Row],[Min laatste 5]]/Table13[[#This Row],['#minuten]]*100,1)</f>
        <v>10.1</v>
      </c>
      <c r="O14" s="30">
        <v>5</v>
      </c>
      <c r="P14" s="30">
        <v>1</v>
      </c>
      <c r="Q14" s="48">
        <v>0</v>
      </c>
      <c r="R14" s="30">
        <v>0</v>
      </c>
      <c r="S14" s="30">
        <v>3</v>
      </c>
      <c r="T14" s="33">
        <f>ROUND(Table13[[#This Row],['#punten]]/Table13[[#This Row],['#Wed]],2)</f>
        <v>42.63</v>
      </c>
      <c r="U14" s="24">
        <f>ROUND(Table13[[#This Row],['#punten]]/Table13[[#This Row],['#minuten]],2)</f>
        <v>0.93</v>
      </c>
      <c r="V14" s="30">
        <f>Table13[[#This Row],[Pt/minuut]]*90</f>
        <v>83.7</v>
      </c>
      <c r="W14" s="29">
        <f>ROUND(Table13[[#This Row],[Prijs]]/Table13[[#This Row],['#punten]],0)</f>
        <v>1466</v>
      </c>
      <c r="X14" s="34">
        <f>ROUND((Table13[[#This Row],[Goals]]+Table13[[#This Row],[Asissts]])/(Table13[[#This Row],['#minuten]]/90),2)</f>
        <v>0.73</v>
      </c>
    </row>
    <row r="15" spans="1:25" x14ac:dyDescent="0.2">
      <c r="A15" s="11" t="s">
        <v>191</v>
      </c>
      <c r="B15" s="28" t="s">
        <v>44</v>
      </c>
      <c r="C15" s="29">
        <v>1000000</v>
      </c>
      <c r="D15" s="30" t="s">
        <v>135</v>
      </c>
      <c r="E15" s="30">
        <v>25</v>
      </c>
      <c r="F15" s="30" t="s">
        <v>169</v>
      </c>
      <c r="G15" s="31">
        <v>550</v>
      </c>
      <c r="H15" s="32">
        <v>322</v>
      </c>
      <c r="I15" s="32">
        <f>ROUND((Table13[[#This Row],[laatste 5 wed.]]/Table13[[#This Row],['#punten]])*100,1)</f>
        <v>58.5</v>
      </c>
      <c r="J15" s="30">
        <v>15</v>
      </c>
      <c r="K15" s="30">
        <v>11</v>
      </c>
      <c r="L15" s="30">
        <v>860</v>
      </c>
      <c r="M15" s="30">
        <v>331</v>
      </c>
      <c r="N15" s="30">
        <f>ROUND(Table13[[#This Row],[Min laatste 5]]/Table13[[#This Row],['#minuten]]*100,1)</f>
        <v>38.5</v>
      </c>
      <c r="O15" s="30">
        <v>2</v>
      </c>
      <c r="P15" s="30">
        <v>5</v>
      </c>
      <c r="Q15" s="48">
        <v>1</v>
      </c>
      <c r="R15" s="30">
        <v>1</v>
      </c>
      <c r="S15" s="30">
        <v>0</v>
      </c>
      <c r="T15" s="33">
        <f>ROUND(Table13[[#This Row],['#punten]]/Table13[[#This Row],['#Wed]],2)</f>
        <v>36.67</v>
      </c>
      <c r="U15" s="31">
        <f>ROUND(Table13[[#This Row],['#punten]]/Table13[[#This Row],['#minuten]],2)</f>
        <v>0.64</v>
      </c>
      <c r="V15" s="30">
        <f>Table13[[#This Row],[Pt/minuut]]*90</f>
        <v>57.6</v>
      </c>
      <c r="W15" s="30">
        <f>ROUND(Table13[[#This Row],[Prijs]]/Table13[[#This Row],['#punten]],0)</f>
        <v>1818</v>
      </c>
      <c r="X15" s="34">
        <f>ROUND((Table13[[#This Row],[Goals]]+Table13[[#This Row],[Asissts]])/(Table13[[#This Row],['#minuten]]/90),2)</f>
        <v>0.73</v>
      </c>
    </row>
    <row r="16" spans="1:25" x14ac:dyDescent="0.2">
      <c r="A16" s="11" t="s">
        <v>197</v>
      </c>
      <c r="B16" s="21" t="s">
        <v>45</v>
      </c>
      <c r="C16" s="22">
        <v>2500000</v>
      </c>
      <c r="D16" s="23" t="s">
        <v>135</v>
      </c>
      <c r="E16" s="23">
        <v>19</v>
      </c>
      <c r="F16" s="23" t="s">
        <v>198</v>
      </c>
      <c r="G16" s="24">
        <v>724</v>
      </c>
      <c r="H16" s="25">
        <v>110</v>
      </c>
      <c r="I16" s="25">
        <f>ROUND((Table13[[#This Row],[laatste 5 wed.]]/Table13[[#This Row],['#punten]])*100,1)</f>
        <v>15.2</v>
      </c>
      <c r="J16" s="23">
        <v>12</v>
      </c>
      <c r="K16" s="23">
        <v>6</v>
      </c>
      <c r="L16" s="23">
        <v>566</v>
      </c>
      <c r="M16" s="23">
        <v>135</v>
      </c>
      <c r="N16" s="23">
        <f>ROUND(Table13[[#This Row],[Min laatste 5]]/Table13[[#This Row],['#minuten]]*100,1)</f>
        <v>23.9</v>
      </c>
      <c r="O16" s="23">
        <v>3</v>
      </c>
      <c r="P16" s="23">
        <v>2</v>
      </c>
      <c r="Q16" s="45">
        <v>0</v>
      </c>
      <c r="R16" s="23">
        <v>0</v>
      </c>
      <c r="S16" s="23">
        <v>3</v>
      </c>
      <c r="T16" s="26">
        <f>ROUND(Table13[[#This Row],['#punten]]/Table13[[#This Row],['#Wed]],2)</f>
        <v>60.33</v>
      </c>
      <c r="U16" s="24">
        <f>ROUND(Table13[[#This Row],['#punten]]/Table13[[#This Row],['#minuten]],2)</f>
        <v>1.28</v>
      </c>
      <c r="V16" s="23">
        <f>Table13[[#This Row],[Pt/minuut]]*90</f>
        <v>115.2</v>
      </c>
      <c r="W16" s="23">
        <f>ROUND(Table13[[#This Row],[Prijs]]/Table13[[#This Row],['#punten]],0)</f>
        <v>3453</v>
      </c>
      <c r="X16" s="27">
        <f>ROUND((Table13[[#This Row],[Goals]]+Table13[[#This Row],[Asissts]])/(Table13[[#This Row],['#minuten]]/90),2)</f>
        <v>0.8</v>
      </c>
    </row>
    <row r="17" spans="1:24" x14ac:dyDescent="0.2">
      <c r="A17" s="11" t="s">
        <v>33</v>
      </c>
      <c r="B17" s="21" t="s">
        <v>45</v>
      </c>
      <c r="C17" s="22">
        <v>7000000</v>
      </c>
      <c r="D17" s="23" t="s">
        <v>135</v>
      </c>
      <c r="E17" s="23">
        <v>22</v>
      </c>
      <c r="F17" s="23" t="s">
        <v>192</v>
      </c>
      <c r="G17" s="24">
        <v>1972</v>
      </c>
      <c r="H17" s="25">
        <v>604</v>
      </c>
      <c r="I17" s="25">
        <f>ROUND((Table13[[#This Row],[laatste 5 wed.]]/Table13[[#This Row],['#punten]])*100,1)</f>
        <v>30.6</v>
      </c>
      <c r="J17" s="23">
        <v>16</v>
      </c>
      <c r="K17" s="23">
        <v>16</v>
      </c>
      <c r="L17" s="23">
        <v>1294</v>
      </c>
      <c r="M17" s="23">
        <v>402</v>
      </c>
      <c r="N17" s="23">
        <f>ROUND(Table13[[#This Row],[Min laatste 5]]/Table13[[#This Row],['#minuten]]*100,1)</f>
        <v>31.1</v>
      </c>
      <c r="O17" s="23">
        <v>18</v>
      </c>
      <c r="P17" s="23">
        <v>4</v>
      </c>
      <c r="Q17" s="45">
        <v>2</v>
      </c>
      <c r="R17" s="23">
        <v>0</v>
      </c>
      <c r="S17" s="23">
        <v>6</v>
      </c>
      <c r="T17" s="26">
        <f>ROUND(Table13[[#This Row],['#punten]]/Table13[[#This Row],['#Wed]],2)</f>
        <v>123.25</v>
      </c>
      <c r="U17" s="24">
        <f>ROUND(Table13[[#This Row],['#punten]]/Table13[[#This Row],['#minuten]],2)</f>
        <v>1.52</v>
      </c>
      <c r="V17" s="23">
        <f>Table13[[#This Row],[Pt/minuut]]*90</f>
        <v>136.80000000000001</v>
      </c>
      <c r="W17" s="23">
        <f>ROUND(Table13[[#This Row],[Prijs]]/Table13[[#This Row],['#punten]],0)</f>
        <v>3550</v>
      </c>
      <c r="X17" s="27">
        <f>ROUND((Table13[[#This Row],[Goals]]+Table13[[#This Row],[Asissts]])/(Table13[[#This Row],['#minuten]]/90),2)</f>
        <v>1.53</v>
      </c>
    </row>
    <row r="18" spans="1:24" x14ac:dyDescent="0.2">
      <c r="A18" s="11" t="s">
        <v>195</v>
      </c>
      <c r="B18" s="51" t="s">
        <v>45</v>
      </c>
      <c r="C18" s="52">
        <v>2500000</v>
      </c>
      <c r="D18" s="53" t="s">
        <v>135</v>
      </c>
      <c r="E18" s="53">
        <v>23</v>
      </c>
      <c r="F18" s="53" t="s">
        <v>196</v>
      </c>
      <c r="G18" s="54">
        <v>868</v>
      </c>
      <c r="H18" s="55">
        <v>172</v>
      </c>
      <c r="I18" s="55">
        <f>ROUND((Table13[[#This Row],[laatste 5 wed.]]/Table13[[#This Row],['#punten]])*100,1)</f>
        <v>19.8</v>
      </c>
      <c r="J18" s="53">
        <v>15</v>
      </c>
      <c r="K18" s="53">
        <v>13</v>
      </c>
      <c r="L18" s="53">
        <v>975</v>
      </c>
      <c r="M18" s="53">
        <v>172</v>
      </c>
      <c r="N18" s="53">
        <f>ROUND(Table13[[#This Row],[Min laatste 5]]/Table13[[#This Row],['#minuten]]*100,1)</f>
        <v>17.600000000000001</v>
      </c>
      <c r="O18" s="53">
        <v>4</v>
      </c>
      <c r="P18" s="53">
        <v>2</v>
      </c>
      <c r="Q18" s="85">
        <v>3</v>
      </c>
      <c r="R18" s="53">
        <v>0</v>
      </c>
      <c r="S18" s="53">
        <v>5</v>
      </c>
      <c r="T18" s="56">
        <f>ROUND(Table13[[#This Row],['#punten]]/Table13[[#This Row],['#Wed]],2)</f>
        <v>57.87</v>
      </c>
      <c r="U18" s="54">
        <f>ROUND(Table13[[#This Row],['#punten]]/Table13[[#This Row],['#minuten]],2)</f>
        <v>0.89</v>
      </c>
      <c r="V18" s="53">
        <f>Table13[[#This Row],[Pt/minuut]]*90</f>
        <v>80.099999999999994</v>
      </c>
      <c r="W18" s="53">
        <f>ROUND(Table13[[#This Row],[Prijs]]/Table13[[#This Row],['#punten]],0)</f>
        <v>2880</v>
      </c>
      <c r="X18" s="57">
        <f>ROUND((Table13[[#This Row],[Goals]]+Table13[[#This Row],[Asissts]])/(Table13[[#This Row],['#minuten]]/90),2)</f>
        <v>0.55000000000000004</v>
      </c>
    </row>
    <row r="19" spans="1:24" x14ac:dyDescent="0.2">
      <c r="A19" s="11" t="s">
        <v>194</v>
      </c>
      <c r="B19" s="28" t="s">
        <v>45</v>
      </c>
      <c r="C19" s="29">
        <v>2500000</v>
      </c>
      <c r="D19" s="30" t="s">
        <v>135</v>
      </c>
      <c r="E19" s="30">
        <v>25</v>
      </c>
      <c r="F19" s="30" t="s">
        <v>153</v>
      </c>
      <c r="G19" s="31">
        <v>428</v>
      </c>
      <c r="H19" s="32">
        <v>166</v>
      </c>
      <c r="I19" s="32">
        <f>ROUND((Table13[[#This Row],[laatste 5 wed.]]/Table13[[#This Row],['#punten]])*100,1)</f>
        <v>38.799999999999997</v>
      </c>
      <c r="J19" s="30">
        <v>9</v>
      </c>
      <c r="K19" s="30">
        <v>7</v>
      </c>
      <c r="L19" s="30">
        <v>533</v>
      </c>
      <c r="M19" s="30">
        <v>166</v>
      </c>
      <c r="N19" s="30">
        <f>ROUND(Table13[[#This Row],[Min laatste 5]]/Table13[[#This Row],['#minuten]]*100,1)</f>
        <v>31.1</v>
      </c>
      <c r="O19" s="30">
        <v>1</v>
      </c>
      <c r="P19" s="30">
        <v>1</v>
      </c>
      <c r="Q19" s="48">
        <v>0</v>
      </c>
      <c r="R19" s="30">
        <v>0</v>
      </c>
      <c r="S19" s="30">
        <v>1</v>
      </c>
      <c r="T19" s="33">
        <f>ROUND(Table13[[#This Row],['#punten]]/Table13[[#This Row],['#Wed]],2)</f>
        <v>47.56</v>
      </c>
      <c r="U19" s="31">
        <f>ROUND(Table13[[#This Row],['#punten]]/Table13[[#This Row],['#minuten]],2)</f>
        <v>0.8</v>
      </c>
      <c r="V19" s="30">
        <f>Table13[[#This Row],[Pt/minuut]]*90</f>
        <v>72</v>
      </c>
      <c r="W19" s="30">
        <f>ROUND(Table13[[#This Row],[Prijs]]/Table13[[#This Row],['#punten]],0)</f>
        <v>5841</v>
      </c>
      <c r="X19" s="34">
        <f>ROUND((Table13[[#This Row],[Goals]]+Table13[[#This Row],[Asissts]])/(Table13[[#This Row],['#minuten]]/90),2)</f>
        <v>0.34</v>
      </c>
    </row>
    <row r="20" spans="1:24" x14ac:dyDescent="0.2">
      <c r="A20" s="11" t="s">
        <v>216</v>
      </c>
      <c r="B20" s="21" t="s">
        <v>46</v>
      </c>
      <c r="C20" s="22">
        <v>1250000</v>
      </c>
      <c r="D20" s="23" t="s">
        <v>135</v>
      </c>
      <c r="E20" s="23">
        <v>24</v>
      </c>
      <c r="F20" s="23" t="s">
        <v>141</v>
      </c>
      <c r="G20" s="24">
        <v>490</v>
      </c>
      <c r="H20" s="25">
        <v>176</v>
      </c>
      <c r="I20" s="25">
        <f>ROUND((Table13[[#This Row],[laatste 5 wed.]]/Table13[[#This Row],['#punten]])*100,1)</f>
        <v>35.9</v>
      </c>
      <c r="J20" s="23">
        <v>13</v>
      </c>
      <c r="K20" s="23">
        <v>13</v>
      </c>
      <c r="L20" s="23">
        <v>1027</v>
      </c>
      <c r="M20" s="23">
        <v>256</v>
      </c>
      <c r="N20" s="23">
        <f>ROUND(Table13[[#This Row],[Min laatste 5]]/Table13[[#This Row],['#minuten]]*100,1)</f>
        <v>24.9</v>
      </c>
      <c r="O20" s="23">
        <v>3</v>
      </c>
      <c r="P20" s="23">
        <v>1</v>
      </c>
      <c r="Q20" s="45">
        <v>2</v>
      </c>
      <c r="R20" s="23">
        <v>1</v>
      </c>
      <c r="S20" s="23">
        <v>3</v>
      </c>
      <c r="T20" s="26">
        <f>ROUND(Table13[[#This Row],['#punten]]/Table13[[#This Row],['#Wed]],2)</f>
        <v>37.69</v>
      </c>
      <c r="U20" s="24">
        <f>ROUND(Table13[[#This Row],['#punten]]/Table13[[#This Row],['#minuten]],2)</f>
        <v>0.48</v>
      </c>
      <c r="V20" s="23">
        <f>Table13[[#This Row],[Pt/minuut]]*90</f>
        <v>43.199999999999996</v>
      </c>
      <c r="W20" s="23">
        <f>ROUND(Table13[[#This Row],[Prijs]]/Table13[[#This Row],['#punten]],0)</f>
        <v>2551</v>
      </c>
      <c r="X20" s="27">
        <f>ROUND((Table13[[#This Row],[Goals]]+Table13[[#This Row],[Asissts]])/(Table13[[#This Row],['#minuten]]/90),2)</f>
        <v>0.35</v>
      </c>
    </row>
    <row r="21" spans="1:24" x14ac:dyDescent="0.2">
      <c r="A21" s="11" t="s">
        <v>351</v>
      </c>
      <c r="B21" s="28" t="s">
        <v>46</v>
      </c>
      <c r="C21" s="29">
        <v>2000000</v>
      </c>
      <c r="D21" s="30" t="s">
        <v>135</v>
      </c>
      <c r="E21" s="30">
        <v>25</v>
      </c>
      <c r="F21" s="30" t="s">
        <v>141</v>
      </c>
      <c r="G21" s="31">
        <v>690</v>
      </c>
      <c r="H21" s="32">
        <v>418</v>
      </c>
      <c r="I21" s="32">
        <f>ROUND((Table13[[#This Row],[laatste 5 wed.]]/Table13[[#This Row],['#punten]])*100,1)</f>
        <v>60.6</v>
      </c>
      <c r="J21" s="30">
        <v>15</v>
      </c>
      <c r="K21" s="30">
        <v>11</v>
      </c>
      <c r="L21" s="30">
        <v>855</v>
      </c>
      <c r="M21" s="30">
        <v>403</v>
      </c>
      <c r="N21" s="30">
        <f>ROUND(Table13[[#This Row],[Min laatste 5]]/Table13[[#This Row],['#minuten]]*100,1)</f>
        <v>47.1</v>
      </c>
      <c r="O21" s="30">
        <v>5</v>
      </c>
      <c r="P21" s="30">
        <v>1</v>
      </c>
      <c r="Q21" s="48">
        <v>2</v>
      </c>
      <c r="R21" s="30">
        <v>0</v>
      </c>
      <c r="S21" s="30">
        <v>2</v>
      </c>
      <c r="T21" s="33">
        <f>ROUND(Table13[[#This Row],['#punten]]/Table13[[#This Row],['#Wed]],2)</f>
        <v>46</v>
      </c>
      <c r="U21" s="31">
        <f>ROUND(Table13[[#This Row],['#punten]]/Table13[[#This Row],['#minuten]],2)</f>
        <v>0.81</v>
      </c>
      <c r="V21" s="30">
        <f>Table13[[#This Row],[Pt/minuut]]*90</f>
        <v>72.900000000000006</v>
      </c>
      <c r="W21" s="30">
        <f>ROUND(Table13[[#This Row],[Prijs]]/Table13[[#This Row],['#punten]],0)</f>
        <v>2899</v>
      </c>
      <c r="X21" s="34">
        <f>ROUND((Table13[[#This Row],[Goals]]+Table13[[#This Row],[Asissts]])/(Table13[[#This Row],['#minuten]]/90),2)</f>
        <v>0.63</v>
      </c>
    </row>
    <row r="22" spans="1:24" x14ac:dyDescent="0.2">
      <c r="A22" s="11" t="s">
        <v>215</v>
      </c>
      <c r="B22" s="28" t="s">
        <v>46</v>
      </c>
      <c r="C22" s="29">
        <v>1250000</v>
      </c>
      <c r="D22" s="30" t="s">
        <v>135</v>
      </c>
      <c r="E22" s="30">
        <v>26</v>
      </c>
      <c r="F22" s="30" t="s">
        <v>47</v>
      </c>
      <c r="G22" s="31">
        <v>540</v>
      </c>
      <c r="H22" s="88">
        <v>202</v>
      </c>
      <c r="I22" s="88">
        <f>ROUND((Table13[[#This Row],[laatste 5 wed.]]/Table13[[#This Row],['#punten]])*100,1)</f>
        <v>37.4</v>
      </c>
      <c r="J22" s="30">
        <v>15</v>
      </c>
      <c r="K22" s="30">
        <v>14</v>
      </c>
      <c r="L22" s="30">
        <v>1161</v>
      </c>
      <c r="M22" s="32">
        <v>410</v>
      </c>
      <c r="N22" s="30">
        <f>ROUND(Table13[[#This Row],[Min laatste 5]]/Table13[[#This Row],['#minuten]]*100,1)</f>
        <v>35.299999999999997</v>
      </c>
      <c r="O22" s="30">
        <v>0</v>
      </c>
      <c r="P22" s="30">
        <v>2</v>
      </c>
      <c r="Q22" s="30">
        <v>1</v>
      </c>
      <c r="R22" s="30">
        <v>0</v>
      </c>
      <c r="S22" s="30">
        <v>3</v>
      </c>
      <c r="T22" s="30">
        <f>ROUND(Table13[[#This Row],['#punten]]/Table13[[#This Row],['#Wed]],2)</f>
        <v>36</v>
      </c>
      <c r="U22" s="24">
        <f>ROUND(Table13[[#This Row],['#punten]]/Table13[[#This Row],['#minuten]],2)</f>
        <v>0.47</v>
      </c>
      <c r="V22" s="23">
        <f>Table13[[#This Row],[Pt/minuut]]*90</f>
        <v>42.3</v>
      </c>
      <c r="W22" s="23">
        <f>ROUND(Table13[[#This Row],[Prijs]]/Table13[[#This Row],['#punten]],0)</f>
        <v>2315</v>
      </c>
      <c r="X22" s="27">
        <f>ROUND((Table13[[#This Row],[Goals]]+Table13[[#This Row],[Asissts]])/(Table13[[#This Row],['#minuten]]/90),2)</f>
        <v>0.16</v>
      </c>
    </row>
    <row r="23" spans="1:24" x14ac:dyDescent="0.2">
      <c r="A23" s="11" t="s">
        <v>364</v>
      </c>
      <c r="B23" s="62" t="s">
        <v>39</v>
      </c>
      <c r="C23" s="63">
        <v>1250000</v>
      </c>
      <c r="D23" s="60" t="s">
        <v>135</v>
      </c>
      <c r="E23" s="60">
        <v>24</v>
      </c>
      <c r="F23" s="60" t="s">
        <v>179</v>
      </c>
      <c r="G23" s="58">
        <v>842</v>
      </c>
      <c r="H23" s="64">
        <v>170</v>
      </c>
      <c r="I23" s="64">
        <f>ROUND((Table13[[#This Row],[laatste 5 wed.]]/Table13[[#This Row],['#punten]])*100,1)</f>
        <v>20.2</v>
      </c>
      <c r="J23" s="60">
        <v>16</v>
      </c>
      <c r="K23" s="60">
        <v>15</v>
      </c>
      <c r="L23" s="60">
        <v>1233</v>
      </c>
      <c r="M23" s="60">
        <v>426</v>
      </c>
      <c r="N23" s="60">
        <f>ROUND(Table13[[#This Row],[Min laatste 5]]/Table13[[#This Row],['#minuten]]*100,1)</f>
        <v>34.5</v>
      </c>
      <c r="O23" s="60">
        <v>4</v>
      </c>
      <c r="P23" s="60">
        <v>0</v>
      </c>
      <c r="Q23" s="86">
        <v>0</v>
      </c>
      <c r="R23" s="60">
        <v>0</v>
      </c>
      <c r="S23" s="60">
        <v>5</v>
      </c>
      <c r="T23" s="59">
        <f>ROUND(Table13[[#This Row],['#punten]]/Table13[[#This Row],['#Wed]],2)</f>
        <v>52.63</v>
      </c>
      <c r="U23" s="58">
        <f>ROUND(Table13[[#This Row],['#punten]]/Table13[[#This Row],['#minuten]],2)</f>
        <v>0.68</v>
      </c>
      <c r="V23" s="60">
        <f>Table13[[#This Row],[Pt/minuut]]*90</f>
        <v>61.2</v>
      </c>
      <c r="W23" s="60">
        <f>ROUND(Table13[[#This Row],[Prijs]]/Table13[[#This Row],['#punten]],0)</f>
        <v>1485</v>
      </c>
      <c r="X23" s="61">
        <f>ROUND((Table13[[#This Row],[Goals]]+Table13[[#This Row],[Asissts]])/(Table13[[#This Row],['#minuten]]/90),2)</f>
        <v>0.28999999999999998</v>
      </c>
    </row>
    <row r="24" spans="1:24" x14ac:dyDescent="0.2">
      <c r="A24" s="11" t="s">
        <v>518</v>
      </c>
      <c r="B24" s="21" t="s">
        <v>39</v>
      </c>
      <c r="C24" s="22">
        <v>1500000</v>
      </c>
      <c r="D24" s="23" t="s">
        <v>135</v>
      </c>
      <c r="E24" s="23">
        <v>27</v>
      </c>
      <c r="F24" s="23" t="s">
        <v>141</v>
      </c>
      <c r="G24" s="24">
        <v>734</v>
      </c>
      <c r="H24" s="25">
        <v>194</v>
      </c>
      <c r="I24" s="25">
        <f>ROUND((Table13[[#This Row],[laatste 5 wed.]]/Table13[[#This Row],['#punten]])*100,1)</f>
        <v>26.4</v>
      </c>
      <c r="J24" s="23">
        <v>16</v>
      </c>
      <c r="K24" s="23">
        <v>4</v>
      </c>
      <c r="L24" s="23">
        <v>594</v>
      </c>
      <c r="M24" s="23">
        <v>292</v>
      </c>
      <c r="N24" s="23">
        <f>ROUND(Table13[[#This Row],[Min laatste 5]]/Table13[[#This Row],['#minuten]]*100,1)</f>
        <v>49.2</v>
      </c>
      <c r="O24" s="23">
        <v>5</v>
      </c>
      <c r="P24" s="23">
        <v>0</v>
      </c>
      <c r="Q24" s="45">
        <v>1</v>
      </c>
      <c r="R24" s="23">
        <v>0</v>
      </c>
      <c r="S24" s="23">
        <v>0</v>
      </c>
      <c r="T24" s="26">
        <f>ROUND(Table13[[#This Row],['#punten]]/Table13[[#This Row],['#Wed]],2)</f>
        <v>45.88</v>
      </c>
      <c r="U24" s="24">
        <f>ROUND(Table13[[#This Row],['#punten]]/Table13[[#This Row],['#minuten]],2)</f>
        <v>1.24</v>
      </c>
      <c r="V24" s="23">
        <f>Table13[[#This Row],[Pt/minuut]]*90</f>
        <v>111.6</v>
      </c>
      <c r="W24" s="23">
        <f>ROUND(Table13[[#This Row],[Prijs]]/Table13[[#This Row],['#punten]],0)</f>
        <v>2044</v>
      </c>
      <c r="X24" s="27">
        <f>ROUND((Table13[[#This Row],[Goals]]+Table13[[#This Row],[Asissts]])/(Table13[[#This Row],['#minuten]]/90),2)</f>
        <v>0.76</v>
      </c>
    </row>
    <row r="25" spans="1:24" x14ac:dyDescent="0.2">
      <c r="A25" s="11" t="s">
        <v>365</v>
      </c>
      <c r="B25" s="21" t="s">
        <v>39</v>
      </c>
      <c r="C25" s="22">
        <v>1500000</v>
      </c>
      <c r="D25" s="23" t="s">
        <v>135</v>
      </c>
      <c r="E25" s="23">
        <v>27</v>
      </c>
      <c r="F25" s="23" t="s">
        <v>187</v>
      </c>
      <c r="G25" s="24">
        <v>632</v>
      </c>
      <c r="H25" s="25">
        <v>108</v>
      </c>
      <c r="I25" s="25">
        <f>ROUND((Table13[[#This Row],[laatste 5 wed.]]/Table13[[#This Row],['#punten]])*100,1)</f>
        <v>17.100000000000001</v>
      </c>
      <c r="J25" s="23">
        <v>16</v>
      </c>
      <c r="K25" s="23">
        <v>12</v>
      </c>
      <c r="L25" s="23">
        <v>972</v>
      </c>
      <c r="M25" s="23">
        <v>206</v>
      </c>
      <c r="N25" s="23">
        <f>ROUND(Table13[[#This Row],[Min laatste 5]]/Table13[[#This Row],['#minuten]]*100,1)</f>
        <v>21.2</v>
      </c>
      <c r="O25" s="23">
        <v>2</v>
      </c>
      <c r="P25" s="23">
        <v>1</v>
      </c>
      <c r="Q25" s="45">
        <v>1</v>
      </c>
      <c r="R25" s="23">
        <v>0</v>
      </c>
      <c r="S25" s="23">
        <v>5</v>
      </c>
      <c r="T25" s="26">
        <f>ROUND(Table13[[#This Row],['#punten]]/Table13[[#This Row],['#Wed]],2)</f>
        <v>39.5</v>
      </c>
      <c r="U25" s="24">
        <f>ROUND(Table13[[#This Row],['#punten]]/Table13[[#This Row],['#minuten]],2)</f>
        <v>0.65</v>
      </c>
      <c r="V25" s="23">
        <f>Table13[[#This Row],[Pt/minuut]]*90</f>
        <v>58.5</v>
      </c>
      <c r="W25" s="23">
        <f>ROUND(Table13[[#This Row],[Prijs]]/Table13[[#This Row],['#punten]],0)</f>
        <v>2373</v>
      </c>
      <c r="X25" s="27">
        <f>ROUND((Table13[[#This Row],[Goals]]+Table13[[#This Row],[Asissts]])/(Table13[[#This Row],['#minuten]]/90),2)</f>
        <v>0.28000000000000003</v>
      </c>
    </row>
    <row r="26" spans="1:24" x14ac:dyDescent="0.2">
      <c r="A26" s="11" t="s">
        <v>133</v>
      </c>
      <c r="B26" s="51" t="s">
        <v>48</v>
      </c>
      <c r="C26" s="52">
        <v>1750000</v>
      </c>
      <c r="D26" s="53" t="s">
        <v>135</v>
      </c>
      <c r="E26" s="53">
        <v>22</v>
      </c>
      <c r="F26" s="53" t="s">
        <v>179</v>
      </c>
      <c r="G26" s="58">
        <v>794</v>
      </c>
      <c r="H26" s="64">
        <v>148</v>
      </c>
      <c r="I26" s="64">
        <f>ROUND((Table13[[#This Row],[laatste 5 wed.]]/Table13[[#This Row],['#punten]])*100,1)</f>
        <v>18.600000000000001</v>
      </c>
      <c r="J26" s="60">
        <v>15</v>
      </c>
      <c r="K26" s="60">
        <v>14</v>
      </c>
      <c r="L26" s="60">
        <v>1200</v>
      </c>
      <c r="M26" s="60">
        <v>341</v>
      </c>
      <c r="N26" s="60">
        <f>ROUND(Table13[[#This Row],[Min laatste 5]]/Table13[[#This Row],['#minuten]]*100,1)</f>
        <v>28.4</v>
      </c>
      <c r="O26" s="60">
        <v>4</v>
      </c>
      <c r="P26" s="60">
        <v>1</v>
      </c>
      <c r="Q26" s="86">
        <v>0</v>
      </c>
      <c r="R26" s="60">
        <v>0</v>
      </c>
      <c r="S26" s="60">
        <v>3</v>
      </c>
      <c r="T26" s="56">
        <f>ROUND(Table13[[#This Row],['#punten]]/Table13[[#This Row],['#Wed]],2)</f>
        <v>52.93</v>
      </c>
      <c r="U26" s="54">
        <f>ROUND(Table13[[#This Row],['#punten]]/Table13[[#This Row],['#minuten]],2)</f>
        <v>0.66</v>
      </c>
      <c r="V26" s="53">
        <f>Table13[[#This Row],[Pt/minuut]]*90</f>
        <v>59.400000000000006</v>
      </c>
      <c r="W26" s="53">
        <f>ROUND(Table13[[#This Row],[Prijs]]/Table13[[#This Row],['#punten]],0)</f>
        <v>2204</v>
      </c>
      <c r="X26" s="57">
        <f>ROUND((Table13[[#This Row],[Goals]]+Table13[[#This Row],[Asissts]])/(Table13[[#This Row],['#minuten]]/90),2)</f>
        <v>0.38</v>
      </c>
    </row>
    <row r="27" spans="1:24" x14ac:dyDescent="0.2">
      <c r="A27" s="11" t="s">
        <v>236</v>
      </c>
      <c r="B27" s="28" t="s">
        <v>48</v>
      </c>
      <c r="C27" s="29">
        <v>1750000</v>
      </c>
      <c r="D27" s="30" t="s">
        <v>135</v>
      </c>
      <c r="E27" s="30">
        <v>24</v>
      </c>
      <c r="F27" s="30" t="s">
        <v>237</v>
      </c>
      <c r="G27" s="31">
        <v>652</v>
      </c>
      <c r="H27" s="32">
        <v>384</v>
      </c>
      <c r="I27" s="32">
        <f>ROUND((Table13[[#This Row],[laatste 5 wed.]]/Table13[[#This Row],['#punten]])*100,1)</f>
        <v>58.9</v>
      </c>
      <c r="J27" s="30">
        <v>13</v>
      </c>
      <c r="K27" s="30">
        <v>6</v>
      </c>
      <c r="L27" s="30">
        <v>510</v>
      </c>
      <c r="M27" s="30">
        <v>93</v>
      </c>
      <c r="N27" s="30">
        <f>ROUND(Table13[[#This Row],[Min laatste 5]]/Table13[[#This Row],['#minuten]]*100,1)</f>
        <v>18.2</v>
      </c>
      <c r="O27" s="30">
        <v>4</v>
      </c>
      <c r="P27" s="30">
        <v>0</v>
      </c>
      <c r="Q27" s="48">
        <v>0</v>
      </c>
      <c r="R27" s="30">
        <v>0</v>
      </c>
      <c r="S27" s="30">
        <v>1</v>
      </c>
      <c r="T27" s="33">
        <f>ROUND(Table13[[#This Row],['#punten]]/Table13[[#This Row],['#Wed]],2)</f>
        <v>50.15</v>
      </c>
      <c r="U27" s="31">
        <f>ROUND(Table13[[#This Row],['#punten]]/Table13[[#This Row],['#minuten]],2)</f>
        <v>1.28</v>
      </c>
      <c r="V27" s="30">
        <f>Table13[[#This Row],[Pt/minuut]]*90</f>
        <v>115.2</v>
      </c>
      <c r="W27" s="30">
        <f>ROUND(Table13[[#This Row],[Prijs]]/Table13[[#This Row],['#punten]],0)</f>
        <v>2684</v>
      </c>
      <c r="X27" s="34">
        <f>ROUND((Table13[[#This Row],[Goals]]+Table13[[#This Row],[Asissts]])/(Table13[[#This Row],['#minuten]]/90),2)</f>
        <v>0.71</v>
      </c>
    </row>
    <row r="28" spans="1:24" x14ac:dyDescent="0.2">
      <c r="A28" s="11" t="s">
        <v>238</v>
      </c>
      <c r="B28" s="62" t="s">
        <v>48</v>
      </c>
      <c r="C28" s="63">
        <v>1250000</v>
      </c>
      <c r="D28" s="60" t="s">
        <v>135</v>
      </c>
      <c r="E28" s="60">
        <v>24</v>
      </c>
      <c r="F28" s="60" t="s">
        <v>141</v>
      </c>
      <c r="G28" s="58">
        <v>458</v>
      </c>
      <c r="H28" s="64">
        <v>226</v>
      </c>
      <c r="I28" s="64">
        <f>ROUND((Table13[[#This Row],[laatste 5 wed.]]/Table13[[#This Row],['#punten]])*100,1)</f>
        <v>49.3</v>
      </c>
      <c r="J28" s="60">
        <v>14</v>
      </c>
      <c r="K28" s="60">
        <v>12</v>
      </c>
      <c r="L28" s="60">
        <v>906</v>
      </c>
      <c r="M28" s="60">
        <v>353</v>
      </c>
      <c r="N28" s="60">
        <f>ROUND(Table13[[#This Row],[Min laatste 5]]/Table13[[#This Row],['#minuten]]*100,1)</f>
        <v>39</v>
      </c>
      <c r="O28" s="60">
        <v>0</v>
      </c>
      <c r="P28" s="60">
        <v>1</v>
      </c>
      <c r="Q28" s="86">
        <v>0</v>
      </c>
      <c r="R28" s="60">
        <v>0</v>
      </c>
      <c r="S28" s="60">
        <v>3</v>
      </c>
      <c r="T28" s="59">
        <f>ROUND(Table13[[#This Row],['#punten]]/Table13[[#This Row],['#Wed]],2)</f>
        <v>32.71</v>
      </c>
      <c r="U28" s="58">
        <f>ROUND(Table13[[#This Row],['#punten]]/Table13[[#This Row],['#minuten]],2)</f>
        <v>0.51</v>
      </c>
      <c r="V28" s="60">
        <f>Table13[[#This Row],[Pt/minuut]]*90</f>
        <v>45.9</v>
      </c>
      <c r="W28" s="60">
        <f>ROUND(Table13[[#This Row],[Prijs]]/Table13[[#This Row],['#punten]],0)</f>
        <v>2729</v>
      </c>
      <c r="X28" s="61">
        <f>ROUND((Table13[[#This Row],[Goals]]+Table13[[#This Row],[Asissts]])/(Table13[[#This Row],['#minuten]]/90),2)</f>
        <v>0.1</v>
      </c>
    </row>
    <row r="29" spans="1:24" x14ac:dyDescent="0.2">
      <c r="A29" s="11" t="s">
        <v>520</v>
      </c>
      <c r="B29" s="21" t="s">
        <v>239</v>
      </c>
      <c r="C29" s="22">
        <v>1250000</v>
      </c>
      <c r="D29" s="23" t="s">
        <v>135</v>
      </c>
      <c r="E29" s="23">
        <v>20</v>
      </c>
      <c r="F29" s="23" t="s">
        <v>141</v>
      </c>
      <c r="G29" s="24">
        <v>656</v>
      </c>
      <c r="H29" s="25">
        <v>358</v>
      </c>
      <c r="I29" s="25">
        <f>ROUND((Table13[[#This Row],[laatste 5 wed.]]/Table13[[#This Row],['#punten]])*100,1)</f>
        <v>54.6</v>
      </c>
      <c r="J29" s="23">
        <v>13</v>
      </c>
      <c r="K29" s="23">
        <v>9</v>
      </c>
      <c r="L29" s="23">
        <v>749</v>
      </c>
      <c r="M29" s="23">
        <v>251</v>
      </c>
      <c r="N29" s="23">
        <f>ROUND(Table13[[#This Row],[Min laatste 5]]/Table13[[#This Row],['#minuten]]*100,1)</f>
        <v>33.5</v>
      </c>
      <c r="O29" s="23">
        <v>4</v>
      </c>
      <c r="P29" s="23">
        <v>0</v>
      </c>
      <c r="Q29" s="45">
        <v>0</v>
      </c>
      <c r="R29" s="23">
        <v>0</v>
      </c>
      <c r="S29" s="23">
        <v>1</v>
      </c>
      <c r="T29" s="26">
        <f>ROUND(Table13[[#This Row],['#punten]]/Table13[[#This Row],['#Wed]],2)</f>
        <v>50.46</v>
      </c>
      <c r="U29" s="24">
        <f>ROUND(Table13[[#This Row],['#punten]]/Table13[[#This Row],['#minuten]],2)</f>
        <v>0.88</v>
      </c>
      <c r="V29" s="23">
        <f>Table13[[#This Row],[Pt/minuut]]*90</f>
        <v>79.2</v>
      </c>
      <c r="W29" s="23">
        <f>ROUND(Table13[[#This Row],[Prijs]]/Table13[[#This Row],['#punten]],0)</f>
        <v>1905</v>
      </c>
      <c r="X29" s="27">
        <f>ROUND((Table13[[#This Row],[Goals]]+Table13[[#This Row],[Asissts]])/(Table13[[#This Row],['#minuten]]/90),2)</f>
        <v>0.48</v>
      </c>
    </row>
    <row r="30" spans="1:24" x14ac:dyDescent="0.2">
      <c r="A30" s="11" t="s">
        <v>366</v>
      </c>
      <c r="B30" s="21" t="s">
        <v>239</v>
      </c>
      <c r="C30" s="22">
        <v>750000</v>
      </c>
      <c r="D30" s="23" t="s">
        <v>135</v>
      </c>
      <c r="E30" s="23">
        <v>22</v>
      </c>
      <c r="F30" s="23" t="s">
        <v>167</v>
      </c>
      <c r="G30" s="24">
        <v>356</v>
      </c>
      <c r="H30" s="25">
        <v>158</v>
      </c>
      <c r="I30" s="25">
        <f>ROUND((Table13[[#This Row],[laatste 5 wed.]]/Table13[[#This Row],['#punten]])*100,1)</f>
        <v>44.4</v>
      </c>
      <c r="J30" s="23">
        <v>14</v>
      </c>
      <c r="K30" s="23">
        <v>9</v>
      </c>
      <c r="L30" s="23">
        <v>757</v>
      </c>
      <c r="M30" s="23">
        <v>313</v>
      </c>
      <c r="N30" s="23">
        <f>ROUND(Table13[[#This Row],[Min laatste 5]]/Table13[[#This Row],['#minuten]]*100,1)</f>
        <v>41.3</v>
      </c>
      <c r="O30" s="23">
        <v>1</v>
      </c>
      <c r="P30" s="23">
        <v>0</v>
      </c>
      <c r="Q30" s="45">
        <v>2</v>
      </c>
      <c r="R30" s="23">
        <v>0</v>
      </c>
      <c r="S30" s="23">
        <v>1</v>
      </c>
      <c r="T30" s="26">
        <f>ROUND(Table13[[#This Row],['#punten]]/Table13[[#This Row],['#Wed]],2)</f>
        <v>25.43</v>
      </c>
      <c r="U30" s="24">
        <f>ROUND(Table13[[#This Row],['#punten]]/Table13[[#This Row],['#minuten]],2)</f>
        <v>0.47</v>
      </c>
      <c r="V30" s="23">
        <f>Table13[[#This Row],[Pt/minuut]]*90</f>
        <v>42.3</v>
      </c>
      <c r="W30" s="23">
        <f>ROUND(Table13[[#This Row],[Prijs]]/Table13[[#This Row],['#punten]],0)</f>
        <v>2107</v>
      </c>
      <c r="X30" s="27">
        <f>ROUND((Table13[[#This Row],[Goals]]+Table13[[#This Row],[Asissts]])/(Table13[[#This Row],['#minuten]]/90),2)</f>
        <v>0.12</v>
      </c>
    </row>
    <row r="31" spans="1:24" x14ac:dyDescent="0.2">
      <c r="A31" s="11" t="s">
        <v>241</v>
      </c>
      <c r="B31" s="28" t="s">
        <v>239</v>
      </c>
      <c r="C31" s="29">
        <v>1500000</v>
      </c>
      <c r="D31" s="30" t="s">
        <v>135</v>
      </c>
      <c r="E31" s="30">
        <v>25</v>
      </c>
      <c r="F31" s="30" t="s">
        <v>179</v>
      </c>
      <c r="G31" s="31">
        <v>746</v>
      </c>
      <c r="H31" s="32">
        <v>94</v>
      </c>
      <c r="I31" s="32">
        <f>ROUND((Table13[[#This Row],[laatste 5 wed.]]/Table13[[#This Row],['#punten]])*100,1)</f>
        <v>12.6</v>
      </c>
      <c r="J31" s="30">
        <v>16</v>
      </c>
      <c r="K31" s="30">
        <v>16</v>
      </c>
      <c r="L31" s="30">
        <v>1351</v>
      </c>
      <c r="M31" s="30">
        <v>428</v>
      </c>
      <c r="N31" s="30">
        <f>ROUND(Table13[[#This Row],[Min laatste 5]]/Table13[[#This Row],['#minuten]]*100,1)</f>
        <v>31.7</v>
      </c>
      <c r="O31" s="30">
        <v>4</v>
      </c>
      <c r="P31" s="30">
        <v>2</v>
      </c>
      <c r="Q31" s="48">
        <v>2</v>
      </c>
      <c r="R31" s="30">
        <v>0</v>
      </c>
      <c r="S31" s="30">
        <v>1</v>
      </c>
      <c r="T31" s="33">
        <f>ROUND(Table13[[#This Row],['#punten]]/Table13[[#This Row],['#Wed]],2)</f>
        <v>46.63</v>
      </c>
      <c r="U31" s="31">
        <f>ROUND(Table13[[#This Row],['#punten]]/Table13[[#This Row],['#minuten]],2)</f>
        <v>0.55000000000000004</v>
      </c>
      <c r="V31" s="30">
        <f>Table13[[#This Row],[Pt/minuut]]*90</f>
        <v>49.500000000000007</v>
      </c>
      <c r="W31" s="30">
        <f>ROUND(Table13[[#This Row],[Prijs]]/Table13[[#This Row],['#punten]],0)</f>
        <v>2011</v>
      </c>
      <c r="X31" s="34">
        <f>ROUND((Table13[[#This Row],[Goals]]+Table13[[#This Row],[Asissts]])/(Table13[[#This Row],['#minuten]]/90),2)</f>
        <v>0.4</v>
      </c>
    </row>
    <row r="32" spans="1:24" x14ac:dyDescent="0.2">
      <c r="A32" s="11" t="s">
        <v>242</v>
      </c>
      <c r="B32" s="21" t="s">
        <v>239</v>
      </c>
      <c r="C32" s="22">
        <v>1250000</v>
      </c>
      <c r="D32" s="23" t="s">
        <v>135</v>
      </c>
      <c r="E32" s="23">
        <v>30</v>
      </c>
      <c r="F32" s="23" t="s">
        <v>200</v>
      </c>
      <c r="G32" s="24">
        <v>594</v>
      </c>
      <c r="H32" s="25">
        <v>174</v>
      </c>
      <c r="I32" s="25">
        <f>ROUND((Table13[[#This Row],[laatste 5 wed.]]/Table13[[#This Row],['#punten]])*100,1)</f>
        <v>29.3</v>
      </c>
      <c r="J32" s="23">
        <v>16</v>
      </c>
      <c r="K32" s="23">
        <v>12</v>
      </c>
      <c r="L32" s="23">
        <v>979</v>
      </c>
      <c r="M32" s="23">
        <v>376</v>
      </c>
      <c r="N32" s="23">
        <f>ROUND(Table13[[#This Row],[Min laatste 5]]/Table13[[#This Row],['#minuten]]*100,1)</f>
        <v>38.4</v>
      </c>
      <c r="O32" s="23">
        <v>3</v>
      </c>
      <c r="P32" s="23">
        <v>2</v>
      </c>
      <c r="Q32" s="45">
        <v>4</v>
      </c>
      <c r="R32" s="23">
        <v>0</v>
      </c>
      <c r="S32" s="23">
        <v>1</v>
      </c>
      <c r="T32" s="26">
        <f>ROUND(Table13[[#This Row],['#punten]]/Table13[[#This Row],['#Wed]],2)</f>
        <v>37.130000000000003</v>
      </c>
      <c r="U32" s="24">
        <f>ROUND(Table13[[#This Row],['#punten]]/Table13[[#This Row],['#minuten]],2)</f>
        <v>0.61</v>
      </c>
      <c r="V32" s="23">
        <f>Table13[[#This Row],[Pt/minuut]]*90</f>
        <v>54.9</v>
      </c>
      <c r="W32" s="23">
        <f>ROUND(Table13[[#This Row],[Prijs]]/Table13[[#This Row],['#punten]],0)</f>
        <v>2104</v>
      </c>
      <c r="X32" s="27">
        <f>ROUND((Table13[[#This Row],[Goals]]+Table13[[#This Row],[Asissts]])/(Table13[[#This Row],['#minuten]]/90),2)</f>
        <v>0.46</v>
      </c>
    </row>
    <row r="33" spans="1:24" x14ac:dyDescent="0.2">
      <c r="A33" s="11" t="s">
        <v>258</v>
      </c>
      <c r="B33" s="28" t="s">
        <v>10</v>
      </c>
      <c r="C33" s="29">
        <v>1000000</v>
      </c>
      <c r="D33" s="30" t="s">
        <v>135</v>
      </c>
      <c r="E33" s="30">
        <v>21</v>
      </c>
      <c r="F33" s="30" t="s">
        <v>141</v>
      </c>
      <c r="G33" s="31">
        <v>676</v>
      </c>
      <c r="H33" s="32">
        <v>296</v>
      </c>
      <c r="I33" s="32">
        <f>ROUND((Table13[[#This Row],[laatste 5 wed.]]/Table13[[#This Row],['#punten]])*100,1)</f>
        <v>43.8</v>
      </c>
      <c r="J33" s="30">
        <v>16</v>
      </c>
      <c r="K33" s="30">
        <v>14</v>
      </c>
      <c r="L33" s="30">
        <v>1043</v>
      </c>
      <c r="M33" s="30">
        <v>372</v>
      </c>
      <c r="N33" s="30">
        <f>ROUND(Table13[[#This Row],[Min laatste 5]]/Table13[[#This Row],['#minuten]]*100,1)</f>
        <v>35.700000000000003</v>
      </c>
      <c r="O33" s="30">
        <v>2</v>
      </c>
      <c r="P33" s="30">
        <v>1</v>
      </c>
      <c r="Q33" s="48">
        <v>1</v>
      </c>
      <c r="R33" s="30">
        <v>0</v>
      </c>
      <c r="S33" s="30">
        <v>2</v>
      </c>
      <c r="T33" s="33">
        <f>ROUND(Table13[[#This Row],['#punten]]/Table13[[#This Row],['#Wed]],2)</f>
        <v>42.25</v>
      </c>
      <c r="U33" s="31">
        <f>ROUND(Table13[[#This Row],['#punten]]/Table13[[#This Row],['#minuten]],2)</f>
        <v>0.65</v>
      </c>
      <c r="V33" s="30">
        <f>Table13[[#This Row],[Pt/minuut]]*90</f>
        <v>58.5</v>
      </c>
      <c r="W33" s="30">
        <f>ROUND(Table13[[#This Row],[Prijs]]/Table13[[#This Row],['#punten]],0)</f>
        <v>1479</v>
      </c>
      <c r="X33" s="34">
        <f>ROUND((Table13[[#This Row],[Goals]]+Table13[[#This Row],[Asissts]])/(Table13[[#This Row],['#minuten]]/90),2)</f>
        <v>0.26</v>
      </c>
    </row>
    <row r="34" spans="1:24" x14ac:dyDescent="0.2">
      <c r="A34" s="11" t="s">
        <v>255</v>
      </c>
      <c r="B34" s="21" t="s">
        <v>10</v>
      </c>
      <c r="C34" s="22">
        <v>1750000</v>
      </c>
      <c r="D34" s="23" t="s">
        <v>135</v>
      </c>
      <c r="E34" s="23">
        <v>26</v>
      </c>
      <c r="F34" s="23" t="s">
        <v>177</v>
      </c>
      <c r="G34" s="24">
        <v>682</v>
      </c>
      <c r="H34" s="25">
        <v>218</v>
      </c>
      <c r="I34" s="25">
        <f>ROUND((Table13[[#This Row],[laatste 5 wed.]]/Table13[[#This Row],['#punten]])*100,1)</f>
        <v>32</v>
      </c>
      <c r="J34" s="23">
        <v>14</v>
      </c>
      <c r="K34" s="23">
        <v>11</v>
      </c>
      <c r="L34" s="23">
        <v>954</v>
      </c>
      <c r="M34" s="23">
        <v>339</v>
      </c>
      <c r="N34" s="23">
        <f>ROUND(Table13[[#This Row],[Min laatste 5]]/Table13[[#This Row],['#minuten]]*100,1)</f>
        <v>35.5</v>
      </c>
      <c r="O34" s="23">
        <v>5</v>
      </c>
      <c r="P34" s="23">
        <v>0</v>
      </c>
      <c r="Q34" s="45">
        <v>1</v>
      </c>
      <c r="R34" s="23">
        <v>0</v>
      </c>
      <c r="S34" s="23">
        <v>1</v>
      </c>
      <c r="T34" s="26">
        <f>ROUND(Table13[[#This Row],['#punten]]/Table13[[#This Row],['#Wed]],2)</f>
        <v>48.71</v>
      </c>
      <c r="U34" s="24">
        <f>ROUND(Table13[[#This Row],['#punten]]/Table13[[#This Row],['#minuten]],2)</f>
        <v>0.71</v>
      </c>
      <c r="V34" s="23">
        <f>Table13[[#This Row],[Pt/minuut]]*90</f>
        <v>63.9</v>
      </c>
      <c r="W34" s="23">
        <f>ROUND(Table13[[#This Row],[Prijs]]/Table13[[#This Row],['#punten]],0)</f>
        <v>2566</v>
      </c>
      <c r="X34" s="27">
        <f>ROUND((Table13[[#This Row],[Goals]]+Table13[[#This Row],[Asissts]])/(Table13[[#This Row],['#minuten]]/90),2)</f>
        <v>0.47</v>
      </c>
    </row>
    <row r="35" spans="1:24" x14ac:dyDescent="0.2">
      <c r="A35" s="11" t="s">
        <v>259</v>
      </c>
      <c r="B35" s="21" t="s">
        <v>260</v>
      </c>
      <c r="C35" s="22">
        <v>1500000</v>
      </c>
      <c r="D35" s="23" t="s">
        <v>135</v>
      </c>
      <c r="E35" s="23">
        <v>25</v>
      </c>
      <c r="F35" s="23" t="s">
        <v>141</v>
      </c>
      <c r="G35" s="24">
        <v>988</v>
      </c>
      <c r="H35" s="25">
        <v>574</v>
      </c>
      <c r="I35" s="25">
        <f>ROUND((Table13[[#This Row],[laatste 5 wed.]]/Table13[[#This Row],['#punten]])*100,1)</f>
        <v>58.1</v>
      </c>
      <c r="J35" s="23">
        <v>14</v>
      </c>
      <c r="K35" s="23">
        <v>10</v>
      </c>
      <c r="L35" s="23">
        <v>904</v>
      </c>
      <c r="M35" s="23">
        <v>262</v>
      </c>
      <c r="N35" s="23">
        <f>ROUND(Table13[[#This Row],[Min laatste 5]]/Table13[[#This Row],['#minuten]]*100,1)</f>
        <v>29</v>
      </c>
      <c r="O35" s="23">
        <v>5</v>
      </c>
      <c r="P35" s="23">
        <v>2</v>
      </c>
      <c r="Q35" s="45">
        <v>2</v>
      </c>
      <c r="R35" s="23">
        <v>0</v>
      </c>
      <c r="S35" s="23">
        <v>1</v>
      </c>
      <c r="T35" s="26">
        <f>ROUND(Table13[[#This Row],['#punten]]/Table13[[#This Row],['#Wed]],2)</f>
        <v>70.569999999999993</v>
      </c>
      <c r="U35" s="24">
        <f>ROUND(Table13[[#This Row],['#punten]]/Table13[[#This Row],['#minuten]],2)</f>
        <v>1.0900000000000001</v>
      </c>
      <c r="V35" s="23">
        <f>Table13[[#This Row],[Pt/minuut]]*90</f>
        <v>98.100000000000009</v>
      </c>
      <c r="W35" s="23">
        <f>ROUND(Table13[[#This Row],[Prijs]]/Table13[[#This Row],['#punten]],0)</f>
        <v>1518</v>
      </c>
      <c r="X35" s="27">
        <f>ROUND((Table13[[#This Row],[Goals]]+Table13[[#This Row],[Asissts]])/(Table13[[#This Row],['#minuten]]/90),2)</f>
        <v>0.7</v>
      </c>
    </row>
    <row r="36" spans="1:24" x14ac:dyDescent="0.2">
      <c r="A36" s="11" t="s">
        <v>261</v>
      </c>
      <c r="B36" s="28" t="s">
        <v>260</v>
      </c>
      <c r="C36" s="29">
        <v>2000000</v>
      </c>
      <c r="D36" s="30" t="s">
        <v>135</v>
      </c>
      <c r="E36" s="30">
        <v>31</v>
      </c>
      <c r="F36" s="30" t="s">
        <v>200</v>
      </c>
      <c r="G36" s="31">
        <v>938</v>
      </c>
      <c r="H36" s="32">
        <v>328</v>
      </c>
      <c r="I36" s="32">
        <f>ROUND((Table13[[#This Row],[laatste 5 wed.]]/Table13[[#This Row],['#punten]])*100,1)</f>
        <v>35</v>
      </c>
      <c r="J36" s="30">
        <v>14</v>
      </c>
      <c r="K36" s="30">
        <v>12</v>
      </c>
      <c r="L36" s="30">
        <v>1055</v>
      </c>
      <c r="M36" s="30">
        <v>347</v>
      </c>
      <c r="N36" s="30">
        <f>ROUND(Table13[[#This Row],[Min laatste 5]]/Table13[[#This Row],['#minuten]]*100,1)</f>
        <v>32.9</v>
      </c>
      <c r="O36" s="30">
        <v>6</v>
      </c>
      <c r="P36" s="30">
        <v>2</v>
      </c>
      <c r="Q36" s="48">
        <v>0</v>
      </c>
      <c r="R36" s="30">
        <v>0</v>
      </c>
      <c r="S36" s="30">
        <v>2</v>
      </c>
      <c r="T36" s="33">
        <f>ROUND(Table13[[#This Row],['#punten]]/Table13[[#This Row],['#Wed]],2)</f>
        <v>67</v>
      </c>
      <c r="U36" s="31">
        <f>ROUND(Table13[[#This Row],['#punten]]/Table13[[#This Row],['#minuten]],2)</f>
        <v>0.89</v>
      </c>
      <c r="V36" s="30">
        <f>Table13[[#This Row],[Pt/minuut]]*90</f>
        <v>80.099999999999994</v>
      </c>
      <c r="W36" s="30">
        <f>ROUND(Table13[[#This Row],[Prijs]]/Table13[[#This Row],['#punten]],0)</f>
        <v>2132</v>
      </c>
      <c r="X36" s="34">
        <f>ROUND((Table13[[#This Row],[Goals]]+Table13[[#This Row],[Asissts]])/(Table13[[#This Row],['#minuten]]/90),2)</f>
        <v>0.68</v>
      </c>
    </row>
    <row r="37" spans="1:24" x14ac:dyDescent="0.2">
      <c r="A37" s="11" t="s">
        <v>270</v>
      </c>
      <c r="B37" s="51" t="s">
        <v>11</v>
      </c>
      <c r="C37" s="52">
        <v>3500000</v>
      </c>
      <c r="D37" s="53" t="s">
        <v>135</v>
      </c>
      <c r="E37" s="53">
        <v>20</v>
      </c>
      <c r="F37" s="53" t="s">
        <v>167</v>
      </c>
      <c r="G37" s="54">
        <v>1068</v>
      </c>
      <c r="H37" s="55">
        <v>398</v>
      </c>
      <c r="I37" s="55">
        <f>ROUND((Table13[[#This Row],[laatste 5 wed.]]/Table13[[#This Row],['#punten]])*100,1)</f>
        <v>37.299999999999997</v>
      </c>
      <c r="J37" s="53">
        <v>16</v>
      </c>
      <c r="K37" s="53">
        <v>14</v>
      </c>
      <c r="L37" s="53">
        <v>1179</v>
      </c>
      <c r="M37" s="53">
        <v>429</v>
      </c>
      <c r="N37" s="53">
        <f>ROUND(Table13[[#This Row],[Min laatste 5]]/Table13[[#This Row],['#minuten]]*100,1)</f>
        <v>36.4</v>
      </c>
      <c r="O37" s="53">
        <v>3</v>
      </c>
      <c r="P37" s="53">
        <v>8</v>
      </c>
      <c r="Q37" s="85">
        <v>1</v>
      </c>
      <c r="R37" s="53">
        <v>0</v>
      </c>
      <c r="S37" s="53">
        <v>9</v>
      </c>
      <c r="T37" s="56">
        <f>ROUND(Table13[[#This Row],['#punten]]/Table13[[#This Row],['#Wed]],2)</f>
        <v>66.75</v>
      </c>
      <c r="U37" s="54">
        <f>ROUND(Table13[[#This Row],['#punten]]/Table13[[#This Row],['#minuten]],2)</f>
        <v>0.91</v>
      </c>
      <c r="V37" s="53">
        <f>Table13[[#This Row],[Pt/minuut]]*90</f>
        <v>81.900000000000006</v>
      </c>
      <c r="W37" s="53">
        <f>ROUND(Table13[[#This Row],[Prijs]]/Table13[[#This Row],['#punten]],0)</f>
        <v>3277</v>
      </c>
      <c r="X37" s="57">
        <f>ROUND((Table13[[#This Row],[Goals]]+Table13[[#This Row],[Asissts]])/(Table13[[#This Row],['#minuten]]/90),2)</f>
        <v>0.84</v>
      </c>
    </row>
    <row r="38" spans="1:24" x14ac:dyDescent="0.2">
      <c r="A38" s="11" t="s">
        <v>510</v>
      </c>
      <c r="B38" s="28" t="s">
        <v>11</v>
      </c>
      <c r="C38" s="29">
        <v>3000000</v>
      </c>
      <c r="D38" s="30" t="s">
        <v>135</v>
      </c>
      <c r="E38" s="30">
        <v>20</v>
      </c>
      <c r="F38" s="30" t="s">
        <v>175</v>
      </c>
      <c r="G38" s="31">
        <v>528</v>
      </c>
      <c r="H38" s="32">
        <v>104</v>
      </c>
      <c r="I38" s="32">
        <f>ROUND((Table13[[#This Row],[laatste 5 wed.]]/Table13[[#This Row],['#punten]])*100,1)</f>
        <v>19.7</v>
      </c>
      <c r="J38" s="30">
        <v>13</v>
      </c>
      <c r="K38" s="30">
        <v>0</v>
      </c>
      <c r="L38" s="30">
        <v>190</v>
      </c>
      <c r="M38" s="30">
        <v>64</v>
      </c>
      <c r="N38" s="30">
        <f>ROUND(Table13[[#This Row],[Min laatste 5]]/Table13[[#This Row],['#minuten]]*100,1)</f>
        <v>33.700000000000003</v>
      </c>
      <c r="O38" s="30">
        <v>4</v>
      </c>
      <c r="P38" s="30">
        <v>1</v>
      </c>
      <c r="Q38" s="48">
        <v>2</v>
      </c>
      <c r="R38" s="30">
        <v>0</v>
      </c>
      <c r="S38" s="30">
        <v>0</v>
      </c>
      <c r="T38" s="33">
        <f>ROUND(Table13[[#This Row],['#punten]]/Table13[[#This Row],['#Wed]],2)</f>
        <v>40.619999999999997</v>
      </c>
      <c r="U38" s="31">
        <f>ROUND(Table13[[#This Row],['#punten]]/Table13[[#This Row],['#minuten]],2)</f>
        <v>2.78</v>
      </c>
      <c r="V38" s="30">
        <f>Table13[[#This Row],[Pt/minuut]]*90</f>
        <v>250.2</v>
      </c>
      <c r="W38" s="30">
        <f>ROUND(Table13[[#This Row],[Prijs]]/Table13[[#This Row],['#punten]],0)</f>
        <v>5682</v>
      </c>
      <c r="X38" s="34">
        <f>ROUND((Table13[[#This Row],[Goals]]+Table13[[#This Row],[Asissts]])/(Table13[[#This Row],['#minuten]]/90),2)</f>
        <v>2.37</v>
      </c>
    </row>
    <row r="39" spans="1:24" x14ac:dyDescent="0.2">
      <c r="A39" s="11" t="s">
        <v>371</v>
      </c>
      <c r="B39" s="28" t="s">
        <v>11</v>
      </c>
      <c r="C39" s="29">
        <v>2000000</v>
      </c>
      <c r="D39" s="30" t="s">
        <v>135</v>
      </c>
      <c r="E39" s="30">
        <v>22</v>
      </c>
      <c r="F39" s="30" t="s">
        <v>167</v>
      </c>
      <c r="G39" s="31">
        <v>476</v>
      </c>
      <c r="H39" s="32">
        <v>46</v>
      </c>
      <c r="I39" s="32">
        <f>ROUND((Table13[[#This Row],[laatste 5 wed.]]/Table13[[#This Row],['#punten]])*100,1)</f>
        <v>9.6999999999999993</v>
      </c>
      <c r="J39" s="30">
        <v>14</v>
      </c>
      <c r="K39" s="30">
        <v>2</v>
      </c>
      <c r="L39" s="30">
        <v>332</v>
      </c>
      <c r="M39" s="30">
        <v>121</v>
      </c>
      <c r="N39" s="30">
        <f>ROUND(Table13[[#This Row],[Min laatste 5]]/Table13[[#This Row],['#minuten]]*100,1)</f>
        <v>36.4</v>
      </c>
      <c r="O39" s="30">
        <v>3</v>
      </c>
      <c r="P39" s="30">
        <v>1</v>
      </c>
      <c r="Q39" s="48">
        <v>0</v>
      </c>
      <c r="R39" s="30">
        <v>0</v>
      </c>
      <c r="S39" s="30">
        <v>0</v>
      </c>
      <c r="T39" s="33">
        <f>ROUND(Table13[[#This Row],['#punten]]/Table13[[#This Row],['#Wed]],2)</f>
        <v>34</v>
      </c>
      <c r="U39" s="31">
        <f>ROUND(Table13[[#This Row],['#punten]]/Table13[[#This Row],['#minuten]],2)</f>
        <v>1.43</v>
      </c>
      <c r="V39" s="30">
        <f>Table13[[#This Row],[Pt/minuut]]*90</f>
        <v>128.69999999999999</v>
      </c>
      <c r="W39" s="30">
        <f>ROUND(Table13[[#This Row],[Prijs]]/Table13[[#This Row],['#punten]],0)</f>
        <v>4202</v>
      </c>
      <c r="X39" s="34">
        <f>ROUND((Table13[[#This Row],[Goals]]+Table13[[#This Row],[Asissts]])/(Table13[[#This Row],['#minuten]]/90),2)</f>
        <v>1.08</v>
      </c>
    </row>
    <row r="40" spans="1:24" x14ac:dyDescent="0.2">
      <c r="A40" s="11" t="s">
        <v>34</v>
      </c>
      <c r="B40" s="51" t="s">
        <v>11</v>
      </c>
      <c r="C40" s="52">
        <v>3000000</v>
      </c>
      <c r="D40" s="53" t="s">
        <v>135</v>
      </c>
      <c r="E40" s="53">
        <v>24</v>
      </c>
      <c r="F40" s="53" t="s">
        <v>141</v>
      </c>
      <c r="G40" s="54">
        <v>564</v>
      </c>
      <c r="H40" s="55">
        <v>0</v>
      </c>
      <c r="I40" s="55">
        <f>ROUND((Table13[[#This Row],[laatste 5 wed.]]/Table13[[#This Row],['#punten]])*100,1)</f>
        <v>0</v>
      </c>
      <c r="J40" s="53">
        <v>8</v>
      </c>
      <c r="K40" s="53">
        <v>7</v>
      </c>
      <c r="L40" s="53">
        <v>495</v>
      </c>
      <c r="M40" s="53">
        <v>0</v>
      </c>
      <c r="N40" s="53">
        <f>ROUND(Table13[[#This Row],[Min laatste 5]]/Table13[[#This Row],['#minuten]]*100,1)</f>
        <v>0</v>
      </c>
      <c r="O40" s="53">
        <v>4</v>
      </c>
      <c r="P40" s="53">
        <v>1</v>
      </c>
      <c r="Q40" s="85">
        <v>0</v>
      </c>
      <c r="R40" s="53">
        <v>0</v>
      </c>
      <c r="S40" s="53">
        <v>5</v>
      </c>
      <c r="T40" s="56">
        <f>ROUND(Table13[[#This Row],['#punten]]/Table13[[#This Row],['#Wed]],2)</f>
        <v>70.5</v>
      </c>
      <c r="U40" s="54">
        <f>ROUND(Table13[[#This Row],['#punten]]/Table13[[#This Row],['#minuten]],2)</f>
        <v>1.1399999999999999</v>
      </c>
      <c r="V40" s="53">
        <f>Table13[[#This Row],[Pt/minuut]]*90</f>
        <v>102.6</v>
      </c>
      <c r="W40" s="53">
        <f>ROUND(Table13[[#This Row],[Prijs]]/Table13[[#This Row],['#punten]],0)</f>
        <v>5319</v>
      </c>
      <c r="X40" s="57">
        <f>ROUND((Table13[[#This Row],[Goals]]+Table13[[#This Row],[Asissts]])/(Table13[[#This Row],['#minuten]]/90),2)</f>
        <v>0.91</v>
      </c>
    </row>
    <row r="41" spans="1:24" x14ac:dyDescent="0.2">
      <c r="A41" s="11" t="s">
        <v>352</v>
      </c>
      <c r="B41" s="51" t="s">
        <v>11</v>
      </c>
      <c r="C41" s="52">
        <v>3000000</v>
      </c>
      <c r="D41" s="53" t="s">
        <v>135</v>
      </c>
      <c r="E41" s="53">
        <v>28</v>
      </c>
      <c r="F41" s="53" t="s">
        <v>192</v>
      </c>
      <c r="G41" s="54">
        <v>770</v>
      </c>
      <c r="H41" s="55">
        <v>156</v>
      </c>
      <c r="I41" s="55">
        <f>ROUND((Table13[[#This Row],[laatste 5 wed.]]/Table13[[#This Row],['#punten]])*100,1)</f>
        <v>20.3</v>
      </c>
      <c r="J41" s="53">
        <v>5</v>
      </c>
      <c r="K41" s="53">
        <v>2</v>
      </c>
      <c r="L41" s="53">
        <v>615</v>
      </c>
      <c r="M41" s="53">
        <v>135</v>
      </c>
      <c r="N41" s="53">
        <f>ROUND(Table13[[#This Row],[Min laatste 5]]/Table13[[#This Row],['#minuten]]*100,1)</f>
        <v>22</v>
      </c>
      <c r="O41" s="53">
        <v>5</v>
      </c>
      <c r="P41" s="53">
        <v>2</v>
      </c>
      <c r="Q41" s="85">
        <v>0</v>
      </c>
      <c r="R41" s="53">
        <v>0</v>
      </c>
      <c r="S41" s="53">
        <v>6</v>
      </c>
      <c r="T41" s="56">
        <f>ROUND(Table13[[#This Row],['#punten]]/Table13[[#This Row],['#Wed]],2)</f>
        <v>154</v>
      </c>
      <c r="U41" s="54">
        <f>ROUND(Table13[[#This Row],['#punten]]/Table13[[#This Row],['#minuten]],2)</f>
        <v>1.25</v>
      </c>
      <c r="V41" s="53">
        <f>Table13[[#This Row],[Pt/minuut]]*90</f>
        <v>112.5</v>
      </c>
      <c r="W41" s="53">
        <f>ROUND(Table13[[#This Row],[Prijs]]/Table13[[#This Row],['#punten]],0)</f>
        <v>3896</v>
      </c>
      <c r="X41" s="57">
        <f>ROUND((Table13[[#This Row],[Goals]]+Table13[[#This Row],[Asissts]])/(Table13[[#This Row],['#minuten]]/90),2)</f>
        <v>1.02</v>
      </c>
    </row>
    <row r="42" spans="1:24" x14ac:dyDescent="0.2">
      <c r="A42" s="11" t="s">
        <v>269</v>
      </c>
      <c r="B42" s="28" t="s">
        <v>11</v>
      </c>
      <c r="C42" s="29">
        <v>5500000</v>
      </c>
      <c r="D42" s="30" t="s">
        <v>135</v>
      </c>
      <c r="E42" s="30">
        <v>33</v>
      </c>
      <c r="F42" s="30" t="s">
        <v>141</v>
      </c>
      <c r="G42" s="31">
        <v>1640</v>
      </c>
      <c r="H42" s="32">
        <v>454</v>
      </c>
      <c r="I42" s="32">
        <f>ROUND((Table13[[#This Row],[laatste 5 wed.]]/Table13[[#This Row],['#punten]])*100,1)</f>
        <v>27.7</v>
      </c>
      <c r="J42" s="30">
        <v>16</v>
      </c>
      <c r="K42" s="30">
        <v>16</v>
      </c>
      <c r="L42" s="30">
        <v>1250</v>
      </c>
      <c r="M42" s="30">
        <v>386</v>
      </c>
      <c r="N42" s="30">
        <f>ROUND(Table13[[#This Row],[Min laatste 5]]/Table13[[#This Row],['#minuten]]*100,1)</f>
        <v>30.9</v>
      </c>
      <c r="O42" s="30">
        <v>12</v>
      </c>
      <c r="P42" s="30">
        <v>7</v>
      </c>
      <c r="Q42" s="48">
        <v>1</v>
      </c>
      <c r="R42" s="30">
        <v>0</v>
      </c>
      <c r="S42" s="30">
        <v>11</v>
      </c>
      <c r="T42" s="33">
        <f>ROUND(Table13[[#This Row],['#punten]]/Table13[[#This Row],['#Wed]],2)</f>
        <v>102.5</v>
      </c>
      <c r="U42" s="31">
        <f>ROUND(Table13[[#This Row],['#punten]]/Table13[[#This Row],['#minuten]],2)</f>
        <v>1.31</v>
      </c>
      <c r="V42" s="30">
        <f>Table13[[#This Row],[Pt/minuut]]*90</f>
        <v>117.9</v>
      </c>
      <c r="W42" s="30">
        <f>ROUND(Table13[[#This Row],[Prijs]]/Table13[[#This Row],['#punten]],0)</f>
        <v>3354</v>
      </c>
      <c r="X42" s="34">
        <f>ROUND((Table13[[#This Row],[Goals]]+Table13[[#This Row],[Asissts]])/(Table13[[#This Row],['#minuten]]/90),2)</f>
        <v>1.37</v>
      </c>
    </row>
    <row r="43" spans="1:24" x14ac:dyDescent="0.2">
      <c r="A43" s="11" t="s">
        <v>293</v>
      </c>
      <c r="B43" s="28" t="s">
        <v>40</v>
      </c>
      <c r="C43" s="29">
        <v>1000000</v>
      </c>
      <c r="D43" s="30" t="s">
        <v>135</v>
      </c>
      <c r="E43" s="30">
        <v>22</v>
      </c>
      <c r="F43" s="30" t="s">
        <v>141</v>
      </c>
      <c r="G43" s="31">
        <v>618</v>
      </c>
      <c r="H43" s="32">
        <v>202</v>
      </c>
      <c r="I43" s="32">
        <f>ROUND((Table13[[#This Row],[laatste 5 wed.]]/Table13[[#This Row],['#punten]])*100,1)</f>
        <v>32.700000000000003</v>
      </c>
      <c r="J43" s="30">
        <v>16</v>
      </c>
      <c r="K43" s="30">
        <v>15</v>
      </c>
      <c r="L43" s="30">
        <v>1038</v>
      </c>
      <c r="M43" s="30">
        <v>346</v>
      </c>
      <c r="N43" s="30">
        <f>ROUND(Table13[[#This Row],[Min laatste 5]]/Table13[[#This Row],['#minuten]]*100,1)</f>
        <v>33.299999999999997</v>
      </c>
      <c r="O43" s="30">
        <v>1</v>
      </c>
      <c r="P43" s="30">
        <v>2</v>
      </c>
      <c r="Q43" s="48">
        <v>0</v>
      </c>
      <c r="R43" s="30">
        <v>0</v>
      </c>
      <c r="S43" s="30">
        <v>2</v>
      </c>
      <c r="T43" s="33">
        <f>ROUND(Table13[[#This Row],['#punten]]/Table13[[#This Row],['#Wed]],2)</f>
        <v>38.630000000000003</v>
      </c>
      <c r="U43" s="31">
        <f>ROUND(Table13[[#This Row],['#punten]]/Table13[[#This Row],['#minuten]],2)</f>
        <v>0.6</v>
      </c>
      <c r="V43" s="30">
        <f>Table13[[#This Row],[Pt/minuut]]*90</f>
        <v>54</v>
      </c>
      <c r="W43" s="30">
        <f>ROUND(Table13[[#This Row],[Prijs]]/Table13[[#This Row],['#punten]],0)</f>
        <v>1618</v>
      </c>
      <c r="X43" s="34">
        <f>ROUND((Table13[[#This Row],[Goals]]+Table13[[#This Row],[Asissts]])/(Table13[[#This Row],['#minuten]]/90),2)</f>
        <v>0.26</v>
      </c>
    </row>
    <row r="44" spans="1:24" x14ac:dyDescent="0.2">
      <c r="A44" s="11" t="s">
        <v>294</v>
      </c>
      <c r="B44" s="28" t="s">
        <v>40</v>
      </c>
      <c r="C44" s="29">
        <v>500000</v>
      </c>
      <c r="D44" s="30" t="s">
        <v>135</v>
      </c>
      <c r="E44" s="30">
        <v>24</v>
      </c>
      <c r="F44" s="30" t="s">
        <v>141</v>
      </c>
      <c r="G44" s="31">
        <v>254</v>
      </c>
      <c r="H44" s="32">
        <v>28</v>
      </c>
      <c r="I44" s="32">
        <f>ROUND((Table13[[#This Row],[laatste 5 wed.]]/Table13[[#This Row],['#punten]])*100,1)</f>
        <v>11</v>
      </c>
      <c r="J44" s="30">
        <v>11</v>
      </c>
      <c r="K44" s="30">
        <v>6</v>
      </c>
      <c r="L44" s="30">
        <v>482</v>
      </c>
      <c r="M44" s="30">
        <v>57</v>
      </c>
      <c r="N44" s="30">
        <f>ROUND(Table13[[#This Row],[Min laatste 5]]/Table13[[#This Row],['#minuten]]*100,1)</f>
        <v>11.8</v>
      </c>
      <c r="O44" s="30">
        <v>1</v>
      </c>
      <c r="P44" s="30">
        <v>0</v>
      </c>
      <c r="Q44" s="48">
        <v>1</v>
      </c>
      <c r="R44" s="30">
        <v>0</v>
      </c>
      <c r="S44" s="30">
        <v>0</v>
      </c>
      <c r="T44" s="33">
        <f>ROUND(Table13[[#This Row],['#punten]]/Table13[[#This Row],['#Wed]],2)</f>
        <v>23.09</v>
      </c>
      <c r="U44" s="31">
        <f>ROUND(Table13[[#This Row],['#punten]]/Table13[[#This Row],['#minuten]],2)</f>
        <v>0.53</v>
      </c>
      <c r="V44" s="30">
        <f>Table13[[#This Row],[Pt/minuut]]*90</f>
        <v>47.7</v>
      </c>
      <c r="W44" s="30">
        <f>ROUND(Table13[[#This Row],[Prijs]]/Table13[[#This Row],['#punten]],0)</f>
        <v>1969</v>
      </c>
      <c r="X44" s="34">
        <f>ROUND((Table13[[#This Row],[Goals]]+Table13[[#This Row],[Asissts]])/(Table13[[#This Row],['#minuten]]/90),2)</f>
        <v>0.19</v>
      </c>
    </row>
    <row r="45" spans="1:24" x14ac:dyDescent="0.2">
      <c r="A45" s="11" t="s">
        <v>292</v>
      </c>
      <c r="B45" s="28" t="s">
        <v>40</v>
      </c>
      <c r="C45" s="29">
        <v>750000</v>
      </c>
      <c r="D45" s="30" t="s">
        <v>135</v>
      </c>
      <c r="E45" s="30">
        <v>27</v>
      </c>
      <c r="F45" s="30" t="s">
        <v>167</v>
      </c>
      <c r="G45" s="31">
        <v>288</v>
      </c>
      <c r="H45" s="32">
        <v>56</v>
      </c>
      <c r="I45" s="32">
        <f>ROUND((Table13[[#This Row],[laatste 5 wed.]]/Table13[[#This Row],['#punten]])*100,1)</f>
        <v>19.399999999999999</v>
      </c>
      <c r="J45" s="30">
        <v>14</v>
      </c>
      <c r="K45" s="30">
        <v>8</v>
      </c>
      <c r="L45" s="30">
        <v>675</v>
      </c>
      <c r="M45" s="30">
        <v>145</v>
      </c>
      <c r="N45" s="30">
        <f>ROUND(Table13[[#This Row],[Min laatste 5]]/Table13[[#This Row],['#minuten]]*100,1)</f>
        <v>21.5</v>
      </c>
      <c r="O45" s="30">
        <v>0</v>
      </c>
      <c r="P45" s="30">
        <v>0</v>
      </c>
      <c r="Q45" s="48">
        <v>0</v>
      </c>
      <c r="R45" s="30">
        <v>0</v>
      </c>
      <c r="S45" s="30">
        <v>2</v>
      </c>
      <c r="T45" s="33">
        <f>ROUND(Table13[[#This Row],['#punten]]/Table13[[#This Row],['#Wed]],2)</f>
        <v>20.57</v>
      </c>
      <c r="U45" s="31">
        <f>ROUND(Table13[[#This Row],['#punten]]/Table13[[#This Row],['#minuten]],2)</f>
        <v>0.43</v>
      </c>
      <c r="V45" s="30">
        <f>Table13[[#This Row],[Pt/minuut]]*90</f>
        <v>38.700000000000003</v>
      </c>
      <c r="W45" s="30">
        <f>ROUND(Table13[[#This Row],[Prijs]]/Table13[[#This Row],['#punten]],0)</f>
        <v>2604</v>
      </c>
      <c r="X45" s="34">
        <f>ROUND((Table13[[#This Row],[Goals]]+Table13[[#This Row],[Asissts]])/(Table13[[#This Row],['#minuten]]/90),2)</f>
        <v>0</v>
      </c>
    </row>
    <row r="46" spans="1:24" x14ac:dyDescent="0.2">
      <c r="A46" s="11" t="s">
        <v>291</v>
      </c>
      <c r="B46" s="28" t="s">
        <v>40</v>
      </c>
      <c r="C46" s="29">
        <v>1750000</v>
      </c>
      <c r="D46" s="30" t="s">
        <v>135</v>
      </c>
      <c r="E46" s="30">
        <v>35</v>
      </c>
      <c r="F46" s="30" t="s">
        <v>141</v>
      </c>
      <c r="G46" s="31">
        <v>716</v>
      </c>
      <c r="H46" s="32">
        <v>274</v>
      </c>
      <c r="I46" s="32">
        <f>ROUND((Table13[[#This Row],[laatste 5 wed.]]/Table13[[#This Row],['#punten]])*100,1)</f>
        <v>38.299999999999997</v>
      </c>
      <c r="J46" s="30">
        <v>16</v>
      </c>
      <c r="K46" s="30">
        <v>16</v>
      </c>
      <c r="L46" s="30">
        <v>1394</v>
      </c>
      <c r="M46" s="30">
        <v>438</v>
      </c>
      <c r="N46" s="30">
        <f>ROUND(Table13[[#This Row],[Min laatste 5]]/Table13[[#This Row],['#minuten]]*100,1)</f>
        <v>31.4</v>
      </c>
      <c r="O46" s="30">
        <v>4</v>
      </c>
      <c r="P46" s="30">
        <v>0</v>
      </c>
      <c r="Q46" s="48">
        <v>3</v>
      </c>
      <c r="R46" s="30">
        <v>0</v>
      </c>
      <c r="S46" s="30">
        <v>2</v>
      </c>
      <c r="T46" s="33">
        <f>ROUND(Table13[[#This Row],['#punten]]/Table13[[#This Row],['#Wed]],2)</f>
        <v>44.75</v>
      </c>
      <c r="U46" s="31">
        <f>ROUND(Table13[[#This Row],['#punten]]/Table13[[#This Row],['#minuten]],2)</f>
        <v>0.51</v>
      </c>
      <c r="V46" s="30">
        <f>Table13[[#This Row],[Pt/minuut]]*90</f>
        <v>45.9</v>
      </c>
      <c r="W46" s="30">
        <f>ROUND(Table13[[#This Row],[Prijs]]/Table13[[#This Row],['#punten]],0)</f>
        <v>2444</v>
      </c>
      <c r="X46" s="34">
        <f>ROUND((Table13[[#This Row],[Goals]]+Table13[[#This Row],[Asissts]])/(Table13[[#This Row],['#minuten]]/90),2)</f>
        <v>0.26</v>
      </c>
    </row>
    <row r="47" spans="1:24" x14ac:dyDescent="0.2">
      <c r="A47" s="11" t="s">
        <v>297</v>
      </c>
      <c r="B47" s="28" t="s">
        <v>47</v>
      </c>
      <c r="C47" s="29">
        <v>1750000</v>
      </c>
      <c r="D47" s="30" t="s">
        <v>135</v>
      </c>
      <c r="E47" s="30">
        <v>22</v>
      </c>
      <c r="F47" s="30" t="s">
        <v>177</v>
      </c>
      <c r="G47" s="31">
        <v>348</v>
      </c>
      <c r="H47" s="32">
        <v>0</v>
      </c>
      <c r="I47" s="32">
        <f>ROUND((Table13[[#This Row],[laatste 5 wed.]]/Table13[[#This Row],['#punten]])*100,1)</f>
        <v>0</v>
      </c>
      <c r="J47" s="30">
        <v>5</v>
      </c>
      <c r="K47" s="30">
        <v>5</v>
      </c>
      <c r="L47" s="30">
        <v>377</v>
      </c>
      <c r="M47" s="30">
        <v>0</v>
      </c>
      <c r="N47" s="30">
        <f>ROUND(Table13[[#This Row],[Min laatste 5]]/Table13[[#This Row],['#minuten]]*100,1)</f>
        <v>0</v>
      </c>
      <c r="O47" s="30">
        <v>2</v>
      </c>
      <c r="P47" s="30">
        <v>1</v>
      </c>
      <c r="Q47" s="48">
        <v>0</v>
      </c>
      <c r="R47" s="30">
        <v>0</v>
      </c>
      <c r="S47" s="30">
        <v>1</v>
      </c>
      <c r="T47" s="33">
        <f>ROUND(Table13[[#This Row],['#punten]]/Table13[[#This Row],['#Wed]],2)</f>
        <v>69.599999999999994</v>
      </c>
      <c r="U47" s="31">
        <f>ROUND(Table13[[#This Row],['#punten]]/Table13[[#This Row],['#minuten]],2)</f>
        <v>0.92</v>
      </c>
      <c r="V47" s="30">
        <f>Table13[[#This Row],[Pt/minuut]]*90</f>
        <v>82.8</v>
      </c>
      <c r="W47" s="30">
        <f>ROUND(Table13[[#This Row],[Prijs]]/Table13[[#This Row],['#punten]],0)</f>
        <v>5029</v>
      </c>
      <c r="X47" s="34">
        <f>ROUND((Table13[[#This Row],[Goals]]+Table13[[#This Row],[Asissts]])/(Table13[[#This Row],['#minuten]]/90),2)</f>
        <v>0.72</v>
      </c>
    </row>
    <row r="48" spans="1:24" x14ac:dyDescent="0.2">
      <c r="A48" s="11" t="s">
        <v>298</v>
      </c>
      <c r="B48" s="28" t="s">
        <v>47</v>
      </c>
      <c r="C48" s="29">
        <v>1000000</v>
      </c>
      <c r="D48" s="30" t="s">
        <v>135</v>
      </c>
      <c r="E48" s="30">
        <v>25</v>
      </c>
      <c r="F48" s="30" t="s">
        <v>299</v>
      </c>
      <c r="G48" s="31">
        <v>374</v>
      </c>
      <c r="H48" s="32">
        <v>180</v>
      </c>
      <c r="I48" s="32">
        <f>ROUND((Table13[[#This Row],[laatste 5 wed.]]/Table13[[#This Row],['#punten]])*100,1)</f>
        <v>48.1</v>
      </c>
      <c r="J48" s="30">
        <v>15</v>
      </c>
      <c r="K48" s="30">
        <v>6</v>
      </c>
      <c r="L48" s="30">
        <v>656</v>
      </c>
      <c r="M48" s="30">
        <v>340</v>
      </c>
      <c r="N48" s="30">
        <f>ROUND(Table13[[#This Row],[Min laatste 5]]/Table13[[#This Row],['#minuten]]*100,1)</f>
        <v>51.8</v>
      </c>
      <c r="O48" s="30">
        <v>2</v>
      </c>
      <c r="P48" s="30">
        <v>1</v>
      </c>
      <c r="Q48" s="48">
        <v>1</v>
      </c>
      <c r="R48" s="30">
        <v>0</v>
      </c>
      <c r="S48" s="30">
        <v>1</v>
      </c>
      <c r="T48" s="33">
        <f>ROUND(Table13[[#This Row],['#punten]]/Table13[[#This Row],['#Wed]],2)</f>
        <v>24.93</v>
      </c>
      <c r="U48" s="31">
        <f>ROUND(Table13[[#This Row],['#punten]]/Table13[[#This Row],['#minuten]],2)</f>
        <v>0.56999999999999995</v>
      </c>
      <c r="V48" s="30">
        <f>Table13[[#This Row],[Pt/minuut]]*90</f>
        <v>51.3</v>
      </c>
      <c r="W48" s="30">
        <f>ROUND(Table13[[#This Row],[Prijs]]/Table13[[#This Row],['#punten]],0)</f>
        <v>2674</v>
      </c>
      <c r="X48" s="34">
        <f>ROUND((Table13[[#This Row],[Goals]]+Table13[[#This Row],[Asissts]])/(Table13[[#This Row],['#minuten]]/90),2)</f>
        <v>0.41</v>
      </c>
    </row>
    <row r="49" spans="1:24" x14ac:dyDescent="0.2">
      <c r="A49" s="11" t="s">
        <v>295</v>
      </c>
      <c r="B49" s="28" t="s">
        <v>47</v>
      </c>
      <c r="C49" s="29">
        <v>2500000</v>
      </c>
      <c r="D49" s="30" t="s">
        <v>135</v>
      </c>
      <c r="E49" s="30">
        <v>26</v>
      </c>
      <c r="F49" s="30" t="s">
        <v>179</v>
      </c>
      <c r="G49" s="31">
        <v>970</v>
      </c>
      <c r="H49" s="32">
        <v>406</v>
      </c>
      <c r="I49" s="32">
        <f>ROUND((Table13[[#This Row],[laatste 5 wed.]]/Table13[[#This Row],['#punten]])*100,1)</f>
        <v>41.9</v>
      </c>
      <c r="J49" s="30">
        <v>16</v>
      </c>
      <c r="K49" s="30">
        <v>15</v>
      </c>
      <c r="L49" s="30">
        <v>1314</v>
      </c>
      <c r="M49" s="30">
        <v>450</v>
      </c>
      <c r="N49" s="30">
        <f>ROUND(Table13[[#This Row],[Min laatste 5]]/Table13[[#This Row],['#minuten]]*100,1)</f>
        <v>34.200000000000003</v>
      </c>
      <c r="O49" s="30">
        <v>5</v>
      </c>
      <c r="P49" s="30">
        <v>4</v>
      </c>
      <c r="Q49" s="48">
        <v>1</v>
      </c>
      <c r="R49" s="30">
        <v>0</v>
      </c>
      <c r="S49" s="30">
        <v>4</v>
      </c>
      <c r="T49" s="33">
        <f>ROUND(Table13[[#This Row],['#punten]]/Table13[[#This Row],['#Wed]],2)</f>
        <v>60.63</v>
      </c>
      <c r="U49" s="31">
        <f>ROUND(Table13[[#This Row],['#punten]]/Table13[[#This Row],['#minuten]],2)</f>
        <v>0.74</v>
      </c>
      <c r="V49" s="30">
        <f>Table13[[#This Row],[Pt/minuut]]*90</f>
        <v>66.599999999999994</v>
      </c>
      <c r="W49" s="30">
        <f>ROUND(Table13[[#This Row],[Prijs]]/Table13[[#This Row],['#punten]],0)</f>
        <v>2577</v>
      </c>
      <c r="X49" s="34">
        <f>ROUND((Table13[[#This Row],[Goals]]+Table13[[#This Row],[Asissts]])/(Table13[[#This Row],['#minuten]]/90),2)</f>
        <v>0.62</v>
      </c>
    </row>
    <row r="50" spans="1:24" x14ac:dyDescent="0.2">
      <c r="A50" s="11" t="s">
        <v>35</v>
      </c>
      <c r="B50" s="28" t="s">
        <v>49</v>
      </c>
      <c r="C50" s="29">
        <v>3000000</v>
      </c>
      <c r="D50" s="30" t="s">
        <v>135</v>
      </c>
      <c r="E50" s="30">
        <v>21</v>
      </c>
      <c r="F50" s="30" t="s">
        <v>315</v>
      </c>
      <c r="G50" s="31">
        <v>1046</v>
      </c>
      <c r="H50" s="32">
        <v>452</v>
      </c>
      <c r="I50" s="32">
        <f>ROUND((Table13[[#This Row],[laatste 5 wed.]]/Table13[[#This Row],['#punten]])*100,1)</f>
        <v>43.2</v>
      </c>
      <c r="J50" s="30">
        <v>16</v>
      </c>
      <c r="K50" s="30">
        <v>15</v>
      </c>
      <c r="L50" s="30">
        <v>1203</v>
      </c>
      <c r="M50" s="30">
        <v>447</v>
      </c>
      <c r="N50" s="30">
        <f>ROUND(Table13[[#This Row],[Min laatste 5]]/Table13[[#This Row],['#minuten]]*100,1)</f>
        <v>37.200000000000003</v>
      </c>
      <c r="O50" s="30">
        <v>5</v>
      </c>
      <c r="P50" s="30">
        <v>6</v>
      </c>
      <c r="Q50" s="48">
        <v>3</v>
      </c>
      <c r="R50" s="30">
        <v>0</v>
      </c>
      <c r="S50" s="30">
        <v>3</v>
      </c>
      <c r="T50" s="33">
        <f>ROUND(Table13[[#This Row],['#punten]]/Table13[[#This Row],['#Wed]],2)</f>
        <v>65.38</v>
      </c>
      <c r="U50" s="31">
        <f>ROUND(Table13[[#This Row],['#punten]]/Table13[[#This Row],['#minuten]],2)</f>
        <v>0.87</v>
      </c>
      <c r="V50" s="30">
        <f>Table13[[#This Row],[Pt/minuut]]*90</f>
        <v>78.3</v>
      </c>
      <c r="W50" s="30">
        <f>ROUND(Table13[[#This Row],[Prijs]]/Table13[[#This Row],['#punten]],0)</f>
        <v>2868</v>
      </c>
      <c r="X50" s="34">
        <f>ROUND((Table13[[#This Row],[Goals]]+Table13[[#This Row],[Asissts]])/(Table13[[#This Row],['#minuten]]/90),2)</f>
        <v>0.82</v>
      </c>
    </row>
    <row r="51" spans="1:24" x14ac:dyDescent="0.2">
      <c r="A51" s="11" t="s">
        <v>316</v>
      </c>
      <c r="B51" s="28" t="s">
        <v>49</v>
      </c>
      <c r="C51" s="29">
        <v>2000000</v>
      </c>
      <c r="D51" s="30" t="s">
        <v>135</v>
      </c>
      <c r="E51" s="30">
        <v>22</v>
      </c>
      <c r="F51" s="30" t="s">
        <v>141</v>
      </c>
      <c r="G51" s="31">
        <v>932</v>
      </c>
      <c r="H51" s="32">
        <v>252</v>
      </c>
      <c r="I51" s="32">
        <f>ROUND((Table13[[#This Row],[laatste 5 wed.]]/Table13[[#This Row],['#punten]])*100,1)</f>
        <v>27</v>
      </c>
      <c r="J51" s="30">
        <v>16</v>
      </c>
      <c r="K51" s="30">
        <v>16</v>
      </c>
      <c r="L51" s="30">
        <v>1213</v>
      </c>
      <c r="M51" s="30">
        <v>329</v>
      </c>
      <c r="N51" s="30">
        <f>ROUND(Table13[[#This Row],[Min laatste 5]]/Table13[[#This Row],['#minuten]]*100,1)</f>
        <v>27.1</v>
      </c>
      <c r="O51" s="30">
        <v>2</v>
      </c>
      <c r="P51" s="30">
        <v>7</v>
      </c>
      <c r="Q51" s="48">
        <v>3</v>
      </c>
      <c r="R51" s="30">
        <v>0</v>
      </c>
      <c r="S51" s="30">
        <v>4</v>
      </c>
      <c r="T51" s="33">
        <f>ROUND(Table13[[#This Row],['#punten]]/Table13[[#This Row],['#Wed]],2)</f>
        <v>58.25</v>
      </c>
      <c r="U51" s="31">
        <f>ROUND(Table13[[#This Row],['#punten]]/Table13[[#This Row],['#minuten]],2)</f>
        <v>0.77</v>
      </c>
      <c r="V51" s="30">
        <f>Table13[[#This Row],[Pt/minuut]]*90</f>
        <v>69.3</v>
      </c>
      <c r="W51" s="30">
        <f>ROUND(Table13[[#This Row],[Prijs]]/Table13[[#This Row],['#punten]],0)</f>
        <v>2146</v>
      </c>
      <c r="X51" s="34">
        <f>ROUND((Table13[[#This Row],[Goals]]+Table13[[#This Row],[Asissts]])/(Table13[[#This Row],['#minuten]]/90),2)</f>
        <v>0.67</v>
      </c>
    </row>
    <row r="52" spans="1:24" x14ac:dyDescent="0.2">
      <c r="A52" s="11" t="s">
        <v>313</v>
      </c>
      <c r="B52" s="28" t="s">
        <v>49</v>
      </c>
      <c r="C52" s="29">
        <v>1750000</v>
      </c>
      <c r="D52" s="30" t="s">
        <v>135</v>
      </c>
      <c r="E52" s="30">
        <v>34</v>
      </c>
      <c r="F52" s="30" t="s">
        <v>141</v>
      </c>
      <c r="G52" s="31">
        <v>776</v>
      </c>
      <c r="H52" s="32">
        <v>174</v>
      </c>
      <c r="I52" s="32">
        <f>ROUND((Table13[[#This Row],[laatste 5 wed.]]/Table13[[#This Row],['#punten]])*100,1)</f>
        <v>22.4</v>
      </c>
      <c r="J52" s="30">
        <v>16</v>
      </c>
      <c r="K52" s="30">
        <v>2</v>
      </c>
      <c r="L52" s="30">
        <v>552</v>
      </c>
      <c r="M52" s="30">
        <v>143</v>
      </c>
      <c r="N52" s="30">
        <f>ROUND(Table13[[#This Row],[Min laatste 5]]/Table13[[#This Row],['#minuten]]*100,1)</f>
        <v>25.9</v>
      </c>
      <c r="O52" s="30">
        <v>7</v>
      </c>
      <c r="P52" s="30">
        <v>0</v>
      </c>
      <c r="Q52" s="48">
        <v>2</v>
      </c>
      <c r="R52" s="30">
        <v>0</v>
      </c>
      <c r="S52" s="30">
        <v>1</v>
      </c>
      <c r="T52" s="33">
        <f>ROUND(Table13[[#This Row],['#punten]]/Table13[[#This Row],['#Wed]],2)</f>
        <v>48.5</v>
      </c>
      <c r="U52" s="31">
        <f>ROUND(Table13[[#This Row],['#punten]]/Table13[[#This Row],['#minuten]],2)</f>
        <v>1.41</v>
      </c>
      <c r="V52" s="30">
        <f>Table13[[#This Row],[Pt/minuut]]*90</f>
        <v>126.89999999999999</v>
      </c>
      <c r="W52" s="30">
        <f>ROUND(Table13[[#This Row],[Prijs]]/Table13[[#This Row],['#punten]],0)</f>
        <v>2255</v>
      </c>
      <c r="X52" s="34">
        <f>ROUND((Table13[[#This Row],[Goals]]+Table13[[#This Row],[Asissts]])/(Table13[[#This Row],['#minuten]]/90),2)</f>
        <v>1.1399999999999999</v>
      </c>
    </row>
    <row r="53" spans="1:24" x14ac:dyDescent="0.2">
      <c r="A53" s="11" t="s">
        <v>319</v>
      </c>
      <c r="B53" s="28" t="s">
        <v>317</v>
      </c>
      <c r="C53" s="29">
        <v>1250000</v>
      </c>
      <c r="D53" s="30" t="s">
        <v>135</v>
      </c>
      <c r="E53" s="30">
        <v>22</v>
      </c>
      <c r="F53" s="30" t="s">
        <v>141</v>
      </c>
      <c r="G53" s="31">
        <v>270</v>
      </c>
      <c r="H53" s="32">
        <v>80</v>
      </c>
      <c r="I53" s="32">
        <f>ROUND((Table13[[#This Row],[laatste 5 wed.]]/Table13[[#This Row],['#punten]])*100,1)</f>
        <v>29.6</v>
      </c>
      <c r="J53" s="30">
        <v>13</v>
      </c>
      <c r="K53" s="30">
        <v>6</v>
      </c>
      <c r="L53" s="30">
        <v>600</v>
      </c>
      <c r="M53" s="30">
        <v>124</v>
      </c>
      <c r="N53" s="30">
        <f>ROUND(Table13[[#This Row],[Min laatste 5]]/Table13[[#This Row],['#minuten]]*100,1)</f>
        <v>20.7</v>
      </c>
      <c r="O53" s="30">
        <v>0</v>
      </c>
      <c r="P53" s="30">
        <v>1</v>
      </c>
      <c r="Q53" s="48">
        <v>2</v>
      </c>
      <c r="R53" s="30">
        <v>0</v>
      </c>
      <c r="S53" s="30">
        <v>0</v>
      </c>
      <c r="T53" s="33">
        <f>ROUND(Table13[[#This Row],['#punten]]/Table13[[#This Row],['#Wed]],2)</f>
        <v>20.77</v>
      </c>
      <c r="U53" s="31">
        <f>ROUND(Table13[[#This Row],['#punten]]/Table13[[#This Row],['#minuten]],2)</f>
        <v>0.45</v>
      </c>
      <c r="V53" s="30">
        <f>Table13[[#This Row],[Pt/minuut]]*90</f>
        <v>40.5</v>
      </c>
      <c r="W53" s="30">
        <f>ROUND(Table13[[#This Row],[Prijs]]/Table13[[#This Row],['#punten]],0)</f>
        <v>4630</v>
      </c>
      <c r="X53" s="34">
        <f>ROUND((Table13[[#This Row],[Goals]]+Table13[[#This Row],[Asissts]])/(Table13[[#This Row],['#minuten]]/90),2)</f>
        <v>0.15</v>
      </c>
    </row>
    <row r="54" spans="1:24" x14ac:dyDescent="0.2">
      <c r="A54" s="11" t="s">
        <v>318</v>
      </c>
      <c r="B54" s="28" t="s">
        <v>317</v>
      </c>
      <c r="C54" s="29">
        <v>1500000</v>
      </c>
      <c r="D54" s="30" t="s">
        <v>135</v>
      </c>
      <c r="E54" s="30">
        <v>31</v>
      </c>
      <c r="F54" s="30" t="s">
        <v>141</v>
      </c>
      <c r="G54" s="31">
        <v>422</v>
      </c>
      <c r="H54" s="32">
        <v>224</v>
      </c>
      <c r="I54" s="32">
        <f>ROUND((Table13[[#This Row],[laatste 5 wed.]]/Table13[[#This Row],['#punten]])*100,1)</f>
        <v>53.1</v>
      </c>
      <c r="J54" s="30">
        <v>15</v>
      </c>
      <c r="K54" s="30">
        <v>11</v>
      </c>
      <c r="L54" s="30">
        <v>959</v>
      </c>
      <c r="M54" s="30">
        <v>288</v>
      </c>
      <c r="N54" s="30">
        <f>ROUND(Table13[[#This Row],[Min laatste 5]]/Table13[[#This Row],['#minuten]]*100,1)</f>
        <v>30</v>
      </c>
      <c r="O54" s="30">
        <v>1</v>
      </c>
      <c r="P54" s="30">
        <v>1</v>
      </c>
      <c r="Q54" s="48">
        <v>2</v>
      </c>
      <c r="R54" s="30">
        <v>0</v>
      </c>
      <c r="S54" s="30">
        <v>1</v>
      </c>
      <c r="T54" s="33">
        <f>ROUND(Table13[[#This Row],['#punten]]/Table13[[#This Row],['#Wed]],2)</f>
        <v>28.13</v>
      </c>
      <c r="U54" s="31">
        <f>ROUND(Table13[[#This Row],['#punten]]/Table13[[#This Row],['#minuten]],2)</f>
        <v>0.44</v>
      </c>
      <c r="V54" s="30">
        <f>Table13[[#This Row],[Pt/minuut]]*90</f>
        <v>39.6</v>
      </c>
      <c r="W54" s="30">
        <f>ROUND(Table13[[#This Row],[Prijs]]/Table13[[#This Row],['#punten]],0)</f>
        <v>3555</v>
      </c>
      <c r="X54" s="34">
        <f>ROUND((Table13[[#This Row],[Goals]]+Table13[[#This Row],[Asissts]])/(Table13[[#This Row],['#minuten]]/90),2)</f>
        <v>0.19</v>
      </c>
    </row>
    <row r="55" spans="1:24" x14ac:dyDescent="0.2">
      <c r="A55" s="11" t="s">
        <v>525</v>
      </c>
      <c r="B55" s="28" t="s">
        <v>50</v>
      </c>
      <c r="C55" s="29">
        <v>750000</v>
      </c>
      <c r="D55" s="30" t="s">
        <v>135</v>
      </c>
      <c r="E55" s="30">
        <v>20</v>
      </c>
      <c r="F55" s="30" t="s">
        <v>141</v>
      </c>
      <c r="G55" s="31">
        <v>222</v>
      </c>
      <c r="H55" s="32">
        <v>138</v>
      </c>
      <c r="I55" s="32">
        <f>ROUND((Table13[[#This Row],[laatste 5 wed.]]/Table13[[#This Row],['#punten]])*100,1)</f>
        <v>62.2</v>
      </c>
      <c r="J55" s="30">
        <v>13</v>
      </c>
      <c r="K55" s="30">
        <v>5</v>
      </c>
      <c r="L55" s="30">
        <v>500</v>
      </c>
      <c r="M55" s="30">
        <v>168</v>
      </c>
      <c r="N55" s="30">
        <f>ROUND(Table13[[#This Row],[Min laatste 5]]/Table13[[#This Row],['#minuten]]*100,1)</f>
        <v>33.6</v>
      </c>
      <c r="O55" s="30">
        <v>1</v>
      </c>
      <c r="P55" s="30">
        <v>0</v>
      </c>
      <c r="Q55" s="48">
        <v>1</v>
      </c>
      <c r="R55" s="30">
        <v>0</v>
      </c>
      <c r="S55" s="30">
        <v>2</v>
      </c>
      <c r="T55" s="33">
        <f>ROUND(Table13[[#This Row],['#punten]]/Table13[[#This Row],['#Wed]],2)</f>
        <v>17.079999999999998</v>
      </c>
      <c r="U55" s="31">
        <f>ROUND(Table13[[#This Row],['#punten]]/Table13[[#This Row],['#minuten]],2)</f>
        <v>0.44</v>
      </c>
      <c r="V55" s="30">
        <f>Table13[[#This Row],[Pt/minuut]]*90</f>
        <v>39.6</v>
      </c>
      <c r="W55" s="30">
        <f>ROUND(Table13[[#This Row],[Prijs]]/Table13[[#This Row],['#punten]],0)</f>
        <v>3378</v>
      </c>
      <c r="X55" s="34">
        <f>ROUND((Table13[[#This Row],[Goals]]+Table13[[#This Row],[Asissts]])/(Table13[[#This Row],['#minuten]]/90),2)</f>
        <v>0.18</v>
      </c>
    </row>
    <row r="56" spans="1:24" x14ac:dyDescent="0.2">
      <c r="A56" s="11" t="s">
        <v>338</v>
      </c>
      <c r="B56" s="28" t="s">
        <v>50</v>
      </c>
      <c r="C56" s="29">
        <v>1500000</v>
      </c>
      <c r="D56" s="30" t="s">
        <v>135</v>
      </c>
      <c r="E56" s="30">
        <v>21</v>
      </c>
      <c r="F56" s="30" t="s">
        <v>141</v>
      </c>
      <c r="G56" s="31">
        <v>666</v>
      </c>
      <c r="H56" s="32">
        <v>286</v>
      </c>
      <c r="I56" s="32">
        <f>ROUND((Table13[[#This Row],[laatste 5 wed.]]/Table13[[#This Row],['#punten]])*100,1)</f>
        <v>42.9</v>
      </c>
      <c r="J56" s="30">
        <v>15</v>
      </c>
      <c r="K56" s="30">
        <v>14</v>
      </c>
      <c r="L56" s="30">
        <v>1207</v>
      </c>
      <c r="M56" s="30">
        <v>424</v>
      </c>
      <c r="N56" s="30">
        <f>ROUND(Table13[[#This Row],[Min laatste 5]]/Table13[[#This Row],['#minuten]]*100,1)</f>
        <v>35.1</v>
      </c>
      <c r="O56" s="30">
        <v>4</v>
      </c>
      <c r="P56" s="30">
        <v>0</v>
      </c>
      <c r="Q56" s="48">
        <v>0</v>
      </c>
      <c r="R56" s="30">
        <v>1</v>
      </c>
      <c r="S56" s="30">
        <v>2</v>
      </c>
      <c r="T56" s="33">
        <f>ROUND(Table13[[#This Row],['#punten]]/Table13[[#This Row],['#Wed]],2)</f>
        <v>44.4</v>
      </c>
      <c r="U56" s="31">
        <f>ROUND(Table13[[#This Row],['#punten]]/Table13[[#This Row],['#minuten]],2)</f>
        <v>0.55000000000000004</v>
      </c>
      <c r="V56" s="30">
        <f>Table13[[#This Row],[Pt/minuut]]*90</f>
        <v>49.500000000000007</v>
      </c>
      <c r="W56" s="30">
        <f>ROUND(Table13[[#This Row],[Prijs]]/Table13[[#This Row],['#punten]],0)</f>
        <v>2252</v>
      </c>
      <c r="X56" s="34">
        <f>ROUND((Table13[[#This Row],[Goals]]+Table13[[#This Row],[Asissts]])/(Table13[[#This Row],['#minuten]]/90),2)</f>
        <v>0.3</v>
      </c>
    </row>
    <row r="57" spans="1:24" x14ac:dyDescent="0.2">
      <c r="A57" s="11" t="s">
        <v>527</v>
      </c>
      <c r="B57" s="28" t="s">
        <v>51</v>
      </c>
      <c r="C57" s="29">
        <v>500000</v>
      </c>
      <c r="D57" s="30" t="s">
        <v>135</v>
      </c>
      <c r="E57" s="30">
        <v>19</v>
      </c>
      <c r="F57" s="30" t="s">
        <v>141</v>
      </c>
      <c r="G57" s="31">
        <v>348</v>
      </c>
      <c r="H57" s="32">
        <v>178</v>
      </c>
      <c r="I57" s="32">
        <f>ROUND((Table13[[#This Row],[laatste 5 wed.]]/Table13[[#This Row],['#punten]])*100,1)</f>
        <v>51.1</v>
      </c>
      <c r="J57" s="30">
        <v>12</v>
      </c>
      <c r="K57" s="30">
        <v>6</v>
      </c>
      <c r="L57" s="30">
        <v>563</v>
      </c>
      <c r="M57" s="30">
        <v>197</v>
      </c>
      <c r="N57" s="30">
        <f>ROUND(Table13[[#This Row],[Min laatste 5]]/Table13[[#This Row],['#minuten]]*100,1)</f>
        <v>35</v>
      </c>
      <c r="O57" s="30">
        <v>2</v>
      </c>
      <c r="P57" s="30">
        <v>1</v>
      </c>
      <c r="Q57" s="48">
        <v>2</v>
      </c>
      <c r="R57" s="30">
        <v>0</v>
      </c>
      <c r="S57" s="30">
        <v>1</v>
      </c>
      <c r="T57" s="33">
        <f>ROUND(Table13[[#This Row],['#punten]]/Table13[[#This Row],['#Wed]],2)</f>
        <v>29</v>
      </c>
      <c r="U57" s="31">
        <f>ROUND(Table13[[#This Row],['#punten]]/Table13[[#This Row],['#minuten]],2)</f>
        <v>0.62</v>
      </c>
      <c r="V57" s="30">
        <f>Table13[[#This Row],[Pt/minuut]]*90</f>
        <v>55.8</v>
      </c>
      <c r="W57" s="30">
        <f>ROUND(Table13[[#This Row],[Prijs]]/Table13[[#This Row],['#punten]],0)</f>
        <v>1437</v>
      </c>
      <c r="X57" s="34">
        <f>ROUND((Table13[[#This Row],[Goals]]+Table13[[#This Row],[Asissts]])/(Table13[[#This Row],['#minuten]]/90),2)</f>
        <v>0.48</v>
      </c>
    </row>
    <row r="58" spans="1:24" x14ac:dyDescent="0.2">
      <c r="A58" s="11" t="s">
        <v>134</v>
      </c>
      <c r="B58" s="28" t="s">
        <v>51</v>
      </c>
      <c r="C58" s="29">
        <v>750000</v>
      </c>
      <c r="D58" s="30" t="s">
        <v>135</v>
      </c>
      <c r="E58" s="30">
        <v>26</v>
      </c>
      <c r="F58" s="30" t="s">
        <v>141</v>
      </c>
      <c r="G58" s="31">
        <v>602</v>
      </c>
      <c r="H58" s="32">
        <v>222</v>
      </c>
      <c r="I58" s="32">
        <f>ROUND((Table13[[#This Row],[laatste 5 wed.]]/Table13[[#This Row],['#punten]])*100,1)</f>
        <v>36.9</v>
      </c>
      <c r="J58" s="30">
        <v>16</v>
      </c>
      <c r="K58" s="30">
        <v>16</v>
      </c>
      <c r="L58" s="30">
        <v>1372</v>
      </c>
      <c r="M58" s="30">
        <v>408</v>
      </c>
      <c r="N58" s="30">
        <f>ROUND(Table13[[#This Row],[Min laatste 5]]/Table13[[#This Row],['#minuten]]*100,1)</f>
        <v>29.7</v>
      </c>
      <c r="O58" s="30">
        <v>1</v>
      </c>
      <c r="P58" s="30">
        <v>3</v>
      </c>
      <c r="Q58" s="48">
        <v>3</v>
      </c>
      <c r="R58" s="30">
        <v>0</v>
      </c>
      <c r="S58" s="30">
        <v>1</v>
      </c>
      <c r="T58" s="33">
        <f>ROUND(Table13[[#This Row],['#punten]]/Table13[[#This Row],['#Wed]],2)</f>
        <v>37.630000000000003</v>
      </c>
      <c r="U58" s="31">
        <f>ROUND(Table13[[#This Row],['#punten]]/Table13[[#This Row],['#minuten]],2)</f>
        <v>0.44</v>
      </c>
      <c r="V58" s="30">
        <f>Table13[[#This Row],[Pt/minuut]]*90</f>
        <v>39.6</v>
      </c>
      <c r="W58" s="30">
        <f>ROUND(Table13[[#This Row],[Prijs]]/Table13[[#This Row],['#punten]],0)</f>
        <v>1246</v>
      </c>
      <c r="X58" s="34">
        <f>ROUND((Table13[[#This Row],[Goals]]+Table13[[#This Row],[Asissts]])/(Table13[[#This Row],['#minuten]]/90),2)</f>
        <v>0.26</v>
      </c>
    </row>
    <row r="59" spans="1:24" x14ac:dyDescent="0.2">
      <c r="A59" s="11" t="s">
        <v>341</v>
      </c>
      <c r="B59" s="28" t="s">
        <v>51</v>
      </c>
      <c r="C59" s="29">
        <v>1000000</v>
      </c>
      <c r="D59" s="30" t="s">
        <v>135</v>
      </c>
      <c r="E59" s="30">
        <v>34</v>
      </c>
      <c r="F59" s="30" t="s">
        <v>51</v>
      </c>
      <c r="G59" s="31">
        <v>656</v>
      </c>
      <c r="H59" s="32">
        <v>84</v>
      </c>
      <c r="I59" s="32">
        <f>ROUND((Table13[[#This Row],[laatste 5 wed.]]/Table13[[#This Row],['#punten]])*100,1)</f>
        <v>12.8</v>
      </c>
      <c r="J59" s="30">
        <v>12</v>
      </c>
      <c r="K59" s="30">
        <v>12</v>
      </c>
      <c r="L59" s="30">
        <v>957</v>
      </c>
      <c r="M59" s="30">
        <v>231</v>
      </c>
      <c r="N59" s="30">
        <f>ROUND(Table13[[#This Row],[Min laatste 5]]/Table13[[#This Row],['#minuten]]*100,1)</f>
        <v>24.1</v>
      </c>
      <c r="O59" s="30">
        <v>5</v>
      </c>
      <c r="P59" s="30">
        <v>0</v>
      </c>
      <c r="Q59" s="48">
        <v>0</v>
      </c>
      <c r="R59" s="30">
        <v>1</v>
      </c>
      <c r="S59" s="30">
        <v>1</v>
      </c>
      <c r="T59" s="33">
        <f>ROUND(Table13[[#This Row],['#punten]]/Table13[[#This Row],['#Wed]],2)</f>
        <v>54.67</v>
      </c>
      <c r="U59" s="31">
        <f>ROUND(Table13[[#This Row],['#punten]]/Table13[[#This Row],['#minuten]],2)</f>
        <v>0.69</v>
      </c>
      <c r="V59" s="30">
        <f>Table13[[#This Row],[Pt/minuut]]*90</f>
        <v>62.099999999999994</v>
      </c>
      <c r="W59" s="30">
        <f>ROUND(Table13[[#This Row],[Prijs]]/Table13[[#This Row],['#punten]],0)</f>
        <v>1524</v>
      </c>
      <c r="X59" s="34">
        <f>ROUND((Table13[[#This Row],[Goals]]+Table13[[#This Row],[Asissts]])/(Table13[[#This Row],['#minuten]]/90),2)</f>
        <v>0.47</v>
      </c>
    </row>
    <row r="60" spans="1:24" x14ac:dyDescent="0.2">
      <c r="A60" s="2" t="s">
        <v>500</v>
      </c>
      <c r="B60" s="28" t="s">
        <v>43</v>
      </c>
      <c r="C60" s="29">
        <v>3000000</v>
      </c>
      <c r="D60" s="30" t="s">
        <v>149</v>
      </c>
      <c r="E60" s="30">
        <v>22</v>
      </c>
      <c r="F60" s="30" t="s">
        <v>200</v>
      </c>
      <c r="G60" s="31">
        <v>422</v>
      </c>
      <c r="H60" s="32">
        <v>244</v>
      </c>
      <c r="I60" s="32">
        <f>ROUND((Table13[[#This Row],[laatste 5 wed.]]/Table13[[#This Row],['#punten]])*100,1)</f>
        <v>57.8</v>
      </c>
      <c r="J60" s="30">
        <v>10</v>
      </c>
      <c r="K60" s="30">
        <v>8</v>
      </c>
      <c r="L60" s="30">
        <v>742</v>
      </c>
      <c r="M60" s="30">
        <v>366</v>
      </c>
      <c r="N60" s="30">
        <f>ROUND(Table13[[#This Row],[Min laatste 5]]/Table13[[#This Row],['#minuten]]*100,1)</f>
        <v>49.3</v>
      </c>
      <c r="O60" s="30">
        <v>0</v>
      </c>
      <c r="P60" s="30">
        <v>0</v>
      </c>
      <c r="Q60" s="48">
        <v>0</v>
      </c>
      <c r="R60" s="30">
        <v>0</v>
      </c>
      <c r="S60" s="30">
        <v>2</v>
      </c>
      <c r="T60" s="33">
        <f>ROUND(Table13[[#This Row],['#punten]]/Table13[[#This Row],['#Wed]],2)</f>
        <v>42.2</v>
      </c>
      <c r="U60" s="31">
        <f>ROUND(Table13[[#This Row],['#punten]]/Table13[[#This Row],['#minuten]],2)</f>
        <v>0.56999999999999995</v>
      </c>
      <c r="V60" s="30">
        <f>Table13[[#This Row],[Pt/minuut]]*90</f>
        <v>51.3</v>
      </c>
      <c r="W60" s="30">
        <f>ROUND(Table13[[#This Row],[Prijs]]/Table13[[#This Row],['#punten]],0)</f>
        <v>7109</v>
      </c>
      <c r="X60" s="34">
        <f>ROUND((Table13[[#This Row],[Goals]]+Table13[[#This Row],[Asissts]])/(Table13[[#This Row],['#minuten]]/90),2)</f>
        <v>0</v>
      </c>
    </row>
    <row r="61" spans="1:24" x14ac:dyDescent="0.2">
      <c r="A61" s="2" t="s">
        <v>161</v>
      </c>
      <c r="B61" s="28" t="s">
        <v>159</v>
      </c>
      <c r="C61" s="29">
        <v>1000000</v>
      </c>
      <c r="D61" s="30" t="s">
        <v>149</v>
      </c>
      <c r="E61" s="30">
        <v>26</v>
      </c>
      <c r="F61" s="30" t="s">
        <v>141</v>
      </c>
      <c r="G61" s="31">
        <v>632</v>
      </c>
      <c r="H61" s="32">
        <v>124</v>
      </c>
      <c r="I61" s="32">
        <f>ROUND((Table13[[#This Row],[laatste 5 wed.]]/Table13[[#This Row],['#punten]])*100,1)</f>
        <v>19.600000000000001</v>
      </c>
      <c r="J61" s="30">
        <v>16</v>
      </c>
      <c r="K61" s="30">
        <v>16</v>
      </c>
      <c r="L61" s="30">
        <v>1440</v>
      </c>
      <c r="M61" s="30">
        <v>450</v>
      </c>
      <c r="N61" s="30">
        <f>ROUND(Table13[[#This Row],[Min laatste 5]]/Table13[[#This Row],['#minuten]]*100,1)</f>
        <v>31.3</v>
      </c>
      <c r="O61" s="30">
        <v>0</v>
      </c>
      <c r="P61" s="30">
        <v>0</v>
      </c>
      <c r="Q61" s="48">
        <v>0</v>
      </c>
      <c r="R61" s="30">
        <v>0</v>
      </c>
      <c r="S61" s="30">
        <v>5</v>
      </c>
      <c r="T61" s="33">
        <f>ROUND(Table13[[#This Row],['#punten]]/Table13[[#This Row],['#Wed]],2)</f>
        <v>39.5</v>
      </c>
      <c r="U61" s="31">
        <f>ROUND(Table13[[#This Row],['#punten]]/Table13[[#This Row],['#minuten]],2)</f>
        <v>0.44</v>
      </c>
      <c r="V61" s="30">
        <f>Table13[[#This Row],[Pt/minuut]]*90</f>
        <v>39.6</v>
      </c>
      <c r="W61" s="30">
        <f>ROUND(Table13[[#This Row],[Prijs]]/Table13[[#This Row],['#punten]],0)</f>
        <v>1582</v>
      </c>
      <c r="X61" s="34">
        <f>ROUND((Table13[[#This Row],[Goals]]+Table13[[#This Row],[Asissts]])/(Table13[[#This Row],['#minuten]]/90),2)</f>
        <v>0</v>
      </c>
    </row>
    <row r="62" spans="1:24" x14ac:dyDescent="0.2">
      <c r="A62" s="2" t="s">
        <v>181</v>
      </c>
      <c r="B62" s="21" t="s">
        <v>6</v>
      </c>
      <c r="C62" s="22">
        <v>3000000</v>
      </c>
      <c r="D62" s="23" t="s">
        <v>149</v>
      </c>
      <c r="E62" s="23">
        <v>31</v>
      </c>
      <c r="F62" s="23" t="s">
        <v>182</v>
      </c>
      <c r="G62" s="24">
        <v>1098</v>
      </c>
      <c r="H62" s="25">
        <v>226</v>
      </c>
      <c r="I62" s="25">
        <f>ROUND((Table13[[#This Row],[laatste 5 wed.]]/Table13[[#This Row],['#punten]])*100,1)</f>
        <v>20.6</v>
      </c>
      <c r="J62" s="23">
        <v>15</v>
      </c>
      <c r="K62" s="23">
        <v>15</v>
      </c>
      <c r="L62" s="23">
        <v>1350</v>
      </c>
      <c r="M62" s="23">
        <v>360</v>
      </c>
      <c r="N62" s="23">
        <f>ROUND(Table13[[#This Row],[Min laatste 5]]/Table13[[#This Row],['#minuten]]*100,1)</f>
        <v>26.7</v>
      </c>
      <c r="O62" s="23">
        <v>0</v>
      </c>
      <c r="P62" s="23">
        <v>0</v>
      </c>
      <c r="Q62" s="45">
        <v>0</v>
      </c>
      <c r="R62" s="23">
        <v>0</v>
      </c>
      <c r="S62" s="23">
        <v>6</v>
      </c>
      <c r="T62" s="26">
        <f>ROUND(Table13[[#This Row],['#punten]]/Table13[[#This Row],['#Wed]],2)</f>
        <v>73.2</v>
      </c>
      <c r="U62" s="24">
        <f>ROUND(Table13[[#This Row],['#punten]]/Table13[[#This Row],['#minuten]],2)</f>
        <v>0.81</v>
      </c>
      <c r="V62" s="23">
        <f>Table13[[#This Row],[Pt/minuut]]*90</f>
        <v>72.900000000000006</v>
      </c>
      <c r="W62" s="23">
        <f>ROUND(Table13[[#This Row],[Prijs]]/Table13[[#This Row],['#punten]],0)</f>
        <v>2732</v>
      </c>
      <c r="X62" s="27">
        <f>ROUND((Table13[[#This Row],[Goals]]+Table13[[#This Row],[Asissts]])/(Table13[[#This Row],['#minuten]]/90),2)</f>
        <v>0</v>
      </c>
    </row>
    <row r="63" spans="1:24" x14ac:dyDescent="0.2">
      <c r="A63" s="2" t="s">
        <v>531</v>
      </c>
      <c r="B63" s="28" t="s">
        <v>6</v>
      </c>
      <c r="C63" s="29">
        <v>2500000</v>
      </c>
      <c r="D63" s="30" t="s">
        <v>149</v>
      </c>
      <c r="E63" s="30">
        <v>19</v>
      </c>
      <c r="F63" s="30" t="s">
        <v>141</v>
      </c>
      <c r="G63" s="31">
        <v>0</v>
      </c>
      <c r="H63" s="32">
        <v>0</v>
      </c>
      <c r="I63" s="32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48">
        <v>0</v>
      </c>
      <c r="R63" s="30">
        <v>0</v>
      </c>
      <c r="S63" s="30">
        <v>0</v>
      </c>
      <c r="T63" s="33">
        <v>0</v>
      </c>
      <c r="U63" s="31">
        <v>0</v>
      </c>
      <c r="V63" s="30">
        <v>0</v>
      </c>
      <c r="W63" s="30">
        <v>0</v>
      </c>
      <c r="X63" s="34">
        <v>0</v>
      </c>
    </row>
    <row r="64" spans="1:24" x14ac:dyDescent="0.2">
      <c r="A64" s="2" t="s">
        <v>183</v>
      </c>
      <c r="B64" s="21" t="s">
        <v>44</v>
      </c>
      <c r="C64" s="22">
        <v>1500000</v>
      </c>
      <c r="D64" s="23" t="s">
        <v>149</v>
      </c>
      <c r="E64" s="23">
        <v>27</v>
      </c>
      <c r="F64" s="23" t="s">
        <v>141</v>
      </c>
      <c r="G64" s="24">
        <v>558</v>
      </c>
      <c r="H64" s="25">
        <v>54</v>
      </c>
      <c r="I64" s="25">
        <f>ROUND((Table13[[#This Row],[laatste 5 wed.]]/Table13[[#This Row],['#punten]])*100,1)</f>
        <v>9.6999999999999993</v>
      </c>
      <c r="J64" s="23">
        <v>16</v>
      </c>
      <c r="K64" s="23">
        <v>16</v>
      </c>
      <c r="L64" s="23">
        <v>1440</v>
      </c>
      <c r="M64" s="23">
        <v>450</v>
      </c>
      <c r="N64" s="23">
        <f>ROUND(Table13[[#This Row],[Min laatste 5]]/Table13[[#This Row],['#minuten]]*100,1)</f>
        <v>31.3</v>
      </c>
      <c r="O64" s="23">
        <v>0</v>
      </c>
      <c r="P64" s="23">
        <v>0</v>
      </c>
      <c r="Q64" s="45">
        <v>0</v>
      </c>
      <c r="R64" s="23">
        <v>0</v>
      </c>
      <c r="S64" s="23">
        <v>3</v>
      </c>
      <c r="T64" s="26">
        <f>ROUND(Table13[[#This Row],['#punten]]/Table13[[#This Row],['#Wed]],2)</f>
        <v>34.880000000000003</v>
      </c>
      <c r="U64" s="24">
        <f>ROUND(Table13[[#This Row],['#punten]]/Table13[[#This Row],['#minuten]],2)</f>
        <v>0.39</v>
      </c>
      <c r="V64" s="23">
        <f>Table13[[#This Row],[Pt/minuut]]*90</f>
        <v>35.1</v>
      </c>
      <c r="W64" s="23">
        <f>ROUND(Table13[[#This Row],[Prijs]]/Table13[[#This Row],['#punten]],0)</f>
        <v>2688</v>
      </c>
      <c r="X64" s="27">
        <f>ROUND((Table13[[#This Row],[Goals]]+Table13[[#This Row],[Asissts]])/(Table13[[#This Row],['#minuten]]/90),2)</f>
        <v>0</v>
      </c>
    </row>
    <row r="65" spans="1:24" x14ac:dyDescent="0.2">
      <c r="A65" s="2" t="s">
        <v>18</v>
      </c>
      <c r="B65" s="28" t="s">
        <v>45</v>
      </c>
      <c r="C65" s="29">
        <v>3500000</v>
      </c>
      <c r="D65" s="30" t="s">
        <v>149</v>
      </c>
      <c r="E65" s="30">
        <v>25</v>
      </c>
      <c r="F65" s="30" t="s">
        <v>141</v>
      </c>
      <c r="G65" s="31">
        <v>622</v>
      </c>
      <c r="H65" s="32">
        <v>332</v>
      </c>
      <c r="I65" s="32">
        <f>ROUND((Table13[[#This Row],[laatste 5 wed.]]/Table13[[#This Row],['#punten]])*100,1)</f>
        <v>53.4</v>
      </c>
      <c r="J65" s="30">
        <v>9</v>
      </c>
      <c r="K65" s="30">
        <v>9</v>
      </c>
      <c r="L65" s="30">
        <v>810</v>
      </c>
      <c r="M65" s="30">
        <v>450</v>
      </c>
      <c r="N65" s="30">
        <f>ROUND(Table13[[#This Row],[Min laatste 5]]/Table13[[#This Row],['#minuten]]*100,1)</f>
        <v>55.6</v>
      </c>
      <c r="O65" s="30">
        <v>0</v>
      </c>
      <c r="P65" s="30">
        <v>0</v>
      </c>
      <c r="Q65" s="48">
        <v>0</v>
      </c>
      <c r="R65" s="30">
        <v>0</v>
      </c>
      <c r="S65" s="30">
        <v>4</v>
      </c>
      <c r="T65" s="33">
        <f>ROUND(Table13[[#This Row],['#punten]]/Table13[[#This Row],['#Wed]],2)</f>
        <v>69.11</v>
      </c>
      <c r="U65" s="31">
        <f>ROUND(Table13[[#This Row],['#punten]]/Table13[[#This Row],['#minuten]],2)</f>
        <v>0.77</v>
      </c>
      <c r="V65" s="30">
        <f>Table13[[#This Row],[Pt/minuut]]*90</f>
        <v>69.3</v>
      </c>
      <c r="W65" s="30">
        <f>ROUND(Table13[[#This Row],[Prijs]]/Table13[[#This Row],['#punten]],0)</f>
        <v>5627</v>
      </c>
      <c r="X65" s="34">
        <f>ROUND((Table13[[#This Row],[Goals]]+Table13[[#This Row],[Asissts]])/(Table13[[#This Row],['#minuten]]/90),2)</f>
        <v>0</v>
      </c>
    </row>
    <row r="66" spans="1:24" x14ac:dyDescent="0.2">
      <c r="A66" s="2" t="s">
        <v>199</v>
      </c>
      <c r="B66" s="28" t="s">
        <v>45</v>
      </c>
      <c r="C66" s="29">
        <v>3000000</v>
      </c>
      <c r="D66" s="30" t="s">
        <v>149</v>
      </c>
      <c r="E66" s="30">
        <v>28</v>
      </c>
      <c r="F66" s="30" t="s">
        <v>200</v>
      </c>
      <c r="G66" s="31">
        <v>446</v>
      </c>
      <c r="H66" s="32">
        <v>0</v>
      </c>
      <c r="I66" s="32">
        <f>ROUND((Table13[[#This Row],[laatste 5 wed.]]/Table13[[#This Row],['#punten]])*100,1)</f>
        <v>0</v>
      </c>
      <c r="J66" s="30">
        <v>7</v>
      </c>
      <c r="K66" s="30">
        <v>7</v>
      </c>
      <c r="L66" s="30">
        <v>630</v>
      </c>
      <c r="M66" s="30">
        <v>0</v>
      </c>
      <c r="N66" s="30">
        <f>ROUND(Table13[[#This Row],[Min laatste 5]]/Table13[[#This Row],['#minuten]]*100,1)</f>
        <v>0</v>
      </c>
      <c r="O66" s="30">
        <v>0</v>
      </c>
      <c r="P66" s="30">
        <v>0</v>
      </c>
      <c r="Q66" s="48">
        <v>1</v>
      </c>
      <c r="R66" s="30">
        <v>0</v>
      </c>
      <c r="S66" s="30">
        <v>2</v>
      </c>
      <c r="T66" s="33">
        <f>ROUND(Table13[[#This Row],['#punten]]/Table13[[#This Row],['#Wed]],2)</f>
        <v>63.71</v>
      </c>
      <c r="U66" s="31">
        <f>ROUND(Table13[[#This Row],['#punten]]/Table13[[#This Row],['#minuten]],2)</f>
        <v>0.71</v>
      </c>
      <c r="V66" s="30">
        <f>Table13[[#This Row],[Pt/minuut]]*90</f>
        <v>63.9</v>
      </c>
      <c r="W66" s="30">
        <f>ROUND(Table13[[#This Row],[Prijs]]/Table13[[#This Row],['#punten]],0)</f>
        <v>6726</v>
      </c>
      <c r="X66" s="34">
        <f>ROUND((Table13[[#This Row],[Goals]]+Table13[[#This Row],[Asissts]])/(Table13[[#This Row],['#minuten]]/90),2)</f>
        <v>0</v>
      </c>
    </row>
    <row r="67" spans="1:24" x14ac:dyDescent="0.2">
      <c r="A67" s="2" t="s">
        <v>124</v>
      </c>
      <c r="B67" s="21" t="s">
        <v>46</v>
      </c>
      <c r="C67" s="22">
        <v>1750000</v>
      </c>
      <c r="D67" s="23" t="s">
        <v>149</v>
      </c>
      <c r="E67" s="23">
        <v>23</v>
      </c>
      <c r="F67" s="23" t="s">
        <v>153</v>
      </c>
      <c r="G67" s="24">
        <v>682</v>
      </c>
      <c r="H67" s="25">
        <v>226</v>
      </c>
      <c r="I67" s="25">
        <f>ROUND((Table13[[#This Row],[laatste 5 wed.]]/Table13[[#This Row],['#punten]])*100,1)</f>
        <v>33.1</v>
      </c>
      <c r="J67" s="23">
        <v>16</v>
      </c>
      <c r="K67" s="23">
        <v>16</v>
      </c>
      <c r="L67" s="23">
        <v>1440</v>
      </c>
      <c r="M67" s="23">
        <v>450</v>
      </c>
      <c r="N67" s="23">
        <f>ROUND(Table13[[#This Row],[Min laatste 5]]/Table13[[#This Row],['#minuten]]*100,1)</f>
        <v>31.3</v>
      </c>
      <c r="O67" s="23">
        <v>0</v>
      </c>
      <c r="P67" s="23">
        <v>0</v>
      </c>
      <c r="Q67" s="45">
        <v>1</v>
      </c>
      <c r="R67" s="23">
        <v>0</v>
      </c>
      <c r="S67" s="23">
        <v>4</v>
      </c>
      <c r="T67" s="26">
        <f>ROUND(Table13[[#This Row],['#punten]]/Table13[[#This Row],['#Wed]],2)</f>
        <v>42.63</v>
      </c>
      <c r="U67" s="24">
        <f>ROUND(Table13[[#This Row],['#punten]]/Table13[[#This Row],['#minuten]],2)</f>
        <v>0.47</v>
      </c>
      <c r="V67" s="23">
        <f>Table13[[#This Row],[Pt/minuut]]*90</f>
        <v>42.3</v>
      </c>
      <c r="W67" s="23">
        <f>ROUND(Table13[[#This Row],[Prijs]]/Table13[[#This Row],['#punten]],0)</f>
        <v>2566</v>
      </c>
      <c r="X67" s="27">
        <f>ROUND((Table13[[#This Row],[Goals]]+Table13[[#This Row],[Asissts]])/(Table13[[#This Row],['#minuten]]/90),2)</f>
        <v>0</v>
      </c>
    </row>
    <row r="68" spans="1:24" x14ac:dyDescent="0.2">
      <c r="A68" s="2" t="s">
        <v>223</v>
      </c>
      <c r="B68" s="21" t="s">
        <v>39</v>
      </c>
      <c r="C68" s="22">
        <v>2000000</v>
      </c>
      <c r="D68" s="23" t="s">
        <v>149</v>
      </c>
      <c r="E68" s="23">
        <v>25</v>
      </c>
      <c r="F68" s="23" t="s">
        <v>141</v>
      </c>
      <c r="G68" s="24">
        <v>866</v>
      </c>
      <c r="H68" s="25">
        <v>226</v>
      </c>
      <c r="I68" s="25">
        <f>ROUND((Table13[[#This Row],[laatste 5 wed.]]/Table13[[#This Row],['#punten]])*100,1)</f>
        <v>26.1</v>
      </c>
      <c r="J68" s="23">
        <v>16</v>
      </c>
      <c r="K68" s="23">
        <v>16</v>
      </c>
      <c r="L68" s="23">
        <v>1440</v>
      </c>
      <c r="M68" s="23">
        <v>450</v>
      </c>
      <c r="N68" s="23">
        <f>ROUND(Table13[[#This Row],[Min laatste 5]]/Table13[[#This Row],['#minuten]]*100,1)</f>
        <v>31.3</v>
      </c>
      <c r="O68" s="23">
        <v>0</v>
      </c>
      <c r="P68" s="23">
        <v>0</v>
      </c>
      <c r="Q68" s="45">
        <v>0</v>
      </c>
      <c r="R68" s="23">
        <v>0</v>
      </c>
      <c r="S68" s="23">
        <v>5</v>
      </c>
      <c r="T68" s="26">
        <f>ROUND(Table13[[#This Row],['#punten]]/Table13[[#This Row],['#Wed]],2)</f>
        <v>54.13</v>
      </c>
      <c r="U68" s="24">
        <f>ROUND(Table13[[#This Row],['#punten]]/Table13[[#This Row],['#minuten]],2)</f>
        <v>0.6</v>
      </c>
      <c r="V68" s="23">
        <f>Table13[[#This Row],[Pt/minuut]]*90</f>
        <v>54</v>
      </c>
      <c r="W68" s="23">
        <f>ROUND(Table13[[#This Row],[Prijs]]/Table13[[#This Row],['#punten]],0)</f>
        <v>2309</v>
      </c>
      <c r="X68" s="27">
        <f>ROUND((Table13[[#This Row],[Goals]]+Table13[[#This Row],[Asissts]])/(Table13[[#This Row],['#minuten]]/90),2)</f>
        <v>0</v>
      </c>
    </row>
    <row r="69" spans="1:24" x14ac:dyDescent="0.2">
      <c r="A69" s="2" t="s">
        <v>224</v>
      </c>
      <c r="B69" s="28" t="s">
        <v>48</v>
      </c>
      <c r="C69" s="29">
        <v>2000000</v>
      </c>
      <c r="D69" s="30" t="s">
        <v>149</v>
      </c>
      <c r="E69" s="30">
        <v>29</v>
      </c>
      <c r="F69" s="30" t="s">
        <v>141</v>
      </c>
      <c r="G69" s="31">
        <v>682</v>
      </c>
      <c r="H69" s="32">
        <v>314</v>
      </c>
      <c r="I69" s="32">
        <f>ROUND((Table13[[#This Row],[laatste 5 wed.]]/Table13[[#This Row],['#punten]])*100,1)</f>
        <v>46</v>
      </c>
      <c r="J69" s="30">
        <v>16</v>
      </c>
      <c r="K69" s="30">
        <v>16</v>
      </c>
      <c r="L69" s="30">
        <v>1440</v>
      </c>
      <c r="M69" s="30">
        <v>450</v>
      </c>
      <c r="N69" s="30">
        <f>ROUND(Table13[[#This Row],[Min laatste 5]]/Table13[[#This Row],['#minuten]]*100,1)</f>
        <v>31.3</v>
      </c>
      <c r="O69" s="30">
        <v>0</v>
      </c>
      <c r="P69" s="30">
        <v>0</v>
      </c>
      <c r="Q69" s="48">
        <v>0</v>
      </c>
      <c r="R69" s="30">
        <v>0</v>
      </c>
      <c r="S69" s="30">
        <v>4</v>
      </c>
      <c r="T69" s="33">
        <f>ROUND(Table13[[#This Row],['#punten]]/Table13[[#This Row],['#Wed]],2)</f>
        <v>42.63</v>
      </c>
      <c r="U69" s="31">
        <f>ROUND(Table13[[#This Row],['#punten]]/Table13[[#This Row],['#minuten]],2)</f>
        <v>0.47</v>
      </c>
      <c r="V69" s="30">
        <f>Table13[[#This Row],[Pt/minuut]]*90</f>
        <v>42.3</v>
      </c>
      <c r="W69" s="30">
        <f>ROUND(Table13[[#This Row],[Prijs]]/Table13[[#This Row],['#punten]],0)</f>
        <v>2933</v>
      </c>
      <c r="X69" s="34">
        <f>ROUND((Table13[[#This Row],[Goals]]+Table13[[#This Row],[Asissts]])/(Table13[[#This Row],['#minuten]]/90),2)</f>
        <v>0</v>
      </c>
    </row>
    <row r="70" spans="1:24" x14ac:dyDescent="0.2">
      <c r="A70" s="2" t="s">
        <v>248</v>
      </c>
      <c r="B70" s="28" t="s">
        <v>239</v>
      </c>
      <c r="C70" s="29">
        <v>1250000</v>
      </c>
      <c r="D70" s="30" t="s">
        <v>149</v>
      </c>
      <c r="E70" s="30">
        <v>30</v>
      </c>
      <c r="F70" s="30" t="s">
        <v>141</v>
      </c>
      <c r="G70" s="31">
        <v>346</v>
      </c>
      <c r="H70" s="32">
        <v>142</v>
      </c>
      <c r="I70" s="32">
        <f>ROUND((Table13[[#This Row],[laatste 5 wed.]]/Table13[[#This Row],['#punten]])*100,1)</f>
        <v>41</v>
      </c>
      <c r="J70" s="30">
        <v>16</v>
      </c>
      <c r="K70" s="30">
        <v>16</v>
      </c>
      <c r="L70" s="30">
        <v>1440</v>
      </c>
      <c r="M70" s="30">
        <v>450</v>
      </c>
      <c r="N70" s="30">
        <f>ROUND(Table13[[#This Row],[Min laatste 5]]/Table13[[#This Row],['#minuten]]*100,1)</f>
        <v>31.3</v>
      </c>
      <c r="O70" s="30">
        <v>0</v>
      </c>
      <c r="P70" s="30">
        <v>0</v>
      </c>
      <c r="Q70" s="48">
        <v>0</v>
      </c>
      <c r="R70" s="30">
        <v>0</v>
      </c>
      <c r="S70" s="30">
        <v>1</v>
      </c>
      <c r="T70" s="33">
        <f>ROUND(Table13[[#This Row],['#punten]]/Table13[[#This Row],['#Wed]],2)</f>
        <v>21.63</v>
      </c>
      <c r="U70" s="31">
        <f>ROUND(Table13[[#This Row],['#punten]]/Table13[[#This Row],['#minuten]],2)</f>
        <v>0.24</v>
      </c>
      <c r="V70" s="30">
        <f>Table13[[#This Row],[Pt/minuut]]*90</f>
        <v>21.599999999999998</v>
      </c>
      <c r="W70" s="30">
        <f>ROUND(Table13[[#This Row],[Prijs]]/Table13[[#This Row],['#punten]],0)</f>
        <v>3613</v>
      </c>
      <c r="X70" s="34">
        <f>ROUND((Table13[[#This Row],[Goals]]+Table13[[#This Row],[Asissts]])/(Table13[[#This Row],['#minuten]]/90),2)</f>
        <v>0</v>
      </c>
    </row>
    <row r="71" spans="1:24" x14ac:dyDescent="0.2">
      <c r="A71" s="2" t="s">
        <v>249</v>
      </c>
      <c r="B71" s="28" t="s">
        <v>10</v>
      </c>
      <c r="C71" s="29">
        <v>1750000</v>
      </c>
      <c r="D71" s="30" t="s">
        <v>149</v>
      </c>
      <c r="E71" s="30">
        <v>34</v>
      </c>
      <c r="F71" s="30" t="s">
        <v>141</v>
      </c>
      <c r="G71" s="31">
        <v>400</v>
      </c>
      <c r="H71" s="32">
        <v>216</v>
      </c>
      <c r="I71" s="32">
        <f>ROUND((Table13[[#This Row],[laatste 5 wed.]]/Table13[[#This Row],['#punten]])*100,1)</f>
        <v>54</v>
      </c>
      <c r="J71" s="30">
        <v>13</v>
      </c>
      <c r="K71" s="30">
        <v>13</v>
      </c>
      <c r="L71" s="30">
        <v>1111</v>
      </c>
      <c r="M71" s="30">
        <v>450</v>
      </c>
      <c r="N71" s="30">
        <f>ROUND(Table13[[#This Row],[Min laatste 5]]/Table13[[#This Row],['#minuten]]*100,1)</f>
        <v>40.5</v>
      </c>
      <c r="O71" s="30">
        <v>0</v>
      </c>
      <c r="P71" s="30">
        <v>0</v>
      </c>
      <c r="Q71" s="48">
        <v>0</v>
      </c>
      <c r="R71" s="30">
        <v>0</v>
      </c>
      <c r="S71" s="30">
        <v>1</v>
      </c>
      <c r="T71" s="33">
        <f>ROUND(Table13[[#This Row],['#punten]]/Table13[[#This Row],['#Wed]],2)</f>
        <v>30.77</v>
      </c>
      <c r="U71" s="31">
        <f>ROUND(Table13[[#This Row],['#punten]]/Table13[[#This Row],['#minuten]],2)</f>
        <v>0.36</v>
      </c>
      <c r="V71" s="30">
        <f>Table13[[#This Row],[Pt/minuut]]*90</f>
        <v>32.4</v>
      </c>
      <c r="W71" s="30">
        <f>ROUND(Table13[[#This Row],[Prijs]]/Table13[[#This Row],['#punten]],0)</f>
        <v>4375</v>
      </c>
      <c r="X71" s="34">
        <f>ROUND((Table13[[#This Row],[Goals]]+Table13[[#This Row],[Asissts]])/(Table13[[#This Row],['#minuten]]/90),2)</f>
        <v>0</v>
      </c>
    </row>
    <row r="72" spans="1:24" x14ac:dyDescent="0.2">
      <c r="A72" s="2" t="s">
        <v>268</v>
      </c>
      <c r="B72" s="28" t="s">
        <v>260</v>
      </c>
      <c r="C72" s="29">
        <v>1750000</v>
      </c>
      <c r="D72" s="30" t="s">
        <v>149</v>
      </c>
      <c r="E72" s="30">
        <v>23</v>
      </c>
      <c r="F72" s="30" t="s">
        <v>141</v>
      </c>
      <c r="G72" s="31">
        <v>580</v>
      </c>
      <c r="H72" s="32">
        <v>148</v>
      </c>
      <c r="I72" s="32">
        <f>ROUND((Table13[[#This Row],[laatste 5 wed.]]/Table13[[#This Row],['#punten]])*100,1)</f>
        <v>25.5</v>
      </c>
      <c r="J72" s="30">
        <v>16</v>
      </c>
      <c r="K72" s="30">
        <v>16</v>
      </c>
      <c r="L72" s="30">
        <v>1440</v>
      </c>
      <c r="M72" s="30">
        <v>450</v>
      </c>
      <c r="N72" s="30">
        <f>ROUND(Table13[[#This Row],[Min laatste 5]]/Table13[[#This Row],['#minuten]]*100,1)</f>
        <v>31.3</v>
      </c>
      <c r="O72" s="30">
        <v>0</v>
      </c>
      <c r="P72" s="30">
        <v>0</v>
      </c>
      <c r="Q72" s="48">
        <v>0</v>
      </c>
      <c r="R72" s="30">
        <v>0</v>
      </c>
      <c r="S72" s="30">
        <v>3</v>
      </c>
      <c r="T72" s="33">
        <f>ROUND(Table13[[#This Row],['#punten]]/Table13[[#This Row],['#Wed]],2)</f>
        <v>36.25</v>
      </c>
      <c r="U72" s="31">
        <f>ROUND(Table13[[#This Row],['#punten]]/Table13[[#This Row],['#minuten]],2)</f>
        <v>0.4</v>
      </c>
      <c r="V72" s="30">
        <f>Table13[[#This Row],[Pt/minuut]]*90</f>
        <v>36</v>
      </c>
      <c r="W72" s="30">
        <f>ROUND(Table13[[#This Row],[Prijs]]/Table13[[#This Row],['#punten]],0)</f>
        <v>3017</v>
      </c>
      <c r="X72" s="34">
        <f>ROUND((Table13[[#This Row],[Goals]]+Table13[[#This Row],[Asissts]])/(Table13[[#This Row],['#minuten]]/90),2)</f>
        <v>0</v>
      </c>
    </row>
    <row r="73" spans="1:24" x14ac:dyDescent="0.2">
      <c r="A73" s="2" t="s">
        <v>283</v>
      </c>
      <c r="B73" s="62" t="s">
        <v>11</v>
      </c>
      <c r="C73" s="63">
        <v>4000000</v>
      </c>
      <c r="D73" s="60" t="s">
        <v>149</v>
      </c>
      <c r="E73" s="60">
        <v>30</v>
      </c>
      <c r="F73" s="60" t="s">
        <v>158</v>
      </c>
      <c r="G73" s="58">
        <v>1520</v>
      </c>
      <c r="H73" s="64">
        <v>502</v>
      </c>
      <c r="I73" s="64">
        <f>ROUND((Table13[[#This Row],[laatste 5 wed.]]/Table13[[#This Row],['#punten]])*100,1)</f>
        <v>33</v>
      </c>
      <c r="J73" s="60">
        <v>16</v>
      </c>
      <c r="K73" s="60">
        <v>16</v>
      </c>
      <c r="L73" s="60">
        <v>1440</v>
      </c>
      <c r="M73" s="60">
        <v>450</v>
      </c>
      <c r="N73" s="60">
        <f>ROUND(Table13[[#This Row],[Min laatste 5]]/Table13[[#This Row],['#minuten]]*100,1)</f>
        <v>31.3</v>
      </c>
      <c r="O73" s="60">
        <v>0</v>
      </c>
      <c r="P73" s="60">
        <v>0</v>
      </c>
      <c r="Q73" s="86">
        <v>1</v>
      </c>
      <c r="R73" s="60">
        <v>0</v>
      </c>
      <c r="S73" s="60">
        <v>11</v>
      </c>
      <c r="T73" s="59">
        <f>ROUND(Table13[[#This Row],['#punten]]/Table13[[#This Row],['#Wed]],2)</f>
        <v>95</v>
      </c>
      <c r="U73" s="58">
        <f>ROUND(Table13[[#This Row],['#punten]]/Table13[[#This Row],['#minuten]],2)</f>
        <v>1.06</v>
      </c>
      <c r="V73" s="60">
        <f>Table13[[#This Row],[Pt/minuut]]*90</f>
        <v>95.4</v>
      </c>
      <c r="W73" s="60">
        <f>ROUND(Table13[[#This Row],[Prijs]]/Table13[[#This Row],['#punten]],0)</f>
        <v>2632</v>
      </c>
      <c r="X73" s="61">
        <f>ROUND((Table13[[#This Row],[Goals]]+Table13[[#This Row],[Asissts]])/(Table13[[#This Row],['#minuten]]/90),2)</f>
        <v>0</v>
      </c>
    </row>
    <row r="74" spans="1:24" x14ac:dyDescent="0.2">
      <c r="A74" s="2" t="s">
        <v>27</v>
      </c>
      <c r="B74" s="28" t="s">
        <v>40</v>
      </c>
      <c r="C74" s="29">
        <v>1500000</v>
      </c>
      <c r="D74" s="30" t="s">
        <v>149</v>
      </c>
      <c r="E74" s="30">
        <v>28</v>
      </c>
      <c r="F74" s="30" t="s">
        <v>141</v>
      </c>
      <c r="G74" s="31">
        <v>434</v>
      </c>
      <c r="H74" s="32">
        <v>162</v>
      </c>
      <c r="I74" s="32">
        <f>ROUND((Table13[[#This Row],[laatste 5 wed.]]/Table13[[#This Row],['#punten]])*100,1)</f>
        <v>37.299999999999997</v>
      </c>
      <c r="J74" s="30">
        <v>12</v>
      </c>
      <c r="K74" s="30">
        <v>12</v>
      </c>
      <c r="L74" s="30">
        <v>1080</v>
      </c>
      <c r="M74" s="30">
        <v>450</v>
      </c>
      <c r="N74" s="30">
        <f>ROUND(Table13[[#This Row],[Min laatste 5]]/Table13[[#This Row],['#minuten]]*100,1)</f>
        <v>41.7</v>
      </c>
      <c r="O74" s="30">
        <v>0</v>
      </c>
      <c r="P74" s="30">
        <v>0</v>
      </c>
      <c r="Q74" s="48">
        <v>1</v>
      </c>
      <c r="R74" s="30">
        <v>0</v>
      </c>
      <c r="S74" s="30">
        <v>2</v>
      </c>
      <c r="T74" s="26">
        <f>ROUND(Table13[[#This Row],['#punten]]/Table13[[#This Row],['#Wed]],2)</f>
        <v>36.17</v>
      </c>
      <c r="U74" s="24">
        <f>ROUND(Table13[[#This Row],['#punten]]/Table13[[#This Row],['#minuten]],2)</f>
        <v>0.4</v>
      </c>
      <c r="V74" s="23">
        <f>Table13[[#This Row],[Pt/minuut]]*90</f>
        <v>36</v>
      </c>
      <c r="W74" s="23">
        <f>ROUND(Table13[[#This Row],[Prijs]]/Table13[[#This Row],['#punten]],0)</f>
        <v>3456</v>
      </c>
      <c r="X74" s="27">
        <f>ROUND((Table13[[#This Row],[Goals]]+Table13[[#This Row],[Asissts]])/(Table13[[#This Row],['#minuten]]/90),2)</f>
        <v>0</v>
      </c>
    </row>
    <row r="75" spans="1:24" x14ac:dyDescent="0.2">
      <c r="A75" s="2" t="s">
        <v>308</v>
      </c>
      <c r="B75" s="28" t="s">
        <v>47</v>
      </c>
      <c r="C75" s="29">
        <v>2500000</v>
      </c>
      <c r="D75" s="30" t="s">
        <v>149</v>
      </c>
      <c r="E75" s="30">
        <v>28</v>
      </c>
      <c r="F75" s="30" t="s">
        <v>141</v>
      </c>
      <c r="G75" s="31">
        <v>812</v>
      </c>
      <c r="H75" s="32">
        <v>214</v>
      </c>
      <c r="I75" s="32">
        <f>ROUND((Table13[[#This Row],[laatste 5 wed.]]/Table13[[#This Row],['#punten]])*100,1)</f>
        <v>26.4</v>
      </c>
      <c r="J75" s="30">
        <v>16</v>
      </c>
      <c r="K75" s="30">
        <v>16</v>
      </c>
      <c r="L75" s="30">
        <v>1440</v>
      </c>
      <c r="M75" s="30">
        <v>450</v>
      </c>
      <c r="N75" s="30">
        <f>ROUND(Table13[[#This Row],[Min laatste 5]]/Table13[[#This Row],['#minuten]]*100,1)</f>
        <v>31.3</v>
      </c>
      <c r="O75" s="30">
        <v>0</v>
      </c>
      <c r="P75" s="30">
        <v>0</v>
      </c>
      <c r="Q75" s="48">
        <v>0</v>
      </c>
      <c r="R75" s="30">
        <v>0</v>
      </c>
      <c r="S75" s="30">
        <v>4</v>
      </c>
      <c r="T75" s="33">
        <f>ROUND(Table13[[#This Row],['#punten]]/Table13[[#This Row],['#Wed]],2)</f>
        <v>50.75</v>
      </c>
      <c r="U75" s="31">
        <f>ROUND(Table13[[#This Row],['#punten]]/Table13[[#This Row],['#minuten]],2)</f>
        <v>0.56000000000000005</v>
      </c>
      <c r="V75" s="30">
        <f>Table13[[#This Row],[Pt/minuut]]*90</f>
        <v>50.400000000000006</v>
      </c>
      <c r="W75" s="30">
        <f>ROUND(Table13[[#This Row],[Prijs]]/Table13[[#This Row],['#punten]],0)</f>
        <v>3079</v>
      </c>
      <c r="X75" s="34">
        <f>ROUND((Table13[[#This Row],[Goals]]+Table13[[#This Row],[Asissts]])/(Table13[[#This Row],['#minuten]]/90),2)</f>
        <v>0</v>
      </c>
    </row>
    <row r="76" spans="1:24" x14ac:dyDescent="0.2">
      <c r="A76" s="2" t="s">
        <v>123</v>
      </c>
      <c r="B76" s="51" t="s">
        <v>49</v>
      </c>
      <c r="C76" s="52">
        <v>3000000</v>
      </c>
      <c r="D76" s="53" t="s">
        <v>149</v>
      </c>
      <c r="E76" s="53">
        <v>33</v>
      </c>
      <c r="F76" s="53" t="s">
        <v>200</v>
      </c>
      <c r="G76" s="54">
        <v>892</v>
      </c>
      <c r="H76" s="55">
        <v>132</v>
      </c>
      <c r="I76" s="55">
        <f>ROUND((Table13[[#This Row],[laatste 5 wed.]]/Table13[[#This Row],['#punten]])*100,1)</f>
        <v>14.8</v>
      </c>
      <c r="J76" s="53">
        <v>16</v>
      </c>
      <c r="K76" s="53">
        <v>16</v>
      </c>
      <c r="L76" s="53">
        <v>1440</v>
      </c>
      <c r="M76" s="53">
        <v>450</v>
      </c>
      <c r="N76" s="53">
        <f>ROUND(Table13[[#This Row],[Min laatste 5]]/Table13[[#This Row],['#minuten]]*100,1)</f>
        <v>31.3</v>
      </c>
      <c r="O76" s="53">
        <v>0</v>
      </c>
      <c r="P76" s="53">
        <v>0</v>
      </c>
      <c r="Q76" s="85">
        <v>1</v>
      </c>
      <c r="R76" s="53">
        <v>0</v>
      </c>
      <c r="S76" s="53">
        <v>4</v>
      </c>
      <c r="T76" s="56">
        <f>ROUND(Table13[[#This Row],['#punten]]/Table13[[#This Row],['#Wed]],2)</f>
        <v>55.75</v>
      </c>
      <c r="U76" s="54">
        <f>ROUND(Table13[[#This Row],['#punten]]/Table13[[#This Row],['#minuten]],2)</f>
        <v>0.62</v>
      </c>
      <c r="V76" s="53">
        <f>Table13[[#This Row],[Pt/minuut]]*90</f>
        <v>55.8</v>
      </c>
      <c r="W76" s="53">
        <f>ROUND(Table13[[#This Row],[Prijs]]/Table13[[#This Row],['#punten]],0)</f>
        <v>3363</v>
      </c>
      <c r="X76" s="57">
        <f>ROUND((Table13[[#This Row],[Goals]]+Table13[[#This Row],[Asissts]])/(Table13[[#This Row],['#minuten]]/90),2)</f>
        <v>0</v>
      </c>
    </row>
    <row r="77" spans="1:24" x14ac:dyDescent="0.2">
      <c r="A77" s="2" t="s">
        <v>328</v>
      </c>
      <c r="B77" s="28" t="s">
        <v>317</v>
      </c>
      <c r="C77" s="29">
        <v>2500000</v>
      </c>
      <c r="D77" s="30" t="s">
        <v>149</v>
      </c>
      <c r="E77" s="30">
        <v>29</v>
      </c>
      <c r="F77" s="30" t="s">
        <v>169</v>
      </c>
      <c r="G77" s="31">
        <v>618</v>
      </c>
      <c r="H77" s="32">
        <v>250</v>
      </c>
      <c r="I77" s="32">
        <f>ROUND((Table13[[#This Row],[laatste 5 wed.]]/Table13[[#This Row],['#punten]])*100,1)</f>
        <v>40.5</v>
      </c>
      <c r="J77" s="30">
        <v>15</v>
      </c>
      <c r="K77" s="30">
        <v>15</v>
      </c>
      <c r="L77" s="30">
        <v>1350</v>
      </c>
      <c r="M77" s="30">
        <v>450</v>
      </c>
      <c r="N77" s="30">
        <f>ROUND(Table13[[#This Row],[Min laatste 5]]/Table13[[#This Row],['#minuten]]*100,1)</f>
        <v>33.299999999999997</v>
      </c>
      <c r="O77" s="30">
        <v>0</v>
      </c>
      <c r="P77" s="30">
        <v>0</v>
      </c>
      <c r="Q77" s="48">
        <v>2</v>
      </c>
      <c r="R77" s="30">
        <v>0</v>
      </c>
      <c r="S77" s="30">
        <v>2</v>
      </c>
      <c r="T77" s="33">
        <f>ROUND(Table13[[#This Row],['#punten]]/Table13[[#This Row],['#Wed]],2)</f>
        <v>41.2</v>
      </c>
      <c r="U77" s="31">
        <f>ROUND(Table13[[#This Row],['#punten]]/Table13[[#This Row],['#minuten]],2)</f>
        <v>0.46</v>
      </c>
      <c r="V77" s="30">
        <f>Table13[[#This Row],[Pt/minuut]]*90</f>
        <v>41.4</v>
      </c>
      <c r="W77" s="30">
        <f>ROUND(Table13[[#This Row],[Prijs]]/Table13[[#This Row],['#punten]],0)</f>
        <v>4045</v>
      </c>
      <c r="X77" s="34">
        <f>ROUND((Table13[[#This Row],[Goals]]+Table13[[#This Row],[Asissts]])/(Table13[[#This Row],['#minuten]]/90),2)</f>
        <v>0</v>
      </c>
    </row>
    <row r="78" spans="1:24" x14ac:dyDescent="0.2">
      <c r="A78" s="2" t="s">
        <v>329</v>
      </c>
      <c r="B78" s="28" t="s">
        <v>50</v>
      </c>
      <c r="C78" s="29">
        <v>1250000</v>
      </c>
      <c r="D78" s="30" t="s">
        <v>149</v>
      </c>
      <c r="E78" s="30">
        <v>34</v>
      </c>
      <c r="F78" s="30" t="s">
        <v>141</v>
      </c>
      <c r="G78" s="31">
        <v>562</v>
      </c>
      <c r="H78" s="32">
        <v>222</v>
      </c>
      <c r="I78" s="32">
        <f>ROUND((Table13[[#This Row],[laatste 5 wed.]]/Table13[[#This Row],['#punten]])*100,1)</f>
        <v>39.5</v>
      </c>
      <c r="J78" s="30">
        <v>16</v>
      </c>
      <c r="K78" s="30">
        <v>16</v>
      </c>
      <c r="L78" s="30">
        <v>1440</v>
      </c>
      <c r="M78" s="30">
        <v>450</v>
      </c>
      <c r="N78" s="30">
        <f>ROUND(Table13[[#This Row],[Min laatste 5]]/Table13[[#This Row],['#minuten]]*100,1)</f>
        <v>31.3</v>
      </c>
      <c r="O78" s="30">
        <v>0</v>
      </c>
      <c r="P78" s="30">
        <v>0</v>
      </c>
      <c r="Q78" s="48">
        <v>1</v>
      </c>
      <c r="R78" s="30">
        <v>0</v>
      </c>
      <c r="S78" s="30">
        <v>2</v>
      </c>
      <c r="T78" s="33">
        <f>ROUND(Table13[[#This Row],['#punten]]/Table13[[#This Row],['#Wed]],2)</f>
        <v>35.130000000000003</v>
      </c>
      <c r="U78" s="31">
        <f>ROUND(Table13[[#This Row],['#punten]]/Table13[[#This Row],['#minuten]],2)</f>
        <v>0.39</v>
      </c>
      <c r="V78" s="30">
        <f>Table13[[#This Row],[Pt/minuut]]*90</f>
        <v>35.1</v>
      </c>
      <c r="W78" s="30">
        <f>ROUND(Table13[[#This Row],[Prijs]]/Table13[[#This Row],['#punten]],0)</f>
        <v>2224</v>
      </c>
      <c r="X78" s="34">
        <f>ROUND((Table13[[#This Row],[Goals]]+Table13[[#This Row],[Asissts]])/(Table13[[#This Row],['#minuten]]/90),2)</f>
        <v>0</v>
      </c>
    </row>
    <row r="79" spans="1:24" x14ac:dyDescent="0.2">
      <c r="A79" s="2" t="s">
        <v>345</v>
      </c>
      <c r="B79" s="28" t="s">
        <v>51</v>
      </c>
      <c r="C79" s="29">
        <v>750000</v>
      </c>
      <c r="D79" s="30" t="s">
        <v>149</v>
      </c>
      <c r="E79" s="30">
        <v>19</v>
      </c>
      <c r="F79" s="30" t="s">
        <v>200</v>
      </c>
      <c r="G79" s="31">
        <v>250</v>
      </c>
      <c r="H79" s="32">
        <v>30</v>
      </c>
      <c r="I79" s="32">
        <f>ROUND((Table13[[#This Row],[laatste 5 wed.]]/Table13[[#This Row],['#punten]])*100,1)</f>
        <v>12</v>
      </c>
      <c r="J79" s="30">
        <v>16</v>
      </c>
      <c r="K79" s="30">
        <v>16</v>
      </c>
      <c r="L79" s="30">
        <v>1440</v>
      </c>
      <c r="M79" s="30">
        <v>450</v>
      </c>
      <c r="N79" s="30">
        <f>ROUND(Table13[[#This Row],[Min laatste 5]]/Table13[[#This Row],['#minuten]]*100,1)</f>
        <v>31.3</v>
      </c>
      <c r="O79" s="30">
        <v>0</v>
      </c>
      <c r="P79" s="30">
        <v>0</v>
      </c>
      <c r="Q79" s="48">
        <v>3</v>
      </c>
      <c r="R79" s="30">
        <v>0</v>
      </c>
      <c r="S79" s="30">
        <v>1</v>
      </c>
      <c r="T79" s="33">
        <f>ROUND(Table13[[#This Row],['#punten]]/Table13[[#This Row],['#Wed]],2)</f>
        <v>15.63</v>
      </c>
      <c r="U79" s="31">
        <f>ROUND(Table13[[#This Row],['#punten]]/Table13[[#This Row],['#minuten]],2)</f>
        <v>0.17</v>
      </c>
      <c r="V79" s="30">
        <f>Table13[[#This Row],[Pt/minuut]]*90</f>
        <v>15.3</v>
      </c>
      <c r="W79" s="30">
        <f>ROUND(Table13[[#This Row],[Prijs]]/Table13[[#This Row],['#punten]],0)</f>
        <v>3000</v>
      </c>
      <c r="X79" s="34">
        <f>ROUND((Table13[[#This Row],[Goals]]+Table13[[#This Row],[Asissts]])/(Table13[[#This Row],['#minuten]]/90),2)</f>
        <v>0</v>
      </c>
    </row>
    <row r="80" spans="1:24" x14ac:dyDescent="0.2">
      <c r="A80" s="39" t="s">
        <v>147</v>
      </c>
      <c r="B80" s="28" t="s">
        <v>43</v>
      </c>
      <c r="C80" s="29">
        <v>2500000</v>
      </c>
      <c r="D80" s="30" t="s">
        <v>140</v>
      </c>
      <c r="E80" s="30">
        <v>20</v>
      </c>
      <c r="F80" s="30" t="s">
        <v>144</v>
      </c>
      <c r="G80" s="31">
        <v>464</v>
      </c>
      <c r="H80" s="32">
        <v>224</v>
      </c>
      <c r="I80" s="32">
        <f>ROUND((Table13[[#This Row],[laatste 5 wed.]]/Table13[[#This Row],['#punten]])*100,1)</f>
        <v>48.3</v>
      </c>
      <c r="J80" s="30">
        <v>11</v>
      </c>
      <c r="K80" s="30">
        <v>9</v>
      </c>
      <c r="L80" s="30">
        <v>813</v>
      </c>
      <c r="M80" s="30">
        <v>350</v>
      </c>
      <c r="N80" s="30">
        <f>ROUND(Table13[[#This Row],[Min laatste 5]]/Table13[[#This Row],['#minuten]]*100,1)</f>
        <v>43.1</v>
      </c>
      <c r="O80" s="30">
        <v>1</v>
      </c>
      <c r="P80" s="30">
        <v>2</v>
      </c>
      <c r="Q80" s="48">
        <v>2</v>
      </c>
      <c r="R80" s="30">
        <v>0</v>
      </c>
      <c r="S80" s="30">
        <v>2</v>
      </c>
      <c r="T80" s="33">
        <f>ROUND(Table13[[#This Row],['#punten]]/Table13[[#This Row],['#Wed]],2)</f>
        <v>42.18</v>
      </c>
      <c r="U80" s="31">
        <f>ROUND(Table13[[#This Row],['#punten]]/Table13[[#This Row],['#minuten]],2)</f>
        <v>0.56999999999999995</v>
      </c>
      <c r="V80" s="30">
        <f>Table13[[#This Row],[Pt/minuut]]*90</f>
        <v>51.3</v>
      </c>
      <c r="W80" s="30">
        <f>ROUND(Table13[[#This Row],[Prijs]]/Table13[[#This Row],['#punten]],0)</f>
        <v>5388</v>
      </c>
      <c r="X80" s="34">
        <f>ROUND((Table13[[#This Row],[Goals]]+Table13[[#This Row],[Asissts]])/(Table13[[#This Row],['#minuten]]/90),2)</f>
        <v>0.33</v>
      </c>
    </row>
    <row r="81" spans="1:24" x14ac:dyDescent="0.2">
      <c r="A81" s="39" t="s">
        <v>146</v>
      </c>
      <c r="B81" s="28" t="s">
        <v>43</v>
      </c>
      <c r="C81" s="29">
        <v>2500000</v>
      </c>
      <c r="D81" s="30" t="s">
        <v>140</v>
      </c>
      <c r="E81" s="30">
        <v>21</v>
      </c>
      <c r="F81" s="30" t="s">
        <v>141</v>
      </c>
      <c r="G81" s="31">
        <v>582</v>
      </c>
      <c r="H81" s="32">
        <v>378</v>
      </c>
      <c r="I81" s="32">
        <f>ROUND((Table13[[#This Row],[laatste 5 wed.]]/Table13[[#This Row],['#punten]])*100,1)</f>
        <v>64.900000000000006</v>
      </c>
      <c r="J81" s="30">
        <v>16</v>
      </c>
      <c r="K81" s="30">
        <v>13</v>
      </c>
      <c r="L81" s="30">
        <v>1175</v>
      </c>
      <c r="M81" s="30">
        <v>431</v>
      </c>
      <c r="N81" s="30">
        <f>ROUND(Table13[[#This Row],[Min laatste 5]]/Table13[[#This Row],['#minuten]]*100,1)</f>
        <v>36.700000000000003</v>
      </c>
      <c r="O81" s="30">
        <v>1</v>
      </c>
      <c r="P81" s="30">
        <v>2</v>
      </c>
      <c r="Q81" s="48">
        <v>1</v>
      </c>
      <c r="R81" s="30">
        <v>0</v>
      </c>
      <c r="S81" s="30">
        <v>2</v>
      </c>
      <c r="T81" s="33">
        <f>ROUND(Table13[[#This Row],['#punten]]/Table13[[#This Row],['#Wed]],2)</f>
        <v>36.380000000000003</v>
      </c>
      <c r="U81" s="31">
        <f>ROUND(Table13[[#This Row],['#punten]]/Table13[[#This Row],['#minuten]],2)</f>
        <v>0.5</v>
      </c>
      <c r="V81" s="30">
        <f>Table13[[#This Row],[Pt/minuut]]*90</f>
        <v>45</v>
      </c>
      <c r="W81" s="30">
        <f>ROUND(Table13[[#This Row],[Prijs]]/Table13[[#This Row],['#punten]],0)</f>
        <v>4296</v>
      </c>
      <c r="X81" s="34">
        <f>ROUND((Table13[[#This Row],[Goals]]+Table13[[#This Row],[Asissts]])/(Table13[[#This Row],['#minuten]]/90),2)</f>
        <v>0.23</v>
      </c>
    </row>
    <row r="82" spans="1:24" x14ac:dyDescent="0.2">
      <c r="A82" s="39" t="s">
        <v>145</v>
      </c>
      <c r="B82" s="28" t="s">
        <v>43</v>
      </c>
      <c r="C82" s="29">
        <v>3000000</v>
      </c>
      <c r="D82" s="30" t="s">
        <v>140</v>
      </c>
      <c r="E82" s="30">
        <v>28</v>
      </c>
      <c r="F82" s="30" t="s">
        <v>141</v>
      </c>
      <c r="G82" s="31">
        <v>506</v>
      </c>
      <c r="H82" s="32">
        <v>0</v>
      </c>
      <c r="I82" s="32">
        <f>ROUND((Table13[[#This Row],[laatste 5 wed.]]/Table13[[#This Row],['#punten]])*100,1)</f>
        <v>0</v>
      </c>
      <c r="J82" s="30">
        <v>9</v>
      </c>
      <c r="K82" s="30">
        <v>7</v>
      </c>
      <c r="L82" s="30">
        <v>621</v>
      </c>
      <c r="M82" s="30">
        <v>0</v>
      </c>
      <c r="N82" s="30">
        <f>ROUND(Table13[[#This Row],[Min laatste 5]]/Table13[[#This Row],['#minuten]]*100,1)</f>
        <v>0</v>
      </c>
      <c r="O82" s="30">
        <v>2</v>
      </c>
      <c r="P82" s="30">
        <v>1</v>
      </c>
      <c r="Q82" s="48">
        <v>1</v>
      </c>
      <c r="R82" s="30">
        <v>0</v>
      </c>
      <c r="S82" s="30">
        <v>2</v>
      </c>
      <c r="T82" s="33">
        <f>ROUND(Table13[[#This Row],['#punten]]/Table13[[#This Row],['#Wed]],2)</f>
        <v>56.22</v>
      </c>
      <c r="U82" s="31">
        <f>ROUND(Table13[[#This Row],['#punten]]/Table13[[#This Row],['#minuten]],2)</f>
        <v>0.81</v>
      </c>
      <c r="V82" s="30">
        <f>Table13[[#This Row],[Pt/minuut]]*90</f>
        <v>72.900000000000006</v>
      </c>
      <c r="W82" s="30">
        <f>ROUND(Table13[[#This Row],[Prijs]]/Table13[[#This Row],['#punten]],0)</f>
        <v>5929</v>
      </c>
      <c r="X82" s="34">
        <f>ROUND((Table13[[#This Row],[Goals]]+Table13[[#This Row],[Asissts]])/(Table13[[#This Row],['#minuten]]/90),2)</f>
        <v>0.43</v>
      </c>
    </row>
    <row r="83" spans="1:24" x14ac:dyDescent="0.2">
      <c r="A83" s="39" t="s">
        <v>529</v>
      </c>
      <c r="B83" s="62" t="s">
        <v>43</v>
      </c>
      <c r="C83" s="63">
        <v>3500000</v>
      </c>
      <c r="D83" s="60" t="s">
        <v>140</v>
      </c>
      <c r="E83" s="60">
        <v>19</v>
      </c>
      <c r="F83" s="60" t="s">
        <v>218</v>
      </c>
      <c r="G83" s="58">
        <v>0</v>
      </c>
      <c r="H83" s="64">
        <v>0</v>
      </c>
      <c r="I83" s="64">
        <v>0</v>
      </c>
      <c r="J83" s="60">
        <v>12</v>
      </c>
      <c r="K83" s="60">
        <v>9</v>
      </c>
      <c r="L83" s="60">
        <v>781</v>
      </c>
      <c r="M83" s="60">
        <v>271</v>
      </c>
      <c r="N83" s="60">
        <f>ROUND(Table13[[#This Row],[Min laatste 5]]/Table13[[#This Row],['#minuten]]*100,1)</f>
        <v>34.700000000000003</v>
      </c>
      <c r="O83" s="60">
        <v>4</v>
      </c>
      <c r="P83" s="60">
        <v>0</v>
      </c>
      <c r="Q83" s="86">
        <v>0</v>
      </c>
      <c r="R83" s="60">
        <v>0</v>
      </c>
      <c r="S83" s="60">
        <v>3</v>
      </c>
      <c r="T83" s="59">
        <f>ROUND(Table13[[#This Row],['#punten]]/Table13[[#This Row],['#Wed]],2)</f>
        <v>0</v>
      </c>
      <c r="U83" s="58">
        <v>0</v>
      </c>
      <c r="V83" s="60">
        <v>0</v>
      </c>
      <c r="W83" s="60">
        <v>0</v>
      </c>
      <c r="X83" s="61">
        <v>0</v>
      </c>
    </row>
    <row r="84" spans="1:24" x14ac:dyDescent="0.2">
      <c r="A84" s="39" t="s">
        <v>358</v>
      </c>
      <c r="B84" s="21" t="s">
        <v>159</v>
      </c>
      <c r="C84" s="22">
        <v>750000</v>
      </c>
      <c r="D84" s="23" t="s">
        <v>140</v>
      </c>
      <c r="E84" s="23">
        <v>20</v>
      </c>
      <c r="F84" s="23" t="s">
        <v>141</v>
      </c>
      <c r="G84" s="24">
        <v>584</v>
      </c>
      <c r="H84" s="25">
        <v>220</v>
      </c>
      <c r="I84" s="25">
        <f>ROUND((Table13[[#This Row],[laatste 5 wed.]]/Table13[[#This Row],['#punten]])*100,1)</f>
        <v>37.700000000000003</v>
      </c>
      <c r="J84" s="23">
        <v>14</v>
      </c>
      <c r="K84" s="23">
        <v>10</v>
      </c>
      <c r="L84" s="23">
        <v>825</v>
      </c>
      <c r="M84" s="23">
        <v>367</v>
      </c>
      <c r="N84" s="23">
        <f>ROUND(Table13[[#This Row],[Min laatste 5]]/Table13[[#This Row],['#minuten]]*100,1)</f>
        <v>44.5</v>
      </c>
      <c r="O84" s="23">
        <v>2</v>
      </c>
      <c r="P84" s="23">
        <v>1</v>
      </c>
      <c r="Q84" s="45">
        <v>0</v>
      </c>
      <c r="R84" s="23">
        <v>0</v>
      </c>
      <c r="S84" s="23">
        <v>3</v>
      </c>
      <c r="T84" s="26">
        <f>ROUND(Table13[[#This Row],['#punten]]/Table13[[#This Row],['#Wed]],2)</f>
        <v>41.71</v>
      </c>
      <c r="U84" s="24">
        <f>ROUND(Table13[[#This Row],['#punten]]/Table13[[#This Row],['#minuten]],2)</f>
        <v>0.71</v>
      </c>
      <c r="V84" s="23">
        <f>Table13[[#This Row],[Pt/minuut]]*90</f>
        <v>63.9</v>
      </c>
      <c r="W84" s="23">
        <f>ROUND(Table13[[#This Row],[Prijs]]/Table13[[#This Row],['#punten]],0)</f>
        <v>1284</v>
      </c>
      <c r="X84" s="27">
        <f>ROUND((Table13[[#This Row],[Goals]]+Table13[[#This Row],[Asissts]])/(Table13[[#This Row],['#minuten]]/90),2)</f>
        <v>0.33</v>
      </c>
    </row>
    <row r="85" spans="1:24" x14ac:dyDescent="0.2">
      <c r="A85" s="39" t="s">
        <v>359</v>
      </c>
      <c r="B85" s="21" t="s">
        <v>159</v>
      </c>
      <c r="C85" s="22">
        <v>750000</v>
      </c>
      <c r="D85" s="23" t="s">
        <v>140</v>
      </c>
      <c r="E85" s="23">
        <v>20</v>
      </c>
      <c r="F85" s="23" t="s">
        <v>141</v>
      </c>
      <c r="G85" s="24">
        <v>368</v>
      </c>
      <c r="H85" s="25">
        <v>68</v>
      </c>
      <c r="I85" s="25">
        <f>ROUND((Table13[[#This Row],[laatste 5 wed.]]/Table13[[#This Row],['#punten]])*100,1)</f>
        <v>18.5</v>
      </c>
      <c r="J85" s="23">
        <v>15</v>
      </c>
      <c r="K85" s="23">
        <v>12</v>
      </c>
      <c r="L85" s="23">
        <v>1153</v>
      </c>
      <c r="M85" s="23">
        <v>411</v>
      </c>
      <c r="N85" s="23">
        <f>ROUND(Table13[[#This Row],[Min laatste 5]]/Table13[[#This Row],['#minuten]]*100,1)</f>
        <v>35.6</v>
      </c>
      <c r="O85" s="23">
        <v>0</v>
      </c>
      <c r="P85" s="23">
        <v>0</v>
      </c>
      <c r="Q85" s="45">
        <v>4</v>
      </c>
      <c r="R85" s="23">
        <v>0</v>
      </c>
      <c r="S85" s="23">
        <v>5</v>
      </c>
      <c r="T85" s="26">
        <f>ROUND(Table13[[#This Row],['#punten]]/Table13[[#This Row],['#Wed]],2)</f>
        <v>24.53</v>
      </c>
      <c r="U85" s="24">
        <f>ROUND(Table13[[#This Row],['#punten]]/Table13[[#This Row],['#minuten]],2)</f>
        <v>0.32</v>
      </c>
      <c r="V85" s="23">
        <f>Table13[[#This Row],[Pt/minuut]]*90</f>
        <v>28.8</v>
      </c>
      <c r="W85" s="23">
        <f>ROUND(Table13[[#This Row],[Prijs]]/Table13[[#This Row],['#punten]],0)</f>
        <v>2038</v>
      </c>
      <c r="X85" s="27">
        <f>ROUND((Table13[[#This Row],[Goals]]+Table13[[#This Row],[Asissts]])/(Table13[[#This Row],['#minuten]]/90),2)</f>
        <v>0</v>
      </c>
    </row>
    <row r="86" spans="1:24" x14ac:dyDescent="0.2">
      <c r="A86" s="39" t="s">
        <v>30</v>
      </c>
      <c r="B86" s="21" t="s">
        <v>159</v>
      </c>
      <c r="C86" s="22">
        <v>1000000</v>
      </c>
      <c r="D86" s="23" t="s">
        <v>140</v>
      </c>
      <c r="E86" s="23">
        <v>23</v>
      </c>
      <c r="F86" s="23" t="s">
        <v>141</v>
      </c>
      <c r="G86" s="24">
        <v>508</v>
      </c>
      <c r="H86" s="25">
        <v>172</v>
      </c>
      <c r="I86" s="25">
        <f>ROUND((Table13[[#This Row],[laatste 5 wed.]]/Table13[[#This Row],['#punten]])*100,1)</f>
        <v>33.9</v>
      </c>
      <c r="J86" s="23">
        <v>16</v>
      </c>
      <c r="K86" s="23">
        <v>16</v>
      </c>
      <c r="L86" s="23">
        <v>1428</v>
      </c>
      <c r="M86" s="23">
        <v>445</v>
      </c>
      <c r="N86" s="23">
        <f>ROUND(Table13[[#This Row],[Min laatste 5]]/Table13[[#This Row],['#minuten]]*100,1)</f>
        <v>31.2</v>
      </c>
      <c r="O86" s="23">
        <v>0</v>
      </c>
      <c r="P86" s="23">
        <v>3</v>
      </c>
      <c r="Q86" s="45">
        <v>4</v>
      </c>
      <c r="R86" s="23">
        <v>0</v>
      </c>
      <c r="S86" s="23">
        <v>5</v>
      </c>
      <c r="T86" s="26">
        <f>ROUND(Table13[[#This Row],['#punten]]/Table13[[#This Row],['#Wed]],2)</f>
        <v>31.75</v>
      </c>
      <c r="U86" s="24">
        <f>ROUND(Table13[[#This Row],['#punten]]/Table13[[#This Row],['#minuten]],2)</f>
        <v>0.36</v>
      </c>
      <c r="V86" s="23">
        <f>Table13[[#This Row],[Pt/minuut]]*90</f>
        <v>32.4</v>
      </c>
      <c r="W86" s="23">
        <f>ROUND(Table13[[#This Row],[Prijs]]/Table13[[#This Row],['#punten]],0)</f>
        <v>1969</v>
      </c>
      <c r="X86" s="27">
        <f>ROUND((Table13[[#This Row],[Goals]]+Table13[[#This Row],[Asissts]])/(Table13[[#This Row],['#minuten]]/90),2)</f>
        <v>0.19</v>
      </c>
    </row>
    <row r="87" spans="1:24" x14ac:dyDescent="0.2">
      <c r="A87" s="39" t="s">
        <v>162</v>
      </c>
      <c r="B87" s="28" t="s">
        <v>159</v>
      </c>
      <c r="C87" s="29">
        <v>750000</v>
      </c>
      <c r="D87" s="30" t="s">
        <v>140</v>
      </c>
      <c r="E87" s="30">
        <v>24</v>
      </c>
      <c r="F87" s="30" t="s">
        <v>141</v>
      </c>
      <c r="G87" s="31">
        <v>124</v>
      </c>
      <c r="H87" s="32">
        <v>80</v>
      </c>
      <c r="I87" s="32">
        <f>ROUND((Table13[[#This Row],[laatste 5 wed.]]/Table13[[#This Row],['#punten]])*100,1)</f>
        <v>64.5</v>
      </c>
      <c r="J87" s="30">
        <v>14</v>
      </c>
      <c r="K87" s="30">
        <v>3</v>
      </c>
      <c r="L87" s="30">
        <v>440</v>
      </c>
      <c r="M87" s="30">
        <v>51</v>
      </c>
      <c r="N87" s="30">
        <f>ROUND(Table13[[#This Row],[Min laatste 5]]/Table13[[#This Row],['#minuten]]*100,1)</f>
        <v>11.6</v>
      </c>
      <c r="O87" s="30">
        <v>0</v>
      </c>
      <c r="P87" s="30">
        <v>2</v>
      </c>
      <c r="Q87" s="48">
        <v>1</v>
      </c>
      <c r="R87" s="30">
        <v>0</v>
      </c>
      <c r="S87" s="30">
        <v>0</v>
      </c>
      <c r="T87" s="26">
        <f>ROUND(Table13[[#This Row],['#punten]]/Table13[[#This Row],['#Wed]],2)</f>
        <v>8.86</v>
      </c>
      <c r="U87" s="24">
        <f>ROUND(Table13[[#This Row],['#punten]]/Table13[[#This Row],['#minuten]],2)</f>
        <v>0.28000000000000003</v>
      </c>
      <c r="V87" s="23">
        <f>Table13[[#This Row],[Pt/minuut]]*90</f>
        <v>25.200000000000003</v>
      </c>
      <c r="W87" s="23">
        <f>ROUND(Table13[[#This Row],[Prijs]]/Table13[[#This Row],['#punten]],0)</f>
        <v>6048</v>
      </c>
      <c r="X87" s="27">
        <f>ROUND((Table13[[#This Row],[Goals]]+Table13[[#This Row],[Asissts]])/(Table13[[#This Row],['#minuten]]/90),2)</f>
        <v>0.41</v>
      </c>
    </row>
    <row r="88" spans="1:24" x14ac:dyDescent="0.2">
      <c r="A88" s="39" t="s">
        <v>163</v>
      </c>
      <c r="B88" s="21" t="s">
        <v>159</v>
      </c>
      <c r="C88" s="22">
        <v>5000000</v>
      </c>
      <c r="D88" s="23" t="s">
        <v>140</v>
      </c>
      <c r="E88" s="23">
        <v>32</v>
      </c>
      <c r="F88" s="23" t="s">
        <v>47</v>
      </c>
      <c r="G88" s="24">
        <v>208</v>
      </c>
      <c r="H88" s="25">
        <v>180</v>
      </c>
      <c r="I88" s="25">
        <f>ROUND((Table13[[#This Row],[laatste 5 wed.]]/Table13[[#This Row],['#punten]])*100,1)</f>
        <v>86.5</v>
      </c>
      <c r="J88" s="23">
        <v>9</v>
      </c>
      <c r="K88" s="23">
        <v>4</v>
      </c>
      <c r="L88" s="23">
        <v>388</v>
      </c>
      <c r="M88" s="23">
        <v>136</v>
      </c>
      <c r="N88" s="23">
        <f>ROUND(Table13[[#This Row],[Min laatste 5]]/Table13[[#This Row],['#minuten]]*100,1)</f>
        <v>35.1</v>
      </c>
      <c r="O88" s="23">
        <v>1</v>
      </c>
      <c r="P88" s="23">
        <v>0</v>
      </c>
      <c r="Q88" s="45">
        <v>0</v>
      </c>
      <c r="R88" s="23">
        <v>0</v>
      </c>
      <c r="S88" s="23">
        <v>0</v>
      </c>
      <c r="T88" s="26">
        <f>ROUND(Table13[[#This Row],['#punten]]/Table13[[#This Row],['#Wed]],2)</f>
        <v>23.11</v>
      </c>
      <c r="U88" s="24">
        <f>ROUND(Table13[[#This Row],['#punten]]/Table13[[#This Row],['#minuten]],2)</f>
        <v>0.54</v>
      </c>
      <c r="V88" s="23">
        <f>Table13[[#This Row],[Pt/minuut]]*90</f>
        <v>48.6</v>
      </c>
      <c r="W88" s="23">
        <f>ROUND(Table13[[#This Row],[Prijs]]/Table13[[#This Row],['#punten]],0)</f>
        <v>24038</v>
      </c>
      <c r="X88" s="27">
        <f>ROUND((Table13[[#This Row],[Goals]]+Table13[[#This Row],[Asissts]])/(Table13[[#This Row],['#minuten]]/90),2)</f>
        <v>0.23</v>
      </c>
    </row>
    <row r="89" spans="1:24" x14ac:dyDescent="0.2">
      <c r="A89" s="39" t="s">
        <v>173</v>
      </c>
      <c r="B89" s="28" t="s">
        <v>6</v>
      </c>
      <c r="C89" s="29">
        <v>3000000</v>
      </c>
      <c r="D89" s="30" t="s">
        <v>140</v>
      </c>
      <c r="E89" s="30">
        <v>23</v>
      </c>
      <c r="F89" s="30" t="s">
        <v>141</v>
      </c>
      <c r="G89" s="31">
        <v>720</v>
      </c>
      <c r="H89" s="32">
        <v>56</v>
      </c>
      <c r="I89" s="32">
        <f>ROUND((Table13[[#This Row],[laatste 5 wed.]]/Table13[[#This Row],['#punten]])*100,1)</f>
        <v>7.8</v>
      </c>
      <c r="J89" s="30">
        <v>13</v>
      </c>
      <c r="K89" s="30">
        <v>13</v>
      </c>
      <c r="L89" s="30">
        <v>989</v>
      </c>
      <c r="M89" s="30">
        <v>89</v>
      </c>
      <c r="N89" s="30">
        <f>ROUND(Table13[[#This Row],[Min laatste 5]]/Table13[[#This Row],['#minuten]]*100,1)</f>
        <v>9</v>
      </c>
      <c r="O89" s="30">
        <v>0</v>
      </c>
      <c r="P89" s="30">
        <v>3</v>
      </c>
      <c r="Q89" s="48">
        <v>0</v>
      </c>
      <c r="R89" s="30">
        <v>0</v>
      </c>
      <c r="S89" s="30">
        <v>5</v>
      </c>
      <c r="T89" s="33">
        <f>ROUND(Table13[[#This Row],['#punten]]/Table13[[#This Row],['#Wed]],2)</f>
        <v>55.38</v>
      </c>
      <c r="U89" s="31">
        <f>ROUND(Table13[[#This Row],['#punten]]/Table13[[#This Row],['#minuten]],2)</f>
        <v>0.73</v>
      </c>
      <c r="V89" s="30">
        <f>Table13[[#This Row],[Pt/minuut]]*90</f>
        <v>65.7</v>
      </c>
      <c r="W89" s="30">
        <f>ROUND(Table13[[#This Row],[Prijs]]/Table13[[#This Row],['#punten]],0)</f>
        <v>4167</v>
      </c>
      <c r="X89" s="34">
        <f>ROUND((Table13[[#This Row],[Goals]]+Table13[[#This Row],[Asissts]])/(Table13[[#This Row],['#minuten]]/90),2)</f>
        <v>0.27</v>
      </c>
    </row>
    <row r="90" spans="1:24" x14ac:dyDescent="0.2">
      <c r="A90" s="39" t="s">
        <v>31</v>
      </c>
      <c r="B90" s="21" t="s">
        <v>6</v>
      </c>
      <c r="C90" s="22">
        <v>3000000</v>
      </c>
      <c r="D90" s="23" t="s">
        <v>140</v>
      </c>
      <c r="E90" s="23">
        <v>25</v>
      </c>
      <c r="F90" s="23" t="s">
        <v>141</v>
      </c>
      <c r="G90" s="24">
        <v>1132</v>
      </c>
      <c r="H90" s="25">
        <v>180</v>
      </c>
      <c r="I90" s="25">
        <f>ROUND((Table13[[#This Row],[laatste 5 wed.]]/Table13[[#This Row],['#punten]])*100,1)</f>
        <v>15.9</v>
      </c>
      <c r="J90" s="23">
        <v>15</v>
      </c>
      <c r="K90" s="23">
        <v>12</v>
      </c>
      <c r="L90" s="23">
        <v>1122</v>
      </c>
      <c r="M90" s="23">
        <v>193</v>
      </c>
      <c r="N90" s="23">
        <f>ROUND(Table13[[#This Row],[Min laatste 5]]/Table13[[#This Row],['#minuten]]*100,1)</f>
        <v>17.2</v>
      </c>
      <c r="O90" s="23">
        <v>5</v>
      </c>
      <c r="P90" s="23">
        <v>3</v>
      </c>
      <c r="Q90" s="45">
        <v>3</v>
      </c>
      <c r="R90" s="23">
        <v>0</v>
      </c>
      <c r="S90" s="23">
        <v>5</v>
      </c>
      <c r="T90" s="26">
        <f>ROUND(Table13[[#This Row],['#punten]]/Table13[[#This Row],['#Wed]],2)</f>
        <v>75.47</v>
      </c>
      <c r="U90" s="24">
        <f>ROUND(Table13[[#This Row],['#punten]]/Table13[[#This Row],['#minuten]],2)</f>
        <v>1.01</v>
      </c>
      <c r="V90" s="23">
        <f>Table13[[#This Row],[Pt/minuut]]*90</f>
        <v>90.9</v>
      </c>
      <c r="W90" s="23">
        <f>ROUND(Table13[[#This Row],[Prijs]]/Table13[[#This Row],['#punten]],0)</f>
        <v>2650</v>
      </c>
      <c r="X90" s="27">
        <f>ROUND((Table13[[#This Row],[Goals]]+Table13[[#This Row],[Asissts]])/(Table13[[#This Row],['#minuten]]/90),2)</f>
        <v>0.64</v>
      </c>
    </row>
    <row r="91" spans="1:24" x14ac:dyDescent="0.2">
      <c r="A91" s="39" t="s">
        <v>176</v>
      </c>
      <c r="B91" s="28" t="s">
        <v>6</v>
      </c>
      <c r="C91" s="29">
        <v>2500000</v>
      </c>
      <c r="D91" s="30" t="s">
        <v>140</v>
      </c>
      <c r="E91" s="30">
        <v>32</v>
      </c>
      <c r="F91" s="30" t="s">
        <v>141</v>
      </c>
      <c r="G91" s="31">
        <v>964</v>
      </c>
      <c r="H91" s="32">
        <v>186</v>
      </c>
      <c r="I91" s="32">
        <f>ROUND((Table13[[#This Row],[laatste 5 wed.]]/Table13[[#This Row],['#punten]])*100,1)</f>
        <v>19.3</v>
      </c>
      <c r="J91" s="30">
        <v>15</v>
      </c>
      <c r="K91" s="30">
        <v>15</v>
      </c>
      <c r="L91" s="30">
        <v>1318</v>
      </c>
      <c r="M91" s="30">
        <v>450</v>
      </c>
      <c r="N91" s="30">
        <f>ROUND(Table13[[#This Row],[Min laatste 5]]/Table13[[#This Row],['#minuten]]*100,1)</f>
        <v>34.1</v>
      </c>
      <c r="O91" s="30">
        <v>2</v>
      </c>
      <c r="P91" s="30">
        <v>3</v>
      </c>
      <c r="Q91" s="48">
        <v>1</v>
      </c>
      <c r="R91" s="30">
        <v>0</v>
      </c>
      <c r="S91" s="30">
        <v>6</v>
      </c>
      <c r="T91" s="33">
        <f>ROUND(Table13[[#This Row],['#punten]]/Table13[[#This Row],['#Wed]],2)</f>
        <v>64.27</v>
      </c>
      <c r="U91" s="31">
        <f>ROUND(Table13[[#This Row],['#punten]]/Table13[[#This Row],['#minuten]],2)</f>
        <v>0.73</v>
      </c>
      <c r="V91" s="30">
        <f>Table13[[#This Row],[Pt/minuut]]*90</f>
        <v>65.7</v>
      </c>
      <c r="W91" s="30">
        <f>ROUND(Table13[[#This Row],[Prijs]]/Table13[[#This Row],['#punten]],0)</f>
        <v>2593</v>
      </c>
      <c r="X91" s="34">
        <f>ROUND((Table13[[#This Row],[Goals]]+Table13[[#This Row],[Asissts]])/(Table13[[#This Row],['#minuten]]/90),2)</f>
        <v>0.34</v>
      </c>
    </row>
    <row r="92" spans="1:24" x14ac:dyDescent="0.2">
      <c r="A92" s="39" t="s">
        <v>189</v>
      </c>
      <c r="B92" s="21" t="s">
        <v>44</v>
      </c>
      <c r="C92" s="22">
        <v>1250000</v>
      </c>
      <c r="D92" s="23" t="s">
        <v>140</v>
      </c>
      <c r="E92" s="23">
        <v>21</v>
      </c>
      <c r="F92" s="23" t="s">
        <v>141</v>
      </c>
      <c r="G92" s="24">
        <v>570</v>
      </c>
      <c r="H92" s="25">
        <v>142</v>
      </c>
      <c r="I92" s="25">
        <f>ROUND((Table13[[#This Row],[laatste 5 wed.]]/Table13[[#This Row],['#punten]])*100,1)</f>
        <v>24.9</v>
      </c>
      <c r="J92" s="23">
        <v>16</v>
      </c>
      <c r="K92" s="23">
        <v>16</v>
      </c>
      <c r="L92" s="23">
        <v>1402</v>
      </c>
      <c r="M92" s="23">
        <v>447</v>
      </c>
      <c r="N92" s="23">
        <f>ROUND(Table13[[#This Row],[Min laatste 5]]/Table13[[#This Row],['#minuten]]*100,1)</f>
        <v>31.9</v>
      </c>
      <c r="O92" s="23">
        <v>2</v>
      </c>
      <c r="P92" s="23">
        <v>1</v>
      </c>
      <c r="Q92" s="45">
        <v>4</v>
      </c>
      <c r="R92" s="23">
        <v>0</v>
      </c>
      <c r="S92" s="23">
        <v>3</v>
      </c>
      <c r="T92" s="26">
        <f>ROUND(Table13[[#This Row],['#punten]]/Table13[[#This Row],['#Wed]],2)</f>
        <v>35.630000000000003</v>
      </c>
      <c r="U92" s="24">
        <f>ROUND(Table13[[#This Row],['#punten]]/Table13[[#This Row],['#minuten]],2)</f>
        <v>0.41</v>
      </c>
      <c r="V92" s="23">
        <f>Table13[[#This Row],[Pt/minuut]]*90</f>
        <v>36.9</v>
      </c>
      <c r="W92" s="23">
        <f>ROUND(Table13[[#This Row],[Prijs]]/Table13[[#This Row],['#punten]],0)</f>
        <v>2193</v>
      </c>
      <c r="X92" s="27">
        <f>ROUND((Table13[[#This Row],[Goals]]+Table13[[#This Row],[Asissts]])/(Table13[[#This Row],['#minuten]]/90),2)</f>
        <v>0.19</v>
      </c>
    </row>
    <row r="93" spans="1:24" x14ac:dyDescent="0.2">
      <c r="A93" s="39" t="s">
        <v>29</v>
      </c>
      <c r="B93" s="28" t="s">
        <v>44</v>
      </c>
      <c r="C93" s="29">
        <v>750000</v>
      </c>
      <c r="D93" s="30" t="s">
        <v>140</v>
      </c>
      <c r="E93" s="30">
        <v>21</v>
      </c>
      <c r="F93" s="30" t="s">
        <v>141</v>
      </c>
      <c r="G93" s="31">
        <v>58</v>
      </c>
      <c r="H93" s="32">
        <v>14</v>
      </c>
      <c r="I93" s="32">
        <f>ROUND((Table13[[#This Row],[laatste 5 wed.]]/Table13[[#This Row],['#punten]])*100,1)</f>
        <v>24.1</v>
      </c>
      <c r="J93" s="30">
        <v>7</v>
      </c>
      <c r="K93" s="30">
        <v>4</v>
      </c>
      <c r="L93" s="30">
        <v>322</v>
      </c>
      <c r="M93" s="30">
        <v>162</v>
      </c>
      <c r="N93" s="30">
        <f>ROUND(Table13[[#This Row],[Min laatste 5]]/Table13[[#This Row],['#minuten]]*100,1)</f>
        <v>50.3</v>
      </c>
      <c r="O93" s="30">
        <v>0</v>
      </c>
      <c r="P93" s="30">
        <v>0</v>
      </c>
      <c r="Q93" s="48">
        <v>1</v>
      </c>
      <c r="R93" s="30">
        <v>0</v>
      </c>
      <c r="S93" s="30">
        <v>0</v>
      </c>
      <c r="T93" s="33">
        <f>ROUND(Table13[[#This Row],['#punten]]/Table13[[#This Row],['#Wed]],2)</f>
        <v>8.2899999999999991</v>
      </c>
      <c r="U93" s="31">
        <f>ROUND(Table13[[#This Row],['#punten]]/Table13[[#This Row],['#minuten]],2)</f>
        <v>0.18</v>
      </c>
      <c r="V93" s="30">
        <f>Table13[[#This Row],[Pt/minuut]]*90</f>
        <v>16.2</v>
      </c>
      <c r="W93" s="30">
        <f>ROUND(Table13[[#This Row],[Prijs]]/Table13[[#This Row],['#punten]],0)</f>
        <v>12931</v>
      </c>
      <c r="X93" s="34">
        <f>ROUND((Table13[[#This Row],[Goals]]+Table13[[#This Row],[Asissts]])/(Table13[[#This Row],['#minuten]]/90),2)</f>
        <v>0</v>
      </c>
    </row>
    <row r="94" spans="1:24" x14ac:dyDescent="0.2">
      <c r="A94" s="39" t="s">
        <v>201</v>
      </c>
      <c r="B94" s="21" t="s">
        <v>45</v>
      </c>
      <c r="C94" s="22">
        <v>4000000</v>
      </c>
      <c r="D94" s="23" t="s">
        <v>140</v>
      </c>
      <c r="E94" s="23">
        <v>22</v>
      </c>
      <c r="F94" s="23" t="s">
        <v>141</v>
      </c>
      <c r="G94" s="24">
        <v>1468</v>
      </c>
      <c r="H94" s="25">
        <v>572</v>
      </c>
      <c r="I94" s="25">
        <f>ROUND((Table13[[#This Row],[laatste 5 wed.]]/Table13[[#This Row],['#punten]])*100,1)</f>
        <v>39</v>
      </c>
      <c r="J94" s="23">
        <v>16</v>
      </c>
      <c r="K94" s="23">
        <v>16</v>
      </c>
      <c r="L94" s="23">
        <v>1368</v>
      </c>
      <c r="M94" s="23">
        <v>441</v>
      </c>
      <c r="N94" s="23">
        <f>ROUND(Table13[[#This Row],[Min laatste 5]]/Table13[[#This Row],['#minuten]]*100,1)</f>
        <v>32.200000000000003</v>
      </c>
      <c r="O94" s="23">
        <v>6</v>
      </c>
      <c r="P94" s="23">
        <v>6</v>
      </c>
      <c r="Q94" s="45">
        <v>1</v>
      </c>
      <c r="R94" s="23">
        <v>0</v>
      </c>
      <c r="S94" s="23">
        <v>6</v>
      </c>
      <c r="T94" s="26">
        <f>ROUND(Table13[[#This Row],['#punten]]/Table13[[#This Row],['#Wed]],2)</f>
        <v>91.75</v>
      </c>
      <c r="U94" s="24">
        <f>ROUND(Table13[[#This Row],['#punten]]/Table13[[#This Row],['#minuten]],2)</f>
        <v>1.07</v>
      </c>
      <c r="V94" s="23">
        <f>Table13[[#This Row],[Pt/minuut]]*90</f>
        <v>96.300000000000011</v>
      </c>
      <c r="W94" s="23">
        <f>ROUND(Table13[[#This Row],[Prijs]]/Table13[[#This Row],['#punten]],0)</f>
        <v>2725</v>
      </c>
      <c r="X94" s="27">
        <f>ROUND((Table13[[#This Row],[Goals]]+Table13[[#This Row],[Asissts]])/(Table13[[#This Row],['#minuten]]/90),2)</f>
        <v>0.79</v>
      </c>
    </row>
    <row r="95" spans="1:24" x14ac:dyDescent="0.2">
      <c r="A95" s="39" t="s">
        <v>32</v>
      </c>
      <c r="B95" s="51" t="s">
        <v>45</v>
      </c>
      <c r="C95" s="52">
        <v>3000000</v>
      </c>
      <c r="D95" s="53" t="s">
        <v>140</v>
      </c>
      <c r="E95" s="53">
        <v>24</v>
      </c>
      <c r="F95" s="53" t="s">
        <v>141</v>
      </c>
      <c r="G95" s="54">
        <v>926</v>
      </c>
      <c r="H95" s="55">
        <v>276</v>
      </c>
      <c r="I95" s="55">
        <f>ROUND((Table13[[#This Row],[laatste 5 wed.]]/Table13[[#This Row],['#punten]])*100,1)</f>
        <v>29.8</v>
      </c>
      <c r="J95" s="53">
        <v>15</v>
      </c>
      <c r="K95" s="53">
        <v>15</v>
      </c>
      <c r="L95" s="53">
        <v>1331</v>
      </c>
      <c r="M95" s="53">
        <v>276</v>
      </c>
      <c r="N95" s="53">
        <f>ROUND(Table13[[#This Row],[Min laatste 5]]/Table13[[#This Row],['#minuten]]*100,1)</f>
        <v>20.7</v>
      </c>
      <c r="O95" s="53">
        <v>2</v>
      </c>
      <c r="P95" s="53">
        <v>1</v>
      </c>
      <c r="Q95" s="85">
        <v>0</v>
      </c>
      <c r="R95" s="53">
        <v>0</v>
      </c>
      <c r="S95" s="53">
        <v>6</v>
      </c>
      <c r="T95" s="56">
        <f>ROUND(Table13[[#This Row],['#punten]]/Table13[[#This Row],['#Wed]],2)</f>
        <v>61.73</v>
      </c>
      <c r="U95" s="54">
        <f>ROUND(Table13[[#This Row],['#punten]]/Table13[[#This Row],['#minuten]],2)</f>
        <v>0.7</v>
      </c>
      <c r="V95" s="53">
        <f>Table13[[#This Row],[Pt/minuut]]*90</f>
        <v>62.999999999999993</v>
      </c>
      <c r="W95" s="53">
        <f>ROUND(Table13[[#This Row],[Prijs]]/Table13[[#This Row],['#punten]],0)</f>
        <v>3240</v>
      </c>
      <c r="X95" s="57">
        <f>ROUND((Table13[[#This Row],[Goals]]+Table13[[#This Row],[Asissts]])/(Table13[[#This Row],['#minuten]]/90),2)</f>
        <v>0.2</v>
      </c>
    </row>
    <row r="96" spans="1:24" x14ac:dyDescent="0.2">
      <c r="A96" s="39" t="s">
        <v>121</v>
      </c>
      <c r="B96" s="21" t="s">
        <v>45</v>
      </c>
      <c r="C96" s="22">
        <v>4500000</v>
      </c>
      <c r="D96" s="23" t="s">
        <v>140</v>
      </c>
      <c r="E96" s="23">
        <v>25</v>
      </c>
      <c r="F96" s="23" t="s">
        <v>141</v>
      </c>
      <c r="G96" s="24">
        <v>1406</v>
      </c>
      <c r="H96" s="25">
        <v>390</v>
      </c>
      <c r="I96" s="25">
        <f>ROUND((Table13[[#This Row],[laatste 5 wed.]]/Table13[[#This Row],['#punten]])*100,1)</f>
        <v>27.7</v>
      </c>
      <c r="J96" s="23">
        <v>5</v>
      </c>
      <c r="K96" s="23">
        <v>7</v>
      </c>
      <c r="L96" s="23">
        <v>1183</v>
      </c>
      <c r="M96" s="23">
        <v>327</v>
      </c>
      <c r="N96" s="23">
        <f>ROUND(Table13[[#This Row],[Min laatste 5]]/Table13[[#This Row],['#minuten]]*100,1)</f>
        <v>27.6</v>
      </c>
      <c r="O96" s="23">
        <v>5</v>
      </c>
      <c r="P96" s="23">
        <v>7</v>
      </c>
      <c r="Q96" s="45">
        <v>0</v>
      </c>
      <c r="R96" s="23">
        <v>0</v>
      </c>
      <c r="S96" s="23">
        <v>6</v>
      </c>
      <c r="T96" s="26">
        <f>ROUND(Table13[[#This Row],['#punten]]/Table13[[#This Row],['#Wed]],2)</f>
        <v>281.2</v>
      </c>
      <c r="U96" s="24">
        <f>ROUND(Table13[[#This Row],['#punten]]/Table13[[#This Row],['#minuten]],2)</f>
        <v>1.19</v>
      </c>
      <c r="V96" s="23">
        <f>Table13[[#This Row],[Pt/minuut]]*90</f>
        <v>107.1</v>
      </c>
      <c r="W96" s="23">
        <f>ROUND(Table13[[#This Row],[Prijs]]/Table13[[#This Row],['#punten]],0)</f>
        <v>3201</v>
      </c>
      <c r="X96" s="27">
        <f>ROUND((Table13[[#This Row],[Goals]]+Table13[[#This Row],[Asissts]])/(Table13[[#This Row],['#minuten]]/90),2)</f>
        <v>0.91</v>
      </c>
    </row>
    <row r="97" spans="1:24" x14ac:dyDescent="0.2">
      <c r="A97" s="39" t="s">
        <v>213</v>
      </c>
      <c r="B97" s="28" t="s">
        <v>46</v>
      </c>
      <c r="C97" s="29">
        <v>1250000</v>
      </c>
      <c r="D97" s="30" t="s">
        <v>140</v>
      </c>
      <c r="E97" s="30">
        <v>24</v>
      </c>
      <c r="F97" s="30" t="s">
        <v>141</v>
      </c>
      <c r="G97" s="31">
        <v>546</v>
      </c>
      <c r="H97" s="32">
        <v>182</v>
      </c>
      <c r="I97" s="32">
        <f>ROUND((Table13[[#This Row],[laatste 5 wed.]]/Table13[[#This Row],['#punten]])*100,1)</f>
        <v>33.299999999999997</v>
      </c>
      <c r="J97" s="30">
        <v>16</v>
      </c>
      <c r="K97" s="30">
        <v>15</v>
      </c>
      <c r="L97" s="30">
        <v>1385</v>
      </c>
      <c r="M97" s="30">
        <v>395</v>
      </c>
      <c r="N97" s="30">
        <f>ROUND(Table13[[#This Row],[Min laatste 5]]/Table13[[#This Row],['#minuten]]*100,1)</f>
        <v>28.5</v>
      </c>
      <c r="O97" s="30">
        <v>1</v>
      </c>
      <c r="P97" s="30">
        <v>0</v>
      </c>
      <c r="Q97" s="48">
        <v>3</v>
      </c>
      <c r="R97" s="30">
        <v>0</v>
      </c>
      <c r="S97" s="30">
        <v>4</v>
      </c>
      <c r="T97" s="33">
        <f>ROUND(Table13[[#This Row],['#punten]]/Table13[[#This Row],['#Wed]],2)</f>
        <v>34.130000000000003</v>
      </c>
      <c r="U97" s="31">
        <f>ROUND(Table13[[#This Row],['#punten]]/Table13[[#This Row],['#minuten]],2)</f>
        <v>0.39</v>
      </c>
      <c r="V97" s="30">
        <f>Table13[[#This Row],[Pt/minuut]]*90</f>
        <v>35.1</v>
      </c>
      <c r="W97" s="30">
        <f>ROUND(Table13[[#This Row],[Prijs]]/Table13[[#This Row],['#punten]],0)</f>
        <v>2289</v>
      </c>
      <c r="X97" s="34">
        <f>ROUND((Table13[[#This Row],[Goals]]+Table13[[#This Row],[Asissts]])/(Table13[[#This Row],['#minuten]]/90),2)</f>
        <v>0.06</v>
      </c>
    </row>
    <row r="98" spans="1:24" x14ac:dyDescent="0.2">
      <c r="A98" s="39" t="s">
        <v>214</v>
      </c>
      <c r="B98" s="28" t="s">
        <v>46</v>
      </c>
      <c r="C98" s="29">
        <v>1250000</v>
      </c>
      <c r="D98" s="30" t="s">
        <v>140</v>
      </c>
      <c r="E98" s="30">
        <v>25</v>
      </c>
      <c r="F98" s="30" t="s">
        <v>160</v>
      </c>
      <c r="G98" s="31">
        <v>406</v>
      </c>
      <c r="H98" s="32">
        <v>62</v>
      </c>
      <c r="I98" s="32">
        <f>ROUND((Table13[[#This Row],[laatste 5 wed.]]/Table13[[#This Row],['#punten]])*100,1)</f>
        <v>15.3</v>
      </c>
      <c r="J98" s="30">
        <v>15</v>
      </c>
      <c r="K98" s="30">
        <v>11</v>
      </c>
      <c r="L98" s="30">
        <v>969</v>
      </c>
      <c r="M98" s="30">
        <v>191</v>
      </c>
      <c r="N98" s="30">
        <f>ROUND(Table13[[#This Row],[Min laatste 5]]/Table13[[#This Row],['#minuten]]*100,1)</f>
        <v>19.7</v>
      </c>
      <c r="O98" s="30">
        <v>1</v>
      </c>
      <c r="P98" s="30">
        <v>0</v>
      </c>
      <c r="Q98" s="48">
        <v>3</v>
      </c>
      <c r="R98" s="30">
        <v>0</v>
      </c>
      <c r="S98" s="30">
        <v>3</v>
      </c>
      <c r="T98" s="33">
        <f>ROUND(Table13[[#This Row],['#punten]]/Table13[[#This Row],['#Wed]],2)</f>
        <v>27.07</v>
      </c>
      <c r="U98" s="31">
        <f>ROUND(Table13[[#This Row],['#punten]]/Table13[[#This Row],['#minuten]],2)</f>
        <v>0.42</v>
      </c>
      <c r="V98" s="30">
        <f>Table13[[#This Row],[Pt/minuut]]*90</f>
        <v>37.799999999999997</v>
      </c>
      <c r="W98" s="30">
        <f>ROUND(Table13[[#This Row],[Prijs]]/Table13[[#This Row],['#punten]],0)</f>
        <v>3079</v>
      </c>
      <c r="X98" s="34">
        <f>ROUND((Table13[[#This Row],[Goals]]+Table13[[#This Row],[Asissts]])/(Table13[[#This Row],['#minuten]]/90),2)</f>
        <v>0.09</v>
      </c>
    </row>
    <row r="99" spans="1:24" x14ac:dyDescent="0.2">
      <c r="A99" s="39" t="s">
        <v>212</v>
      </c>
      <c r="B99" s="28" t="s">
        <v>46</v>
      </c>
      <c r="C99" s="29">
        <v>2000000</v>
      </c>
      <c r="D99" s="30" t="s">
        <v>140</v>
      </c>
      <c r="E99" s="30">
        <v>27</v>
      </c>
      <c r="F99" s="30" t="s">
        <v>153</v>
      </c>
      <c r="G99" s="31">
        <v>698</v>
      </c>
      <c r="H99" s="32">
        <v>302</v>
      </c>
      <c r="I99" s="32">
        <f>ROUND((Table13[[#This Row],[laatste 5 wed.]]/Table13[[#This Row],['#punten]])*100,1)</f>
        <v>43.3</v>
      </c>
      <c r="J99" s="30">
        <v>16</v>
      </c>
      <c r="K99" s="30">
        <v>16</v>
      </c>
      <c r="L99" s="30">
        <v>1335</v>
      </c>
      <c r="M99" s="30">
        <v>388</v>
      </c>
      <c r="N99" s="30">
        <f>ROUND(Table13[[#This Row],[Min laatste 5]]/Table13[[#This Row],['#minuten]]*100,1)</f>
        <v>29.1</v>
      </c>
      <c r="O99" s="30">
        <v>2</v>
      </c>
      <c r="P99" s="30">
        <v>2</v>
      </c>
      <c r="Q99" s="48">
        <v>0</v>
      </c>
      <c r="R99" s="30">
        <v>0</v>
      </c>
      <c r="S99" s="30">
        <v>4</v>
      </c>
      <c r="T99" s="33">
        <f>ROUND(Table13[[#This Row],['#punten]]/Table13[[#This Row],['#Wed]],2)</f>
        <v>43.63</v>
      </c>
      <c r="U99" s="31">
        <f>ROUND(Table13[[#This Row],['#punten]]/Table13[[#This Row],['#minuten]],2)</f>
        <v>0.52</v>
      </c>
      <c r="V99" s="30">
        <f>Table13[[#This Row],[Pt/minuut]]*90</f>
        <v>46.800000000000004</v>
      </c>
      <c r="W99" s="30">
        <f>ROUND(Table13[[#This Row],[Prijs]]/Table13[[#This Row],['#punten]],0)</f>
        <v>2865</v>
      </c>
      <c r="X99" s="34">
        <f>ROUND((Table13[[#This Row],[Goals]]+Table13[[#This Row],[Asissts]])/(Table13[[#This Row],['#minuten]]/90),2)</f>
        <v>0.27</v>
      </c>
    </row>
    <row r="100" spans="1:24" x14ac:dyDescent="0.2">
      <c r="A100" s="39" t="s">
        <v>217</v>
      </c>
      <c r="B100" s="21" t="s">
        <v>39</v>
      </c>
      <c r="C100" s="22">
        <v>2500000</v>
      </c>
      <c r="D100" s="23" t="s">
        <v>140</v>
      </c>
      <c r="E100" s="23">
        <v>25</v>
      </c>
      <c r="F100" s="23" t="s">
        <v>218</v>
      </c>
      <c r="G100" s="24">
        <v>1038</v>
      </c>
      <c r="H100" s="25">
        <v>250</v>
      </c>
      <c r="I100" s="25">
        <f>ROUND((Table13[[#This Row],[laatste 5 wed.]]/Table13[[#This Row],['#punten]])*100,1)</f>
        <v>24.1</v>
      </c>
      <c r="J100" s="23">
        <v>16</v>
      </c>
      <c r="K100" s="23">
        <v>16</v>
      </c>
      <c r="L100" s="23">
        <v>1408</v>
      </c>
      <c r="M100" s="23">
        <v>450</v>
      </c>
      <c r="N100" s="23">
        <f>ROUND(Table13[[#This Row],[Min laatste 5]]/Table13[[#This Row],['#minuten]]*100,1)</f>
        <v>32</v>
      </c>
      <c r="O100" s="23">
        <v>5</v>
      </c>
      <c r="P100" s="23">
        <v>1</v>
      </c>
      <c r="Q100" s="45">
        <v>1</v>
      </c>
      <c r="R100" s="23">
        <v>0</v>
      </c>
      <c r="S100" s="23">
        <v>5</v>
      </c>
      <c r="T100" s="26">
        <f>ROUND(Table13[[#This Row],['#punten]]/Table13[[#This Row],['#Wed]],2)</f>
        <v>64.88</v>
      </c>
      <c r="U100" s="24">
        <f>ROUND(Table13[[#This Row],['#punten]]/Table13[[#This Row],['#minuten]],2)</f>
        <v>0.74</v>
      </c>
      <c r="V100" s="23">
        <f>Table13[[#This Row],[Pt/minuut]]*90</f>
        <v>66.599999999999994</v>
      </c>
      <c r="W100" s="23">
        <f>ROUND(Table13[[#This Row],[Prijs]]/Table13[[#This Row],['#punten]],0)</f>
        <v>2408</v>
      </c>
      <c r="X100" s="27">
        <f>ROUND((Table13[[#This Row],[Goals]]+Table13[[#This Row],[Asissts]])/(Table13[[#This Row],['#minuten]]/90),2)</f>
        <v>0.38</v>
      </c>
    </row>
    <row r="101" spans="1:24" x14ac:dyDescent="0.2">
      <c r="A101" s="39" t="s">
        <v>219</v>
      </c>
      <c r="B101" s="21" t="s">
        <v>39</v>
      </c>
      <c r="C101" s="22">
        <v>2500000</v>
      </c>
      <c r="D101" s="23" t="s">
        <v>140</v>
      </c>
      <c r="E101" s="23">
        <v>26</v>
      </c>
      <c r="F101" s="23" t="s">
        <v>167</v>
      </c>
      <c r="G101" s="24">
        <v>1078</v>
      </c>
      <c r="H101" s="25">
        <v>226</v>
      </c>
      <c r="I101" s="25">
        <f>ROUND((Table13[[#This Row],[laatste 5 wed.]]/Table13[[#This Row],['#punten]])*100,1)</f>
        <v>21</v>
      </c>
      <c r="J101" s="23">
        <v>16</v>
      </c>
      <c r="K101" s="23">
        <v>16</v>
      </c>
      <c r="L101" s="23">
        <v>1353</v>
      </c>
      <c r="M101" s="23">
        <v>444</v>
      </c>
      <c r="N101" s="23">
        <f>ROUND(Table13[[#This Row],[Min laatste 5]]/Table13[[#This Row],['#minuten]]*100,1)</f>
        <v>32.799999999999997</v>
      </c>
      <c r="O101" s="23">
        <v>4</v>
      </c>
      <c r="P101" s="23">
        <v>4</v>
      </c>
      <c r="Q101" s="45">
        <v>1</v>
      </c>
      <c r="R101" s="23">
        <v>0</v>
      </c>
      <c r="S101" s="23">
        <v>5</v>
      </c>
      <c r="T101" s="26">
        <f>ROUND(Table13[[#This Row],['#punten]]/Table13[[#This Row],['#Wed]],2)</f>
        <v>67.38</v>
      </c>
      <c r="U101" s="24">
        <f>ROUND(Table13[[#This Row],['#punten]]/Table13[[#This Row],['#minuten]],2)</f>
        <v>0.8</v>
      </c>
      <c r="V101" s="23">
        <f>Table13[[#This Row],[Pt/minuut]]*90</f>
        <v>72</v>
      </c>
      <c r="W101" s="23">
        <f>ROUND(Table13[[#This Row],[Prijs]]/Table13[[#This Row],['#punten]],0)</f>
        <v>2319</v>
      </c>
      <c r="X101" s="27">
        <f>ROUND((Table13[[#This Row],[Goals]]+Table13[[#This Row],[Asissts]])/(Table13[[#This Row],['#minuten]]/90),2)</f>
        <v>0.53</v>
      </c>
    </row>
    <row r="102" spans="1:24" x14ac:dyDescent="0.2">
      <c r="A102" s="39" t="s">
        <v>233</v>
      </c>
      <c r="B102" s="28" t="s">
        <v>48</v>
      </c>
      <c r="C102" s="29">
        <v>1500000</v>
      </c>
      <c r="D102" s="30" t="s">
        <v>140</v>
      </c>
      <c r="E102" s="30">
        <v>25</v>
      </c>
      <c r="F102" s="30" t="s">
        <v>141</v>
      </c>
      <c r="G102" s="31">
        <v>626</v>
      </c>
      <c r="H102" s="32">
        <v>258</v>
      </c>
      <c r="I102" s="32">
        <f>ROUND((Table13[[#This Row],[laatste 5 wed.]]/Table13[[#This Row],['#punten]])*100,1)</f>
        <v>41.2</v>
      </c>
      <c r="J102" s="30">
        <v>14</v>
      </c>
      <c r="K102" s="30">
        <v>13</v>
      </c>
      <c r="L102" s="30">
        <v>1102</v>
      </c>
      <c r="M102" s="30">
        <v>423</v>
      </c>
      <c r="N102" s="30">
        <f>ROUND(Table13[[#This Row],[Min laatste 5]]/Table13[[#This Row],['#minuten]]*100,1)</f>
        <v>38.4</v>
      </c>
      <c r="O102" s="30">
        <v>3</v>
      </c>
      <c r="P102" s="30">
        <v>1</v>
      </c>
      <c r="Q102" s="48">
        <v>2</v>
      </c>
      <c r="R102" s="30">
        <v>0</v>
      </c>
      <c r="S102" s="30">
        <v>3</v>
      </c>
      <c r="T102" s="33">
        <f>ROUND(Table13[[#This Row],['#punten]]/Table13[[#This Row],['#Wed]],2)</f>
        <v>44.71</v>
      </c>
      <c r="U102" s="31">
        <f>ROUND(Table13[[#This Row],['#punten]]/Table13[[#This Row],['#minuten]],2)</f>
        <v>0.56999999999999995</v>
      </c>
      <c r="V102" s="30">
        <f>Table13[[#This Row],[Pt/minuut]]*90</f>
        <v>51.3</v>
      </c>
      <c r="W102" s="30">
        <f>ROUND(Table13[[#This Row],[Prijs]]/Table13[[#This Row],['#punten]],0)</f>
        <v>2396</v>
      </c>
      <c r="X102" s="34">
        <f>ROUND((Table13[[#This Row],[Goals]]+Table13[[#This Row],[Asissts]])/(Table13[[#This Row],['#minuten]]/90),2)</f>
        <v>0.33</v>
      </c>
    </row>
    <row r="103" spans="1:24" x14ac:dyDescent="0.2">
      <c r="A103" s="39" t="s">
        <v>235</v>
      </c>
      <c r="B103" s="21" t="s">
        <v>48</v>
      </c>
      <c r="C103" s="22">
        <v>1750000</v>
      </c>
      <c r="D103" s="23" t="s">
        <v>140</v>
      </c>
      <c r="E103" s="23">
        <v>26</v>
      </c>
      <c r="F103" s="23" t="s">
        <v>187</v>
      </c>
      <c r="G103" s="24">
        <v>678</v>
      </c>
      <c r="H103" s="25">
        <v>234</v>
      </c>
      <c r="I103" s="25">
        <f>ROUND((Table13[[#This Row],[laatste 5 wed.]]/Table13[[#This Row],['#punten]])*100,1)</f>
        <v>34.5</v>
      </c>
      <c r="J103" s="23">
        <v>16</v>
      </c>
      <c r="K103" s="23">
        <v>16</v>
      </c>
      <c r="L103" s="23">
        <v>1389</v>
      </c>
      <c r="M103" s="23">
        <v>441</v>
      </c>
      <c r="N103" s="23">
        <f>ROUND(Table13[[#This Row],[Min laatste 5]]/Table13[[#This Row],['#minuten]]*100,1)</f>
        <v>31.7</v>
      </c>
      <c r="O103" s="23">
        <v>1</v>
      </c>
      <c r="P103" s="23">
        <v>3</v>
      </c>
      <c r="Q103" s="45">
        <v>2</v>
      </c>
      <c r="R103" s="23">
        <v>0</v>
      </c>
      <c r="S103" s="23">
        <v>4</v>
      </c>
      <c r="T103" s="26">
        <f>ROUND(Table13[[#This Row],['#punten]]/Table13[[#This Row],['#Wed]],2)</f>
        <v>42.38</v>
      </c>
      <c r="U103" s="24">
        <f>ROUND(Table13[[#This Row],['#punten]]/Table13[[#This Row],['#minuten]],2)</f>
        <v>0.49</v>
      </c>
      <c r="V103" s="23">
        <f>Table13[[#This Row],[Pt/minuut]]*90</f>
        <v>44.1</v>
      </c>
      <c r="W103" s="23">
        <f>ROUND(Table13[[#This Row],[Prijs]]/Table13[[#This Row],['#punten]],0)</f>
        <v>2581</v>
      </c>
      <c r="X103" s="27">
        <f>ROUND((Table13[[#This Row],[Goals]]+Table13[[#This Row],[Asissts]])/(Table13[[#This Row],['#minuten]]/90),2)</f>
        <v>0.26</v>
      </c>
    </row>
    <row r="104" spans="1:24" x14ac:dyDescent="0.2">
      <c r="A104" s="39" t="s">
        <v>234</v>
      </c>
      <c r="B104" s="28" t="s">
        <v>48</v>
      </c>
      <c r="C104" s="29">
        <v>2500000</v>
      </c>
      <c r="D104" s="30" t="s">
        <v>140</v>
      </c>
      <c r="E104" s="30">
        <v>27</v>
      </c>
      <c r="F104" s="30" t="s">
        <v>141</v>
      </c>
      <c r="G104" s="31">
        <v>594</v>
      </c>
      <c r="H104" s="32">
        <v>434</v>
      </c>
      <c r="I104" s="32">
        <f>ROUND((Table13[[#This Row],[laatste 5 wed.]]/Table13[[#This Row],['#punten]])*100,1)</f>
        <v>73.099999999999994</v>
      </c>
      <c r="J104" s="30">
        <v>13</v>
      </c>
      <c r="K104" s="30">
        <v>10</v>
      </c>
      <c r="L104" s="30">
        <v>827</v>
      </c>
      <c r="M104" s="30">
        <v>357</v>
      </c>
      <c r="N104" s="30">
        <f>ROUND(Table13[[#This Row],[Min laatste 5]]/Table13[[#This Row],['#minuten]]*100,1)</f>
        <v>43.2</v>
      </c>
      <c r="O104" s="30">
        <v>3</v>
      </c>
      <c r="P104" s="30">
        <v>0</v>
      </c>
      <c r="Q104" s="48">
        <v>2</v>
      </c>
      <c r="R104" s="30">
        <v>0</v>
      </c>
      <c r="S104" s="30">
        <v>3</v>
      </c>
      <c r="T104" s="33">
        <f>ROUND(Table13[[#This Row],['#punten]]/Table13[[#This Row],['#Wed]],2)</f>
        <v>45.69</v>
      </c>
      <c r="U104" s="31">
        <f>ROUND(Table13[[#This Row],['#punten]]/Table13[[#This Row],['#minuten]],2)</f>
        <v>0.72</v>
      </c>
      <c r="V104" s="30">
        <f>Table13[[#This Row],[Pt/minuut]]*90</f>
        <v>64.8</v>
      </c>
      <c r="W104" s="30">
        <f>ROUND(Table13[[#This Row],[Prijs]]/Table13[[#This Row],['#punten]],0)</f>
        <v>4209</v>
      </c>
      <c r="X104" s="34">
        <f>ROUND((Table13[[#This Row],[Goals]]+Table13[[#This Row],[Asissts]])/(Table13[[#This Row],['#minuten]]/90),2)</f>
        <v>0.33</v>
      </c>
    </row>
    <row r="105" spans="1:24" x14ac:dyDescent="0.2">
      <c r="A105" s="39" t="s">
        <v>232</v>
      </c>
      <c r="B105" s="28" t="s">
        <v>48</v>
      </c>
      <c r="C105" s="29">
        <v>1500000</v>
      </c>
      <c r="D105" s="30" t="s">
        <v>140</v>
      </c>
      <c r="E105" s="30">
        <v>28</v>
      </c>
      <c r="F105" s="30" t="s">
        <v>141</v>
      </c>
      <c r="G105" s="31">
        <v>622</v>
      </c>
      <c r="H105" s="32">
        <v>354</v>
      </c>
      <c r="I105" s="32">
        <f>ROUND((Table13[[#This Row],[laatste 5 wed.]]/Table13[[#This Row],['#punten]])*100,1)</f>
        <v>56.9</v>
      </c>
      <c r="J105" s="30">
        <v>14</v>
      </c>
      <c r="K105" s="30">
        <v>14</v>
      </c>
      <c r="L105" s="30">
        <v>1254</v>
      </c>
      <c r="M105" s="30">
        <v>443</v>
      </c>
      <c r="N105" s="30">
        <f>ROUND(Table13[[#This Row],[Min laatste 5]]/Table13[[#This Row],['#minuten]]*100,1)</f>
        <v>35.299999999999997</v>
      </c>
      <c r="O105" s="30">
        <v>2</v>
      </c>
      <c r="P105" s="30">
        <v>1</v>
      </c>
      <c r="Q105" s="48">
        <v>2</v>
      </c>
      <c r="R105" s="30">
        <v>1</v>
      </c>
      <c r="S105" s="30">
        <v>4</v>
      </c>
      <c r="T105" s="33">
        <f>ROUND(Table13[[#This Row],['#punten]]/Table13[[#This Row],['#Wed]],2)</f>
        <v>44.43</v>
      </c>
      <c r="U105" s="31">
        <f>ROUND(Table13[[#This Row],['#punten]]/Table13[[#This Row],['#minuten]],2)</f>
        <v>0.5</v>
      </c>
      <c r="V105" s="30">
        <f>Table13[[#This Row],[Pt/minuut]]*90</f>
        <v>45</v>
      </c>
      <c r="W105" s="30">
        <f>ROUND(Table13[[#This Row],[Prijs]]/Table13[[#This Row],['#punten]],0)</f>
        <v>2412</v>
      </c>
      <c r="X105" s="34">
        <f>ROUND((Table13[[#This Row],[Goals]]+Table13[[#This Row],[Asissts]])/(Table13[[#This Row],['#minuten]]/90),2)</f>
        <v>0.22</v>
      </c>
    </row>
    <row r="106" spans="1:24" x14ac:dyDescent="0.2">
      <c r="A106" s="39" t="s">
        <v>244</v>
      </c>
      <c r="B106" s="28" t="s">
        <v>239</v>
      </c>
      <c r="C106" s="29">
        <v>1250000</v>
      </c>
      <c r="D106" s="30" t="s">
        <v>140</v>
      </c>
      <c r="E106" s="30">
        <v>23</v>
      </c>
      <c r="F106" s="30" t="s">
        <v>167</v>
      </c>
      <c r="G106" s="31">
        <v>482</v>
      </c>
      <c r="H106" s="32">
        <v>162</v>
      </c>
      <c r="I106" s="32">
        <f>ROUND((Table13[[#This Row],[laatste 5 wed.]]/Table13[[#This Row],['#punten]])*100,1)</f>
        <v>33.6</v>
      </c>
      <c r="J106" s="30">
        <v>16</v>
      </c>
      <c r="K106" s="30">
        <v>16</v>
      </c>
      <c r="L106" s="30">
        <v>1437</v>
      </c>
      <c r="M106" s="30">
        <v>450</v>
      </c>
      <c r="N106" s="30">
        <f>ROUND(Table13[[#This Row],[Min laatste 5]]/Table13[[#This Row],['#minuten]]*100,1)</f>
        <v>31.3</v>
      </c>
      <c r="O106" s="30">
        <v>1</v>
      </c>
      <c r="P106" s="30">
        <v>2</v>
      </c>
      <c r="Q106" s="48">
        <v>2</v>
      </c>
      <c r="R106" s="30">
        <v>0</v>
      </c>
      <c r="S106" s="30">
        <v>1</v>
      </c>
      <c r="T106" s="33">
        <f>ROUND(Table13[[#This Row],['#punten]]/Table13[[#This Row],['#Wed]],2)</f>
        <v>30.13</v>
      </c>
      <c r="U106" s="31">
        <f>ROUND(Table13[[#This Row],['#punten]]/Table13[[#This Row],['#minuten]],2)</f>
        <v>0.34</v>
      </c>
      <c r="V106" s="30">
        <f>Table13[[#This Row],[Pt/minuut]]*90</f>
        <v>30.6</v>
      </c>
      <c r="W106" s="30">
        <f>ROUND(Table13[[#This Row],[Prijs]]/Table13[[#This Row],['#punten]],0)</f>
        <v>2593</v>
      </c>
      <c r="X106" s="34">
        <f>ROUND((Table13[[#This Row],[Goals]]+Table13[[#This Row],[Asissts]])/(Table13[[#This Row],['#minuten]]/90),2)</f>
        <v>0.19</v>
      </c>
    </row>
    <row r="107" spans="1:24" x14ac:dyDescent="0.2">
      <c r="A107" s="39" t="s">
        <v>243</v>
      </c>
      <c r="B107" s="28" t="s">
        <v>239</v>
      </c>
      <c r="C107" s="29">
        <v>1500000</v>
      </c>
      <c r="D107" s="30" t="s">
        <v>140</v>
      </c>
      <c r="E107" s="30">
        <v>26</v>
      </c>
      <c r="F107" s="30" t="s">
        <v>200</v>
      </c>
      <c r="G107" s="31">
        <v>474</v>
      </c>
      <c r="H107" s="32">
        <v>114</v>
      </c>
      <c r="I107" s="32">
        <f>ROUND((Table13[[#This Row],[laatste 5 wed.]]/Table13[[#This Row],['#punten]])*100,1)</f>
        <v>24.1</v>
      </c>
      <c r="J107" s="30">
        <v>16</v>
      </c>
      <c r="K107" s="30">
        <v>16</v>
      </c>
      <c r="L107" s="30">
        <v>1187</v>
      </c>
      <c r="M107" s="30">
        <v>340</v>
      </c>
      <c r="N107" s="30">
        <f>ROUND(Table13[[#This Row],[Min laatste 5]]/Table13[[#This Row],['#minuten]]*100,1)</f>
        <v>28.6</v>
      </c>
      <c r="O107" s="30">
        <v>2</v>
      </c>
      <c r="P107" s="30">
        <v>1</v>
      </c>
      <c r="Q107" s="48">
        <v>4</v>
      </c>
      <c r="R107" s="30">
        <v>0</v>
      </c>
      <c r="S107" s="30">
        <v>1</v>
      </c>
      <c r="T107" s="33">
        <f>ROUND(Table13[[#This Row],['#punten]]/Table13[[#This Row],['#Wed]],2)</f>
        <v>29.63</v>
      </c>
      <c r="U107" s="31">
        <f>ROUND(Table13[[#This Row],['#punten]]/Table13[[#This Row],['#minuten]],2)</f>
        <v>0.4</v>
      </c>
      <c r="V107" s="30">
        <f>Table13[[#This Row],[Pt/minuut]]*90</f>
        <v>36</v>
      </c>
      <c r="W107" s="30">
        <f>ROUND(Table13[[#This Row],[Prijs]]/Table13[[#This Row],['#punten]],0)</f>
        <v>3165</v>
      </c>
      <c r="X107" s="34">
        <f>ROUND((Table13[[#This Row],[Goals]]+Table13[[#This Row],[Asissts]])/(Table13[[#This Row],['#minuten]]/90),2)</f>
        <v>0.23</v>
      </c>
    </row>
    <row r="108" spans="1:24" x14ac:dyDescent="0.2">
      <c r="A108" s="39" t="s">
        <v>253</v>
      </c>
      <c r="B108" s="28" t="s">
        <v>10</v>
      </c>
      <c r="C108" s="29">
        <v>1500000</v>
      </c>
      <c r="D108" s="30" t="s">
        <v>140</v>
      </c>
      <c r="E108" s="30">
        <v>21</v>
      </c>
      <c r="F108" s="30" t="s">
        <v>141</v>
      </c>
      <c r="G108" s="31">
        <v>702</v>
      </c>
      <c r="H108" s="32">
        <v>204</v>
      </c>
      <c r="I108" s="32">
        <f>ROUND((Table13[[#This Row],[laatste 5 wed.]]/Table13[[#This Row],['#punten]])*100,1)</f>
        <v>29.1</v>
      </c>
      <c r="J108" s="30">
        <v>15</v>
      </c>
      <c r="K108" s="30">
        <v>15</v>
      </c>
      <c r="L108" s="30">
        <v>1343</v>
      </c>
      <c r="M108" s="30">
        <v>450</v>
      </c>
      <c r="N108" s="30">
        <f>ROUND(Table13[[#This Row],[Min laatste 5]]/Table13[[#This Row],['#minuten]]*100,1)</f>
        <v>33.5</v>
      </c>
      <c r="O108" s="30">
        <v>2</v>
      </c>
      <c r="P108" s="30">
        <v>2</v>
      </c>
      <c r="Q108" s="48">
        <v>2</v>
      </c>
      <c r="R108" s="30">
        <v>0</v>
      </c>
      <c r="S108" s="30">
        <v>2</v>
      </c>
      <c r="T108" s="33">
        <f>ROUND(Table13[[#This Row],['#punten]]/Table13[[#This Row],['#Wed]],2)</f>
        <v>46.8</v>
      </c>
      <c r="U108" s="31">
        <f>ROUND(Table13[[#This Row],['#punten]]/Table13[[#This Row],['#minuten]],2)</f>
        <v>0.52</v>
      </c>
      <c r="V108" s="30">
        <f>Table13[[#This Row],[Pt/minuut]]*90</f>
        <v>46.800000000000004</v>
      </c>
      <c r="W108" s="30">
        <f>ROUND(Table13[[#This Row],[Prijs]]/Table13[[#This Row],['#punten]],0)</f>
        <v>2137</v>
      </c>
      <c r="X108" s="34">
        <f>ROUND((Table13[[#This Row],[Goals]]+Table13[[#This Row],[Asissts]])/(Table13[[#This Row],['#minuten]]/90),2)</f>
        <v>0.27</v>
      </c>
    </row>
    <row r="109" spans="1:24" x14ac:dyDescent="0.2">
      <c r="A109" s="39" t="s">
        <v>257</v>
      </c>
      <c r="B109" s="21" t="s">
        <v>10</v>
      </c>
      <c r="C109" s="22">
        <v>3000000</v>
      </c>
      <c r="D109" s="23" t="s">
        <v>140</v>
      </c>
      <c r="E109" s="23">
        <v>24</v>
      </c>
      <c r="F109" s="23" t="s">
        <v>156</v>
      </c>
      <c r="G109" s="24">
        <v>1254</v>
      </c>
      <c r="H109" s="25">
        <v>392</v>
      </c>
      <c r="I109" s="25">
        <f>ROUND((Table13[[#This Row],[laatste 5 wed.]]/Table13[[#This Row],['#punten]])*100,1)</f>
        <v>31.3</v>
      </c>
      <c r="J109" s="23">
        <v>16</v>
      </c>
      <c r="K109" s="23">
        <v>16</v>
      </c>
      <c r="L109" s="23">
        <v>1440</v>
      </c>
      <c r="M109" s="23">
        <v>450</v>
      </c>
      <c r="N109" s="23">
        <f>ROUND(Table13[[#This Row],[Min laatste 5]]/Table13[[#This Row],['#minuten]]*100,1)</f>
        <v>31.3</v>
      </c>
      <c r="O109" s="23">
        <v>9</v>
      </c>
      <c r="P109" s="23">
        <v>4</v>
      </c>
      <c r="Q109" s="45">
        <v>1</v>
      </c>
      <c r="R109" s="23">
        <v>0</v>
      </c>
      <c r="S109" s="23">
        <v>2</v>
      </c>
      <c r="T109" s="26">
        <f>ROUND(Table13[[#This Row],['#punten]]/Table13[[#This Row],['#Wed]],2)</f>
        <v>78.38</v>
      </c>
      <c r="U109" s="24">
        <f>ROUND(Table13[[#This Row],['#punten]]/Table13[[#This Row],['#minuten]],2)</f>
        <v>0.87</v>
      </c>
      <c r="V109" s="23">
        <f>Table13[[#This Row],[Pt/minuut]]*90</f>
        <v>78.3</v>
      </c>
      <c r="W109" s="23">
        <f>ROUND(Table13[[#This Row],[Prijs]]/Table13[[#This Row],['#punten]],0)</f>
        <v>2392</v>
      </c>
      <c r="X109" s="27">
        <f>ROUND((Table13[[#This Row],[Goals]]+Table13[[#This Row],[Asissts]])/(Table13[[#This Row],['#minuten]]/90),2)</f>
        <v>0.81</v>
      </c>
    </row>
    <row r="110" spans="1:24" x14ac:dyDescent="0.2">
      <c r="A110" s="39" t="s">
        <v>254</v>
      </c>
      <c r="B110" s="28" t="s">
        <v>10</v>
      </c>
      <c r="C110" s="29">
        <v>1250000</v>
      </c>
      <c r="D110" s="30" t="s">
        <v>140</v>
      </c>
      <c r="E110" s="30">
        <v>37</v>
      </c>
      <c r="F110" s="30" t="s">
        <v>141</v>
      </c>
      <c r="G110" s="31">
        <v>322</v>
      </c>
      <c r="H110" s="32">
        <v>26</v>
      </c>
      <c r="I110" s="32">
        <f>ROUND((Table13[[#This Row],[laatste 5 wed.]]/Table13[[#This Row],['#punten]])*100,1)</f>
        <v>8.1</v>
      </c>
      <c r="J110" s="30">
        <v>14</v>
      </c>
      <c r="K110" s="30">
        <v>10</v>
      </c>
      <c r="L110" s="30">
        <v>918</v>
      </c>
      <c r="M110" s="30">
        <v>226</v>
      </c>
      <c r="N110" s="30">
        <f>ROUND(Table13[[#This Row],[Min laatste 5]]/Table13[[#This Row],['#minuten]]*100,1)</f>
        <v>24.6</v>
      </c>
      <c r="O110" s="30">
        <v>0</v>
      </c>
      <c r="P110" s="30">
        <v>2</v>
      </c>
      <c r="Q110" s="48">
        <v>2</v>
      </c>
      <c r="R110" s="30">
        <v>0</v>
      </c>
      <c r="S110" s="30">
        <v>1</v>
      </c>
      <c r="T110" s="33">
        <f>ROUND(Table13[[#This Row],['#punten]]/Table13[[#This Row],['#Wed]],2)</f>
        <v>23</v>
      </c>
      <c r="U110" s="31">
        <f>ROUND(Table13[[#This Row],['#punten]]/Table13[[#This Row],['#minuten]],2)</f>
        <v>0.35</v>
      </c>
      <c r="V110" s="30">
        <f>Table13[[#This Row],[Pt/minuut]]*90</f>
        <v>31.499999999999996</v>
      </c>
      <c r="W110" s="30">
        <f>ROUND(Table13[[#This Row],[Prijs]]/Table13[[#This Row],['#punten]],0)</f>
        <v>3882</v>
      </c>
      <c r="X110" s="34">
        <f>ROUND((Table13[[#This Row],[Goals]]+Table13[[#This Row],[Asissts]])/(Table13[[#This Row],['#minuten]]/90),2)</f>
        <v>0.2</v>
      </c>
    </row>
    <row r="111" spans="1:24" x14ac:dyDescent="0.2">
      <c r="A111" s="39" t="s">
        <v>263</v>
      </c>
      <c r="B111" s="21" t="s">
        <v>260</v>
      </c>
      <c r="C111" s="22">
        <v>1250000</v>
      </c>
      <c r="D111" s="23" t="s">
        <v>140</v>
      </c>
      <c r="E111" s="23">
        <v>21</v>
      </c>
      <c r="F111" s="23" t="s">
        <v>141</v>
      </c>
      <c r="G111" s="24">
        <v>536</v>
      </c>
      <c r="H111" s="25">
        <v>112</v>
      </c>
      <c r="I111" s="25">
        <f>ROUND((Table13[[#This Row],[laatste 5 wed.]]/Table13[[#This Row],['#punten]])*100,1)</f>
        <v>20.9</v>
      </c>
      <c r="J111" s="23">
        <v>16</v>
      </c>
      <c r="K111" s="23">
        <v>15</v>
      </c>
      <c r="L111" s="23">
        <v>1356</v>
      </c>
      <c r="M111" s="23">
        <v>366</v>
      </c>
      <c r="N111" s="23">
        <f>ROUND(Table13[[#This Row],[Min laatste 5]]/Table13[[#This Row],['#minuten]]*100,1)</f>
        <v>27</v>
      </c>
      <c r="O111" s="23">
        <v>0</v>
      </c>
      <c r="P111" s="23">
        <v>2</v>
      </c>
      <c r="Q111" s="45">
        <v>1</v>
      </c>
      <c r="R111" s="23">
        <v>0</v>
      </c>
      <c r="S111" s="23">
        <v>3</v>
      </c>
      <c r="T111" s="26">
        <f>ROUND(Table13[[#This Row],['#punten]]/Table13[[#This Row],['#Wed]],2)</f>
        <v>33.5</v>
      </c>
      <c r="U111" s="24">
        <f>ROUND(Table13[[#This Row],['#punten]]/Table13[[#This Row],['#minuten]],2)</f>
        <v>0.4</v>
      </c>
      <c r="V111" s="23">
        <f>Table13[[#This Row],[Pt/minuut]]*90</f>
        <v>36</v>
      </c>
      <c r="W111" s="23">
        <f>ROUND(Table13[[#This Row],[Prijs]]/Table13[[#This Row],['#punten]],0)</f>
        <v>2332</v>
      </c>
      <c r="X111" s="27">
        <f>ROUND((Table13[[#This Row],[Goals]]+Table13[[#This Row],[Asissts]])/(Table13[[#This Row],['#minuten]]/90),2)</f>
        <v>0.13</v>
      </c>
    </row>
    <row r="112" spans="1:24" x14ac:dyDescent="0.2">
      <c r="A112" s="39" t="s">
        <v>262</v>
      </c>
      <c r="B112" s="28" t="s">
        <v>260</v>
      </c>
      <c r="C112" s="29">
        <v>1500000</v>
      </c>
      <c r="D112" s="30" t="s">
        <v>140</v>
      </c>
      <c r="E112" s="30">
        <v>23</v>
      </c>
      <c r="F112" s="30" t="s">
        <v>141</v>
      </c>
      <c r="G112" s="31">
        <v>680</v>
      </c>
      <c r="H112" s="32">
        <v>184</v>
      </c>
      <c r="I112" s="32">
        <f>ROUND((Table13[[#This Row],[laatste 5 wed.]]/Table13[[#This Row],['#punten]])*100,1)</f>
        <v>27.1</v>
      </c>
      <c r="J112" s="30">
        <v>16</v>
      </c>
      <c r="K112" s="30">
        <v>16</v>
      </c>
      <c r="L112" s="30">
        <v>1393</v>
      </c>
      <c r="M112" s="30">
        <v>440</v>
      </c>
      <c r="N112" s="30">
        <f>ROUND(Table13[[#This Row],[Min laatste 5]]/Table13[[#This Row],['#minuten]]*100,1)</f>
        <v>31.6</v>
      </c>
      <c r="O112" s="30">
        <v>3</v>
      </c>
      <c r="P112" s="30">
        <v>1</v>
      </c>
      <c r="Q112" s="48">
        <v>4</v>
      </c>
      <c r="R112" s="30">
        <v>0</v>
      </c>
      <c r="S112" s="30">
        <v>3</v>
      </c>
      <c r="T112" s="33">
        <f>ROUND(Table13[[#This Row],['#punten]]/Table13[[#This Row],['#Wed]],2)</f>
        <v>42.5</v>
      </c>
      <c r="U112" s="31">
        <f>ROUND(Table13[[#This Row],['#punten]]/Table13[[#This Row],['#minuten]],2)</f>
        <v>0.49</v>
      </c>
      <c r="V112" s="30">
        <f>Table13[[#This Row],[Pt/minuut]]*90</f>
        <v>44.1</v>
      </c>
      <c r="W112" s="30">
        <f>ROUND(Table13[[#This Row],[Prijs]]/Table13[[#This Row],['#punten]],0)</f>
        <v>2206</v>
      </c>
      <c r="X112" s="34">
        <f>ROUND((Table13[[#This Row],[Goals]]+Table13[[#This Row],[Asissts]])/(Table13[[#This Row],['#minuten]]/90),2)</f>
        <v>0.26</v>
      </c>
    </row>
    <row r="113" spans="1:24" x14ac:dyDescent="0.2">
      <c r="A113" s="39" t="s">
        <v>264</v>
      </c>
      <c r="B113" s="21" t="s">
        <v>260</v>
      </c>
      <c r="C113" s="22">
        <v>1250000</v>
      </c>
      <c r="D113" s="23" t="s">
        <v>140</v>
      </c>
      <c r="E113" s="23">
        <v>23</v>
      </c>
      <c r="F113" s="23" t="s">
        <v>141</v>
      </c>
      <c r="G113" s="24">
        <v>540</v>
      </c>
      <c r="H113" s="25">
        <v>116</v>
      </c>
      <c r="I113" s="25">
        <f>ROUND((Table13[[#This Row],[laatste 5 wed.]]/Table13[[#This Row],['#punten]])*100,1)</f>
        <v>21.5</v>
      </c>
      <c r="J113" s="23">
        <v>16</v>
      </c>
      <c r="K113" s="23">
        <v>13</v>
      </c>
      <c r="L113" s="23">
        <v>1118</v>
      </c>
      <c r="M113" s="23">
        <v>219</v>
      </c>
      <c r="N113" s="23">
        <f>ROUND(Table13[[#This Row],[Min laatste 5]]/Table13[[#This Row],['#minuten]]*100,1)</f>
        <v>19.600000000000001</v>
      </c>
      <c r="O113" s="23">
        <v>0</v>
      </c>
      <c r="P113" s="23">
        <v>1</v>
      </c>
      <c r="Q113" s="45">
        <v>1</v>
      </c>
      <c r="R113" s="23">
        <v>0</v>
      </c>
      <c r="S113" s="23">
        <v>2</v>
      </c>
      <c r="T113" s="26">
        <f>ROUND(Table13[[#This Row],['#punten]]/Table13[[#This Row],['#Wed]],2)</f>
        <v>33.75</v>
      </c>
      <c r="U113" s="24">
        <f>ROUND(Table13[[#This Row],['#punten]]/Table13[[#This Row],['#minuten]],2)</f>
        <v>0.48</v>
      </c>
      <c r="V113" s="23">
        <f>Table13[[#This Row],[Pt/minuut]]*90</f>
        <v>43.199999999999996</v>
      </c>
      <c r="W113" s="23">
        <f>ROUND(Table13[[#This Row],[Prijs]]/Table13[[#This Row],['#punten]],0)</f>
        <v>2315</v>
      </c>
      <c r="X113" s="27">
        <f>ROUND((Table13[[#This Row],[Goals]]+Table13[[#This Row],[Asissts]])/(Table13[[#This Row],['#minuten]]/90),2)</f>
        <v>0.08</v>
      </c>
    </row>
    <row r="114" spans="1:24" x14ac:dyDescent="0.2">
      <c r="A114" s="39" t="s">
        <v>122</v>
      </c>
      <c r="B114" s="21" t="s">
        <v>260</v>
      </c>
      <c r="C114" s="22">
        <v>1500000</v>
      </c>
      <c r="D114" s="23" t="s">
        <v>140</v>
      </c>
      <c r="E114" s="23">
        <v>29</v>
      </c>
      <c r="F114" s="23" t="s">
        <v>156</v>
      </c>
      <c r="G114" s="24">
        <v>744</v>
      </c>
      <c r="H114" s="25">
        <v>264</v>
      </c>
      <c r="I114" s="25">
        <f>ROUND((Table13[[#This Row],[laatste 5 wed.]]/Table13[[#This Row],['#punten]])*100,1)</f>
        <v>35.5</v>
      </c>
      <c r="J114" s="23">
        <v>16</v>
      </c>
      <c r="K114" s="23">
        <v>16</v>
      </c>
      <c r="L114" s="23">
        <v>1374</v>
      </c>
      <c r="M114" s="23">
        <v>436</v>
      </c>
      <c r="N114" s="23">
        <f>ROUND(Table13[[#This Row],[Min laatste 5]]/Table13[[#This Row],['#minuten]]*100,1)</f>
        <v>31.7</v>
      </c>
      <c r="O114" s="23">
        <v>3</v>
      </c>
      <c r="P114" s="23">
        <v>2</v>
      </c>
      <c r="Q114" s="45">
        <v>3</v>
      </c>
      <c r="R114" s="23">
        <v>0</v>
      </c>
      <c r="S114" s="23">
        <v>3</v>
      </c>
      <c r="T114" s="26">
        <f>ROUND(Table13[[#This Row],['#punten]]/Table13[[#This Row],['#Wed]],2)</f>
        <v>46.5</v>
      </c>
      <c r="U114" s="24">
        <f>ROUND(Table13[[#This Row],['#punten]]/Table13[[#This Row],['#minuten]],2)</f>
        <v>0.54</v>
      </c>
      <c r="V114" s="23">
        <f>Table13[[#This Row],[Pt/minuut]]*90</f>
        <v>48.6</v>
      </c>
      <c r="W114" s="23">
        <f>ROUND(Table13[[#This Row],[Prijs]]/Table13[[#This Row],['#punten]],0)</f>
        <v>2016</v>
      </c>
      <c r="X114" s="27">
        <f>ROUND((Table13[[#This Row],[Goals]]+Table13[[#This Row],[Asissts]])/(Table13[[#This Row],['#minuten]]/90),2)</f>
        <v>0.33</v>
      </c>
    </row>
    <row r="115" spans="1:24" x14ac:dyDescent="0.2">
      <c r="A115" s="39" t="s">
        <v>271</v>
      </c>
      <c r="B115" s="28" t="s">
        <v>11</v>
      </c>
      <c r="C115" s="29">
        <v>3000000</v>
      </c>
      <c r="D115" s="30" t="s">
        <v>140</v>
      </c>
      <c r="E115" s="30">
        <v>21</v>
      </c>
      <c r="F115" s="30" t="s">
        <v>175</v>
      </c>
      <c r="G115" s="31">
        <v>1090</v>
      </c>
      <c r="H115" s="32">
        <v>420</v>
      </c>
      <c r="I115" s="32">
        <f>ROUND((Table13[[#This Row],[laatste 5 wed.]]/Table13[[#This Row],['#punten]])*100,1)</f>
        <v>38.5</v>
      </c>
      <c r="J115" s="30">
        <v>12</v>
      </c>
      <c r="K115" s="30">
        <v>5</v>
      </c>
      <c r="L115" s="30">
        <v>523</v>
      </c>
      <c r="M115" s="30">
        <v>230</v>
      </c>
      <c r="N115" s="30">
        <f>ROUND(Table13[[#This Row],[Min laatste 5]]/Table13[[#This Row],['#minuten]]*100,1)</f>
        <v>44</v>
      </c>
      <c r="O115" s="30">
        <v>5</v>
      </c>
      <c r="P115" s="30">
        <v>3</v>
      </c>
      <c r="Q115" s="48">
        <v>0</v>
      </c>
      <c r="R115" s="30">
        <v>0</v>
      </c>
      <c r="S115" s="30">
        <v>3</v>
      </c>
      <c r="T115" s="33">
        <f>ROUND(Table13[[#This Row],['#punten]]/Table13[[#This Row],['#Wed]],2)</f>
        <v>90.83</v>
      </c>
      <c r="U115" s="31">
        <f>ROUND(Table13[[#This Row],['#punten]]/Table13[[#This Row],['#minuten]],2)</f>
        <v>2.08</v>
      </c>
      <c r="V115" s="30">
        <f>Table13[[#This Row],[Pt/minuut]]*90</f>
        <v>187.20000000000002</v>
      </c>
      <c r="W115" s="30">
        <f>ROUND(Table13[[#This Row],[Prijs]]/Table13[[#This Row],['#punten]],0)</f>
        <v>2752</v>
      </c>
      <c r="X115" s="34">
        <f>ROUND((Table13[[#This Row],[Goals]]+Table13[[#This Row],[Asissts]])/(Table13[[#This Row],['#minuten]]/90),2)</f>
        <v>1.38</v>
      </c>
    </row>
    <row r="116" spans="1:24" x14ac:dyDescent="0.2">
      <c r="A116" s="39" t="s">
        <v>273</v>
      </c>
      <c r="B116" s="28" t="s">
        <v>11</v>
      </c>
      <c r="C116" s="29">
        <v>3000000</v>
      </c>
      <c r="D116" s="30" t="s">
        <v>140</v>
      </c>
      <c r="E116" s="30">
        <v>22</v>
      </c>
      <c r="F116" s="30" t="s">
        <v>47</v>
      </c>
      <c r="G116" s="31">
        <v>968</v>
      </c>
      <c r="H116" s="32">
        <v>386</v>
      </c>
      <c r="I116" s="32">
        <f>ROUND((Table13[[#This Row],[laatste 5 wed.]]/Table13[[#This Row],['#punten]])*100,1)</f>
        <v>39.9</v>
      </c>
      <c r="J116" s="30">
        <v>14</v>
      </c>
      <c r="K116" s="30">
        <v>7</v>
      </c>
      <c r="L116" s="30">
        <v>742</v>
      </c>
      <c r="M116" s="30">
        <v>296</v>
      </c>
      <c r="N116" s="30">
        <f>ROUND(Table13[[#This Row],[Min laatste 5]]/Table13[[#This Row],['#minuten]]*100,1)</f>
        <v>39.9</v>
      </c>
      <c r="O116" s="30">
        <v>4</v>
      </c>
      <c r="P116" s="30">
        <v>2</v>
      </c>
      <c r="Q116" s="48">
        <v>1</v>
      </c>
      <c r="R116" s="30">
        <v>0</v>
      </c>
      <c r="S116" s="30">
        <v>6</v>
      </c>
      <c r="T116" s="33">
        <f>ROUND(Table13[[#This Row],['#punten]]/Table13[[#This Row],['#Wed]],2)</f>
        <v>69.14</v>
      </c>
      <c r="U116" s="31">
        <f>ROUND(Table13[[#This Row],['#punten]]/Table13[[#This Row],['#minuten]],2)</f>
        <v>1.3</v>
      </c>
      <c r="V116" s="30">
        <f>Table13[[#This Row],[Pt/minuut]]*90</f>
        <v>117</v>
      </c>
      <c r="W116" s="30">
        <f>ROUND(Table13[[#This Row],[Prijs]]/Table13[[#This Row],['#punten]],0)</f>
        <v>3099</v>
      </c>
      <c r="X116" s="34">
        <f>ROUND((Table13[[#This Row],[Goals]]+Table13[[#This Row],[Asissts]])/(Table13[[#This Row],['#minuten]]/90),2)</f>
        <v>0.73</v>
      </c>
    </row>
    <row r="117" spans="1:24" x14ac:dyDescent="0.2">
      <c r="A117" s="39" t="s">
        <v>272</v>
      </c>
      <c r="B117" s="28" t="s">
        <v>11</v>
      </c>
      <c r="C117" s="29">
        <v>4000000</v>
      </c>
      <c r="D117" s="30" t="s">
        <v>140</v>
      </c>
      <c r="E117" s="30">
        <v>25</v>
      </c>
      <c r="F117" s="30" t="s">
        <v>141</v>
      </c>
      <c r="G117" s="31">
        <v>1458</v>
      </c>
      <c r="H117" s="32">
        <v>526</v>
      </c>
      <c r="I117" s="32">
        <f>ROUND((Table13[[#This Row],[laatste 5 wed.]]/Table13[[#This Row],['#punten]])*100,1)</f>
        <v>36.1</v>
      </c>
      <c r="J117" s="30">
        <v>16</v>
      </c>
      <c r="K117" s="30">
        <v>10</v>
      </c>
      <c r="L117" s="30">
        <v>1001</v>
      </c>
      <c r="M117" s="30">
        <v>420</v>
      </c>
      <c r="N117" s="30">
        <f>ROUND(Table13[[#This Row],[Min laatste 5]]/Table13[[#This Row],['#minuten]]*100,1)</f>
        <v>42</v>
      </c>
      <c r="O117" s="30">
        <v>7</v>
      </c>
      <c r="P117" s="30">
        <v>3</v>
      </c>
      <c r="Q117" s="48">
        <v>0</v>
      </c>
      <c r="R117" s="30">
        <v>0</v>
      </c>
      <c r="S117" s="30">
        <v>8</v>
      </c>
      <c r="T117" s="33">
        <f>ROUND(Table13[[#This Row],['#punten]]/Table13[[#This Row],['#Wed]],2)</f>
        <v>91.13</v>
      </c>
      <c r="U117" s="31">
        <f>ROUND(Table13[[#This Row],['#punten]]/Table13[[#This Row],['#minuten]],2)</f>
        <v>1.46</v>
      </c>
      <c r="V117" s="30">
        <f>Table13[[#This Row],[Pt/minuut]]*90</f>
        <v>131.4</v>
      </c>
      <c r="W117" s="30">
        <f>ROUND(Table13[[#This Row],[Prijs]]/Table13[[#This Row],['#punten]],0)</f>
        <v>2743</v>
      </c>
      <c r="X117" s="34">
        <f>ROUND((Table13[[#This Row],[Goals]]+Table13[[#This Row],[Asissts]])/(Table13[[#This Row],['#minuten]]/90),2)</f>
        <v>0.9</v>
      </c>
    </row>
    <row r="118" spans="1:24" x14ac:dyDescent="0.2">
      <c r="A118" s="39" t="s">
        <v>120</v>
      </c>
      <c r="B118" s="28" t="s">
        <v>11</v>
      </c>
      <c r="C118" s="29">
        <v>5500000</v>
      </c>
      <c r="D118" s="30" t="s">
        <v>140</v>
      </c>
      <c r="E118" s="30">
        <v>25</v>
      </c>
      <c r="F118" s="30" t="s">
        <v>141</v>
      </c>
      <c r="G118" s="31">
        <v>1588</v>
      </c>
      <c r="H118" s="32">
        <v>486</v>
      </c>
      <c r="I118" s="32">
        <f>ROUND((Table13[[#This Row],[laatste 5 wed.]]/Table13[[#This Row],['#punten]])*100,1)</f>
        <v>30.6</v>
      </c>
      <c r="J118" s="30">
        <v>16</v>
      </c>
      <c r="K118" s="30">
        <v>16</v>
      </c>
      <c r="L118" s="30">
        <v>1343</v>
      </c>
      <c r="M118" s="30">
        <v>432</v>
      </c>
      <c r="N118" s="30">
        <f>ROUND(Table13[[#This Row],[Min laatste 5]]/Table13[[#This Row],['#minuten]]*100,1)</f>
        <v>32.200000000000003</v>
      </c>
      <c r="O118" s="30">
        <v>3</v>
      </c>
      <c r="P118" s="30">
        <v>9</v>
      </c>
      <c r="Q118" s="48">
        <v>0</v>
      </c>
      <c r="R118" s="30">
        <v>0</v>
      </c>
      <c r="S118" s="30">
        <v>11</v>
      </c>
      <c r="T118" s="33">
        <f>ROUND(Table13[[#This Row],['#punten]]/Table13[[#This Row],['#Wed]],2)</f>
        <v>99.25</v>
      </c>
      <c r="U118" s="31">
        <f>ROUND(Table13[[#This Row],['#punten]]/Table13[[#This Row],['#minuten]],2)</f>
        <v>1.18</v>
      </c>
      <c r="V118" s="30">
        <f>Table13[[#This Row],[Pt/minuut]]*90</f>
        <v>106.19999999999999</v>
      </c>
      <c r="W118" s="30">
        <f>ROUND(Table13[[#This Row],[Prijs]]/Table13[[#This Row],['#punten]],0)</f>
        <v>3463</v>
      </c>
      <c r="X118" s="34">
        <f>ROUND((Table13[[#This Row],[Goals]]+Table13[[#This Row],[Asissts]])/(Table13[[#This Row],['#minuten]]/90),2)</f>
        <v>0.8</v>
      </c>
    </row>
    <row r="119" spans="1:24" x14ac:dyDescent="0.2">
      <c r="A119" s="39" t="s">
        <v>275</v>
      </c>
      <c r="B119" s="28" t="s">
        <v>11</v>
      </c>
      <c r="C119" s="29">
        <v>2500000</v>
      </c>
      <c r="D119" s="30" t="s">
        <v>140</v>
      </c>
      <c r="E119" s="30">
        <v>26</v>
      </c>
      <c r="F119" s="30" t="s">
        <v>141</v>
      </c>
      <c r="G119" s="31">
        <v>764</v>
      </c>
      <c r="H119" s="32">
        <v>232</v>
      </c>
      <c r="I119" s="32">
        <f>ROUND((Table13[[#This Row],[laatste 5 wed.]]/Table13[[#This Row],['#punten]])*100,1)</f>
        <v>30.4</v>
      </c>
      <c r="J119" s="30">
        <v>12</v>
      </c>
      <c r="K119" s="30">
        <v>11</v>
      </c>
      <c r="L119" s="30">
        <v>945</v>
      </c>
      <c r="M119" s="30">
        <v>313</v>
      </c>
      <c r="N119" s="30">
        <f>ROUND(Table13[[#This Row],[Min laatste 5]]/Table13[[#This Row],['#minuten]]*100,1)</f>
        <v>33.1</v>
      </c>
      <c r="O119" s="30">
        <v>1</v>
      </c>
      <c r="P119" s="30">
        <v>0</v>
      </c>
      <c r="Q119" s="48">
        <v>2</v>
      </c>
      <c r="R119" s="30">
        <v>0</v>
      </c>
      <c r="S119" s="30">
        <v>8</v>
      </c>
      <c r="T119" s="33">
        <f>ROUND(Table13[[#This Row],['#punten]]/Table13[[#This Row],['#Wed]],2)</f>
        <v>63.67</v>
      </c>
      <c r="U119" s="31">
        <f>ROUND(Table13[[#This Row],['#punten]]/Table13[[#This Row],['#minuten]],2)</f>
        <v>0.81</v>
      </c>
      <c r="V119" s="30">
        <f>Table13[[#This Row],[Pt/minuut]]*90</f>
        <v>72.900000000000006</v>
      </c>
      <c r="W119" s="30">
        <f>ROUND(Table13[[#This Row],[Prijs]]/Table13[[#This Row],['#punten]],0)</f>
        <v>3272</v>
      </c>
      <c r="X119" s="34">
        <f>ROUND((Table13[[#This Row],[Goals]]+Table13[[#This Row],[Asissts]])/(Table13[[#This Row],['#minuten]]/90),2)</f>
        <v>0.1</v>
      </c>
    </row>
    <row r="120" spans="1:24" x14ac:dyDescent="0.2">
      <c r="A120" s="39" t="s">
        <v>290</v>
      </c>
      <c r="B120" s="28" t="s">
        <v>40</v>
      </c>
      <c r="C120" s="29">
        <v>1500000</v>
      </c>
      <c r="D120" s="30" t="s">
        <v>140</v>
      </c>
      <c r="E120" s="30">
        <v>22</v>
      </c>
      <c r="F120" s="30" t="s">
        <v>141</v>
      </c>
      <c r="G120" s="31">
        <v>736</v>
      </c>
      <c r="H120" s="32">
        <v>338</v>
      </c>
      <c r="I120" s="32">
        <f>ROUND((Table13[[#This Row],[laatste 5 wed.]]/Table13[[#This Row],['#punten]])*100,1)</f>
        <v>45.9</v>
      </c>
      <c r="J120" s="30">
        <v>15</v>
      </c>
      <c r="K120" s="30">
        <v>15</v>
      </c>
      <c r="L120" s="30">
        <v>1318</v>
      </c>
      <c r="M120" s="30">
        <v>450</v>
      </c>
      <c r="N120" s="30">
        <f>ROUND(Table13[[#This Row],[Min laatste 5]]/Table13[[#This Row],['#minuten]]*100,1)</f>
        <v>34.1</v>
      </c>
      <c r="O120" s="30">
        <v>5</v>
      </c>
      <c r="P120" s="30">
        <v>0</v>
      </c>
      <c r="Q120" s="48">
        <v>5</v>
      </c>
      <c r="R120" s="30">
        <v>0</v>
      </c>
      <c r="S120" s="30">
        <v>2</v>
      </c>
      <c r="T120" s="33">
        <f>ROUND(Table13[[#This Row],['#punten]]/Table13[[#This Row],['#Wed]],2)</f>
        <v>49.07</v>
      </c>
      <c r="U120" s="31">
        <f>ROUND(Table13[[#This Row],['#punten]]/Table13[[#This Row],['#minuten]],2)</f>
        <v>0.56000000000000005</v>
      </c>
      <c r="V120" s="30">
        <f>Table13[[#This Row],[Pt/minuut]]*90</f>
        <v>50.400000000000006</v>
      </c>
      <c r="W120" s="30">
        <f>ROUND(Table13[[#This Row],[Prijs]]/Table13[[#This Row],['#punten]],0)</f>
        <v>2038</v>
      </c>
      <c r="X120" s="34">
        <f>ROUND((Table13[[#This Row],[Goals]]+Table13[[#This Row],[Asissts]])/(Table13[[#This Row],['#minuten]]/90),2)</f>
        <v>0.34</v>
      </c>
    </row>
    <row r="121" spans="1:24" x14ac:dyDescent="0.2">
      <c r="A121" s="39" t="s">
        <v>303</v>
      </c>
      <c r="B121" s="28" t="s">
        <v>40</v>
      </c>
      <c r="C121" s="29">
        <v>750000</v>
      </c>
      <c r="D121" s="30" t="s">
        <v>140</v>
      </c>
      <c r="E121" s="30">
        <v>28</v>
      </c>
      <c r="F121" s="30" t="s">
        <v>141</v>
      </c>
      <c r="G121" s="31">
        <v>190</v>
      </c>
      <c r="H121" s="32">
        <v>50</v>
      </c>
      <c r="I121" s="32">
        <f>ROUND((Table13[[#This Row],[laatste 5 wed.]]/Table13[[#This Row],['#punten]])*100,1)</f>
        <v>26.3</v>
      </c>
      <c r="J121" s="30">
        <v>11</v>
      </c>
      <c r="K121" s="30">
        <v>4</v>
      </c>
      <c r="L121" s="30">
        <v>444</v>
      </c>
      <c r="M121" s="30">
        <v>175</v>
      </c>
      <c r="N121" s="30">
        <f>ROUND(Table13[[#This Row],[Min laatste 5]]/Table13[[#This Row],['#minuten]]*100,1)</f>
        <v>39.4</v>
      </c>
      <c r="O121" s="30">
        <v>0</v>
      </c>
      <c r="P121" s="30">
        <v>0</v>
      </c>
      <c r="Q121" s="48">
        <v>0</v>
      </c>
      <c r="R121" s="30">
        <v>0</v>
      </c>
      <c r="S121" s="30">
        <v>2</v>
      </c>
      <c r="T121" s="33">
        <f>ROUND(Table13[[#This Row],['#punten]]/Table13[[#This Row],['#Wed]],2)</f>
        <v>17.27</v>
      </c>
      <c r="U121" s="31">
        <f>ROUND(Table13[[#This Row],['#punten]]/Table13[[#This Row],['#minuten]],2)</f>
        <v>0.43</v>
      </c>
      <c r="V121" s="30">
        <f>Table13[[#This Row],[Pt/minuut]]*90</f>
        <v>38.700000000000003</v>
      </c>
      <c r="W121" s="30">
        <f>ROUND(Table13[[#This Row],[Prijs]]/Table13[[#This Row],['#punten]],0)</f>
        <v>3947</v>
      </c>
      <c r="X121" s="34">
        <f>ROUND((Table13[[#This Row],[Goals]]+Table13[[#This Row],[Asissts]])/(Table13[[#This Row],['#minuten]]/90),2)</f>
        <v>0</v>
      </c>
    </row>
    <row r="122" spans="1:24" x14ac:dyDescent="0.2">
      <c r="A122" s="39" t="s">
        <v>301</v>
      </c>
      <c r="B122" s="28" t="s">
        <v>47</v>
      </c>
      <c r="C122" s="29">
        <v>2000000</v>
      </c>
      <c r="D122" s="30" t="s">
        <v>140</v>
      </c>
      <c r="E122" s="30">
        <v>22</v>
      </c>
      <c r="F122" s="30" t="s">
        <v>179</v>
      </c>
      <c r="G122" s="31">
        <v>904</v>
      </c>
      <c r="H122" s="32">
        <v>370</v>
      </c>
      <c r="I122" s="32">
        <f>ROUND((Table13[[#This Row],[laatste 5 wed.]]/Table13[[#This Row],['#punten]])*100,1)</f>
        <v>40.9</v>
      </c>
      <c r="J122" s="30">
        <v>16</v>
      </c>
      <c r="K122" s="30">
        <v>16</v>
      </c>
      <c r="L122" s="30">
        <v>1401</v>
      </c>
      <c r="M122" s="30">
        <v>440</v>
      </c>
      <c r="N122" s="30">
        <f>ROUND(Table13[[#This Row],[Min laatste 5]]/Table13[[#This Row],['#minuten]]*100,1)</f>
        <v>31.4</v>
      </c>
      <c r="O122" s="30">
        <v>4</v>
      </c>
      <c r="P122" s="30">
        <v>1</v>
      </c>
      <c r="Q122" s="48">
        <v>1</v>
      </c>
      <c r="R122" s="30">
        <v>0</v>
      </c>
      <c r="S122" s="30">
        <v>4</v>
      </c>
      <c r="T122" s="33">
        <f>ROUND(Table13[[#This Row],['#punten]]/Table13[[#This Row],['#Wed]],2)</f>
        <v>56.5</v>
      </c>
      <c r="U122" s="31">
        <f>ROUND(Table13[[#This Row],['#punten]]/Table13[[#This Row],['#minuten]],2)</f>
        <v>0.65</v>
      </c>
      <c r="V122" s="30">
        <f>Table13[[#This Row],[Pt/minuut]]*90</f>
        <v>58.5</v>
      </c>
      <c r="W122" s="30">
        <f>ROUND(Table13[[#This Row],[Prijs]]/Table13[[#This Row],['#punten]],0)</f>
        <v>2212</v>
      </c>
      <c r="X122" s="34">
        <f>ROUND((Table13[[#This Row],[Goals]]+Table13[[#This Row],[Asissts]])/(Table13[[#This Row],['#minuten]]/90),2)</f>
        <v>0.32</v>
      </c>
    </row>
    <row r="123" spans="1:24" x14ac:dyDescent="0.2">
      <c r="A123" s="39" t="s">
        <v>479</v>
      </c>
      <c r="B123" s="28" t="s">
        <v>47</v>
      </c>
      <c r="C123" s="29">
        <v>1500000</v>
      </c>
      <c r="D123" s="30" t="s">
        <v>140</v>
      </c>
      <c r="E123" s="30">
        <v>22</v>
      </c>
      <c r="F123" s="30" t="s">
        <v>141</v>
      </c>
      <c r="G123" s="31">
        <v>488</v>
      </c>
      <c r="H123" s="32">
        <v>330</v>
      </c>
      <c r="I123" s="32">
        <f>ROUND((Table13[[#This Row],[laatste 5 wed.]]/Table13[[#This Row],['#punten]])*100,1)</f>
        <v>67.599999999999994</v>
      </c>
      <c r="J123" s="30">
        <v>15</v>
      </c>
      <c r="K123" s="30">
        <v>10</v>
      </c>
      <c r="L123" s="30">
        <v>907</v>
      </c>
      <c r="M123" s="30">
        <v>450</v>
      </c>
      <c r="N123" s="30">
        <f>ROUND(Table13[[#This Row],[Min laatste 5]]/Table13[[#This Row],['#minuten]]*100,1)</f>
        <v>49.6</v>
      </c>
      <c r="O123" s="30">
        <v>2</v>
      </c>
      <c r="P123" s="30">
        <v>0</v>
      </c>
      <c r="Q123" s="48">
        <v>1</v>
      </c>
      <c r="R123" s="30">
        <v>0</v>
      </c>
      <c r="S123" s="30">
        <v>3</v>
      </c>
      <c r="T123" s="33">
        <f>ROUND(Table13[[#This Row],['#punten]]/Table13[[#This Row],['#Wed]],2)</f>
        <v>32.53</v>
      </c>
      <c r="U123" s="31">
        <f>ROUND(Table13[[#This Row],['#punten]]/Table13[[#This Row],['#minuten]],2)</f>
        <v>0.54</v>
      </c>
      <c r="V123" s="30">
        <f>Table13[[#This Row],[Pt/minuut]]*90</f>
        <v>48.6</v>
      </c>
      <c r="W123" s="30">
        <f>ROUND(Table13[[#This Row],[Prijs]]/Table13[[#This Row],['#punten]],0)</f>
        <v>3074</v>
      </c>
      <c r="X123" s="34">
        <f>ROUND((Table13[[#This Row],[Goals]]+Table13[[#This Row],[Asissts]])/(Table13[[#This Row],['#minuten]]/90),2)</f>
        <v>0.2</v>
      </c>
    </row>
    <row r="124" spans="1:24" x14ac:dyDescent="0.2">
      <c r="A124" s="39" t="s">
        <v>300</v>
      </c>
      <c r="B124" s="28" t="s">
        <v>47</v>
      </c>
      <c r="C124" s="29">
        <v>2500000</v>
      </c>
      <c r="D124" s="30" t="s">
        <v>140</v>
      </c>
      <c r="E124" s="30">
        <v>26</v>
      </c>
      <c r="F124" s="30" t="s">
        <v>167</v>
      </c>
      <c r="G124" s="31">
        <v>690</v>
      </c>
      <c r="H124" s="32">
        <v>204</v>
      </c>
      <c r="I124" s="32">
        <f>ROUND((Table13[[#This Row],[laatste 5 wed.]]/Table13[[#This Row],['#punten]])*100,1)</f>
        <v>29.6</v>
      </c>
      <c r="J124" s="30">
        <v>13</v>
      </c>
      <c r="K124" s="30">
        <v>13</v>
      </c>
      <c r="L124" s="30">
        <v>1110</v>
      </c>
      <c r="M124" s="30">
        <v>269</v>
      </c>
      <c r="N124" s="30">
        <f>ROUND(Table13[[#This Row],[Min laatste 5]]/Table13[[#This Row],['#minuten]]*100,1)</f>
        <v>24.2</v>
      </c>
      <c r="O124" s="30">
        <v>3</v>
      </c>
      <c r="P124" s="30">
        <v>2</v>
      </c>
      <c r="Q124" s="48">
        <v>2</v>
      </c>
      <c r="R124" s="30">
        <v>1</v>
      </c>
      <c r="S124" s="30">
        <v>3</v>
      </c>
      <c r="T124" s="33">
        <f>ROUND(Table13[[#This Row],['#punten]]/Table13[[#This Row],['#Wed]],2)</f>
        <v>53.08</v>
      </c>
      <c r="U124" s="31">
        <f>ROUND(Table13[[#This Row],['#punten]]/Table13[[#This Row],['#minuten]],2)</f>
        <v>0.62</v>
      </c>
      <c r="V124" s="30">
        <f>Table13[[#This Row],[Pt/minuut]]*90</f>
        <v>55.8</v>
      </c>
      <c r="W124" s="30">
        <f>ROUND(Table13[[#This Row],[Prijs]]/Table13[[#This Row],['#punten]],0)</f>
        <v>3623</v>
      </c>
      <c r="X124" s="34">
        <f>ROUND((Table13[[#This Row],[Goals]]+Table13[[#This Row],[Asissts]])/(Table13[[#This Row],['#minuten]]/90),2)</f>
        <v>0.41</v>
      </c>
    </row>
    <row r="125" spans="1:24" x14ac:dyDescent="0.2">
      <c r="A125" s="39" t="s">
        <v>302</v>
      </c>
      <c r="B125" s="28" t="s">
        <v>47</v>
      </c>
      <c r="C125" s="29">
        <v>1250000</v>
      </c>
      <c r="D125" s="30" t="s">
        <v>140</v>
      </c>
      <c r="E125" s="30">
        <v>36</v>
      </c>
      <c r="F125" s="30" t="s">
        <v>141</v>
      </c>
      <c r="G125" s="31">
        <v>592</v>
      </c>
      <c r="H125" s="32">
        <v>122</v>
      </c>
      <c r="I125" s="32">
        <f>ROUND((Table13[[#This Row],[laatste 5 wed.]]/Table13[[#This Row],['#punten]])*100,1)</f>
        <v>20.6</v>
      </c>
      <c r="J125" s="30">
        <v>16</v>
      </c>
      <c r="K125" s="30">
        <v>16</v>
      </c>
      <c r="L125" s="30">
        <v>1254</v>
      </c>
      <c r="M125" s="30">
        <v>438</v>
      </c>
      <c r="N125" s="30">
        <f>ROUND(Table13[[#This Row],[Min laatste 5]]/Table13[[#This Row],['#minuten]]*100,1)</f>
        <v>34.9</v>
      </c>
      <c r="O125" s="30">
        <v>1</v>
      </c>
      <c r="P125" s="30">
        <v>1</v>
      </c>
      <c r="Q125" s="48">
        <v>4</v>
      </c>
      <c r="R125" s="30">
        <v>0</v>
      </c>
      <c r="S125" s="30">
        <v>4</v>
      </c>
      <c r="T125" s="33">
        <f>ROUND(Table13[[#This Row],['#punten]]/Table13[[#This Row],['#Wed]],2)</f>
        <v>37</v>
      </c>
      <c r="U125" s="31">
        <f>ROUND(Table13[[#This Row],['#punten]]/Table13[[#This Row],['#minuten]],2)</f>
        <v>0.47</v>
      </c>
      <c r="V125" s="30">
        <f>Table13[[#This Row],[Pt/minuut]]*90</f>
        <v>42.3</v>
      </c>
      <c r="W125" s="30">
        <f>ROUND(Table13[[#This Row],[Prijs]]/Table13[[#This Row],['#punten]],0)</f>
        <v>2111</v>
      </c>
      <c r="X125" s="34">
        <f>ROUND((Table13[[#This Row],[Goals]]+Table13[[#This Row],[Asissts]])/(Table13[[#This Row],['#minuten]]/90),2)</f>
        <v>0.14000000000000001</v>
      </c>
    </row>
    <row r="126" spans="1:24" x14ac:dyDescent="0.2">
      <c r="A126" s="39" t="s">
        <v>376</v>
      </c>
      <c r="B126" s="28" t="s">
        <v>49</v>
      </c>
      <c r="C126" s="29">
        <v>1750000</v>
      </c>
      <c r="D126" s="30" t="s">
        <v>140</v>
      </c>
      <c r="E126" s="30">
        <v>20</v>
      </c>
      <c r="F126" s="30" t="s">
        <v>141</v>
      </c>
      <c r="G126" s="31">
        <v>528</v>
      </c>
      <c r="H126" s="32">
        <v>96</v>
      </c>
      <c r="I126" s="32">
        <f>ROUND((Table13[[#This Row],[laatste 5 wed.]]/Table13[[#This Row],['#punten]])*100,1)</f>
        <v>18.2</v>
      </c>
      <c r="J126" s="30">
        <v>16</v>
      </c>
      <c r="K126" s="30">
        <v>12</v>
      </c>
      <c r="L126" s="30">
        <v>981</v>
      </c>
      <c r="M126" s="30">
        <v>282</v>
      </c>
      <c r="N126" s="30">
        <f>ROUND(Table13[[#This Row],[Min laatste 5]]/Table13[[#This Row],['#minuten]]*100,1)</f>
        <v>28.7</v>
      </c>
      <c r="O126" s="30">
        <v>1</v>
      </c>
      <c r="P126" s="30">
        <v>0</v>
      </c>
      <c r="Q126" s="48">
        <v>1</v>
      </c>
      <c r="R126" s="30">
        <v>0</v>
      </c>
      <c r="S126" s="30">
        <v>4</v>
      </c>
      <c r="T126" s="33">
        <f>ROUND(Table13[[#This Row],['#punten]]/Table13[[#This Row],['#Wed]],2)</f>
        <v>33</v>
      </c>
      <c r="U126" s="109">
        <f>ROUND(Table13[[#This Row],['#punten]]/Table13[[#This Row],['#minuten]],2)</f>
        <v>0.54</v>
      </c>
      <c r="V126" s="30">
        <f>Table13[[#This Row],[Pt/minuut]]*90</f>
        <v>48.6</v>
      </c>
      <c r="W126" s="30">
        <f>ROUND(Table13[[#This Row],[Prijs]]/Table13[[#This Row],['#punten]],0)</f>
        <v>3314</v>
      </c>
      <c r="X126" s="30">
        <f>ROUND((Table13[[#This Row],[Goals]]+Table13[[#This Row],[Asissts]])/(Table13[[#This Row],['#minuten]]/90),2)</f>
        <v>0.09</v>
      </c>
    </row>
    <row r="127" spans="1:24" x14ac:dyDescent="0.2">
      <c r="A127" s="39" t="s">
        <v>24</v>
      </c>
      <c r="B127" s="28" t="s">
        <v>49</v>
      </c>
      <c r="C127" s="29">
        <v>5000000</v>
      </c>
      <c r="D127" s="30" t="s">
        <v>140</v>
      </c>
      <c r="E127" s="30">
        <v>22</v>
      </c>
      <c r="F127" s="30" t="s">
        <v>141</v>
      </c>
      <c r="G127" s="31">
        <v>1528</v>
      </c>
      <c r="H127" s="32">
        <v>484</v>
      </c>
      <c r="I127" s="32">
        <f>ROUND((Table13[[#This Row],[laatste 5 wed.]]/Table13[[#This Row],['#punten]])*100,1)</f>
        <v>31.7</v>
      </c>
      <c r="J127" s="30">
        <v>16</v>
      </c>
      <c r="K127" s="30">
        <v>16</v>
      </c>
      <c r="L127" s="30">
        <v>1142</v>
      </c>
      <c r="M127" s="30">
        <v>373</v>
      </c>
      <c r="N127" s="30">
        <f>ROUND(Table13[[#This Row],[Min laatste 5]]/Table13[[#This Row],['#minuten]]*100,1)</f>
        <v>32.700000000000003</v>
      </c>
      <c r="O127" s="30">
        <v>10</v>
      </c>
      <c r="P127" s="30">
        <v>2</v>
      </c>
      <c r="Q127" s="48">
        <v>1</v>
      </c>
      <c r="R127" s="30">
        <v>0</v>
      </c>
      <c r="S127" s="30">
        <v>4</v>
      </c>
      <c r="T127" s="33">
        <f>ROUND(Table13[[#This Row],['#punten]]/Table13[[#This Row],['#Wed]],2)</f>
        <v>95.5</v>
      </c>
      <c r="U127" s="31">
        <f>ROUND(Table13[[#This Row],['#punten]]/Table13[[#This Row],['#minuten]],2)</f>
        <v>1.34</v>
      </c>
      <c r="V127" s="30">
        <f>Table13[[#This Row],[Pt/minuut]]*90</f>
        <v>120.60000000000001</v>
      </c>
      <c r="W127" s="30">
        <f>ROUND(Table13[[#This Row],[Prijs]]/Table13[[#This Row],['#punten]],0)</f>
        <v>3272</v>
      </c>
      <c r="X127" s="34">
        <f>ROUND((Table13[[#This Row],[Goals]]+Table13[[#This Row],[Asissts]])/(Table13[[#This Row],['#minuten]]/90),2)</f>
        <v>0.95</v>
      </c>
    </row>
    <row r="128" spans="1:24" x14ac:dyDescent="0.2">
      <c r="A128" s="39" t="s">
        <v>375</v>
      </c>
      <c r="B128" s="28" t="s">
        <v>49</v>
      </c>
      <c r="C128" s="29">
        <v>1750000</v>
      </c>
      <c r="D128" s="30" t="s">
        <v>140</v>
      </c>
      <c r="E128" s="30">
        <v>22</v>
      </c>
      <c r="F128" s="30" t="s">
        <v>179</v>
      </c>
      <c r="G128" s="31">
        <v>606</v>
      </c>
      <c r="H128" s="32">
        <v>106</v>
      </c>
      <c r="I128" s="32">
        <f>ROUND((Table13[[#This Row],[laatste 5 wed.]]/Table13[[#This Row],['#punten]])*100,1)</f>
        <v>17.5</v>
      </c>
      <c r="J128" s="30">
        <v>16</v>
      </c>
      <c r="K128" s="30">
        <v>15</v>
      </c>
      <c r="L128" s="30">
        <v>1119</v>
      </c>
      <c r="M128" s="30">
        <v>345</v>
      </c>
      <c r="N128" s="30">
        <f>ROUND(Table13[[#This Row],[Min laatste 5]]/Table13[[#This Row],['#minuten]]*100,1)</f>
        <v>30.8</v>
      </c>
      <c r="O128" s="30">
        <v>0</v>
      </c>
      <c r="P128" s="30">
        <v>0</v>
      </c>
      <c r="Q128" s="48">
        <v>2</v>
      </c>
      <c r="R128" s="30">
        <v>0</v>
      </c>
      <c r="S128" s="30">
        <v>4</v>
      </c>
      <c r="T128" s="33">
        <f>ROUND(Table13[[#This Row],['#punten]]/Table13[[#This Row],['#Wed]],2)</f>
        <v>37.880000000000003</v>
      </c>
      <c r="U128" s="31">
        <f>ROUND(Table13[[#This Row],['#punten]]/Table13[[#This Row],['#minuten]],2)</f>
        <v>0.54</v>
      </c>
      <c r="V128" s="30">
        <f>Table13[[#This Row],[Pt/minuut]]*90</f>
        <v>48.6</v>
      </c>
      <c r="W128" s="30">
        <f>ROUND(Table13[[#This Row],[Prijs]]/Table13[[#This Row],['#punten]],0)</f>
        <v>2888</v>
      </c>
      <c r="X128" s="34">
        <f>ROUND((Table13[[#This Row],[Goals]]+Table13[[#This Row],[Asissts]])/(Table13[[#This Row],['#minuten]]/90),2)</f>
        <v>0</v>
      </c>
    </row>
    <row r="129" spans="1:24" x14ac:dyDescent="0.2">
      <c r="A129" s="39" t="s">
        <v>312</v>
      </c>
      <c r="B129" s="51" t="s">
        <v>49</v>
      </c>
      <c r="C129" s="52">
        <v>1750000</v>
      </c>
      <c r="D129" s="53" t="s">
        <v>140</v>
      </c>
      <c r="E129" s="53">
        <v>24</v>
      </c>
      <c r="F129" s="53" t="s">
        <v>278</v>
      </c>
      <c r="G129" s="54">
        <v>642</v>
      </c>
      <c r="H129" s="55">
        <v>94</v>
      </c>
      <c r="I129" s="55">
        <f>ROUND((Table13[[#This Row],[laatste 5 wed.]]/Table13[[#This Row],['#punten]])*100,1)</f>
        <v>14.6</v>
      </c>
      <c r="J129" s="53">
        <v>15</v>
      </c>
      <c r="K129" s="53">
        <v>15</v>
      </c>
      <c r="L129" s="53">
        <v>1312</v>
      </c>
      <c r="M129" s="53">
        <v>345</v>
      </c>
      <c r="N129" s="53">
        <f>ROUND(Table13[[#This Row],[Min laatste 5]]/Table13[[#This Row],['#minuten]]*100,1)</f>
        <v>26.3</v>
      </c>
      <c r="O129" s="53">
        <v>1</v>
      </c>
      <c r="P129" s="53">
        <v>1</v>
      </c>
      <c r="Q129" s="85">
        <v>4</v>
      </c>
      <c r="R129" s="53">
        <v>1</v>
      </c>
      <c r="S129" s="53">
        <v>4</v>
      </c>
      <c r="T129" s="56">
        <f>ROUND(Table13[[#This Row],['#punten]]/Table13[[#This Row],['#Wed]],2)</f>
        <v>42.8</v>
      </c>
      <c r="U129" s="54">
        <f>ROUND(Table13[[#This Row],['#punten]]/Table13[[#This Row],['#minuten]],2)</f>
        <v>0.49</v>
      </c>
      <c r="V129" s="53">
        <f>Table13[[#This Row],[Pt/minuut]]*90</f>
        <v>44.1</v>
      </c>
      <c r="W129" s="53">
        <f>ROUND(Table13[[#This Row],[Prijs]]/Table13[[#This Row],['#punten]],0)</f>
        <v>2726</v>
      </c>
      <c r="X129" s="57">
        <f>ROUND((Table13[[#This Row],[Goals]]+Table13[[#This Row],[Asissts]])/(Table13[[#This Row],['#minuten]]/90),2)</f>
        <v>0.14000000000000001</v>
      </c>
    </row>
    <row r="130" spans="1:24" x14ac:dyDescent="0.2">
      <c r="A130" s="39" t="s">
        <v>343</v>
      </c>
      <c r="B130" s="51" t="s">
        <v>49</v>
      </c>
      <c r="C130" s="52">
        <v>1750000</v>
      </c>
      <c r="D130" s="53" t="s">
        <v>140</v>
      </c>
      <c r="E130" s="53">
        <v>25</v>
      </c>
      <c r="F130" s="53" t="s">
        <v>141</v>
      </c>
      <c r="G130" s="54">
        <v>148</v>
      </c>
      <c r="H130" s="55">
        <v>22</v>
      </c>
      <c r="I130" s="55">
        <f>ROUND((Table13[[#This Row],[laatste 5 wed.]]/Table13[[#This Row],['#punten]])*100,1)</f>
        <v>14.9</v>
      </c>
      <c r="J130" s="53">
        <v>11</v>
      </c>
      <c r="K130" s="53">
        <v>1</v>
      </c>
      <c r="L130" s="53">
        <v>270</v>
      </c>
      <c r="M130" s="53">
        <v>89</v>
      </c>
      <c r="N130" s="53">
        <f>ROUND(Table13[[#This Row],[Min laatste 5]]/Table13[[#This Row],['#minuten]]*100,1)</f>
        <v>33</v>
      </c>
      <c r="O130" s="53">
        <v>0</v>
      </c>
      <c r="P130" s="53">
        <v>1</v>
      </c>
      <c r="Q130" s="85">
        <v>1</v>
      </c>
      <c r="R130" s="53">
        <v>0</v>
      </c>
      <c r="S130" s="53">
        <v>1</v>
      </c>
      <c r="T130" s="56">
        <f>ROUND(Table13[[#This Row],['#punten]]/Table13[[#This Row],['#Wed]],2)</f>
        <v>13.45</v>
      </c>
      <c r="U130" s="54">
        <f>ROUND(Table13[[#This Row],['#punten]]/Table13[[#This Row],['#minuten]],2)</f>
        <v>0.55000000000000004</v>
      </c>
      <c r="V130" s="53">
        <f>Table13[[#This Row],[Pt/minuut]]*90</f>
        <v>49.500000000000007</v>
      </c>
      <c r="W130" s="53">
        <f>ROUND(Table13[[#This Row],[Prijs]]/Table13[[#This Row],['#punten]],0)</f>
        <v>11824</v>
      </c>
      <c r="X130" s="57">
        <f>ROUND((Table13[[#This Row],[Goals]]+Table13[[#This Row],[Asissts]])/(Table13[[#This Row],['#minuten]]/90),2)</f>
        <v>0.33</v>
      </c>
    </row>
    <row r="131" spans="1:24" x14ac:dyDescent="0.2">
      <c r="A131" s="39" t="s">
        <v>311</v>
      </c>
      <c r="B131" s="51" t="s">
        <v>49</v>
      </c>
      <c r="C131" s="52">
        <v>2500000</v>
      </c>
      <c r="D131" s="53" t="s">
        <v>140</v>
      </c>
      <c r="E131" s="53">
        <v>26</v>
      </c>
      <c r="F131" s="53" t="s">
        <v>141</v>
      </c>
      <c r="G131" s="54">
        <v>774</v>
      </c>
      <c r="H131" s="55">
        <v>118</v>
      </c>
      <c r="I131" s="55">
        <f>ROUND((Table13[[#This Row],[laatste 5 wed.]]/Table13[[#This Row],['#punten]])*100,1)</f>
        <v>15.2</v>
      </c>
      <c r="J131" s="53">
        <v>13</v>
      </c>
      <c r="K131" s="53">
        <v>11</v>
      </c>
      <c r="L131" s="53">
        <v>918</v>
      </c>
      <c r="M131" s="53">
        <v>166</v>
      </c>
      <c r="N131" s="53">
        <f>ROUND(Table13[[#This Row],[Min laatste 5]]/Table13[[#This Row],['#minuten]]*100,1)</f>
        <v>18.100000000000001</v>
      </c>
      <c r="O131" s="53">
        <v>2</v>
      </c>
      <c r="P131" s="53">
        <v>2</v>
      </c>
      <c r="Q131" s="85">
        <v>1</v>
      </c>
      <c r="R131" s="53">
        <v>0</v>
      </c>
      <c r="S131" s="53">
        <v>4</v>
      </c>
      <c r="T131" s="56">
        <f>ROUND(Table13[[#This Row],['#punten]]/Table13[[#This Row],['#Wed]],2)</f>
        <v>59.54</v>
      </c>
      <c r="U131" s="54">
        <f>ROUND(Table13[[#This Row],['#punten]]/Table13[[#This Row],['#minuten]],2)</f>
        <v>0.84</v>
      </c>
      <c r="V131" s="53">
        <f>Table13[[#This Row],[Pt/minuut]]*90</f>
        <v>75.599999999999994</v>
      </c>
      <c r="W131" s="53">
        <f>ROUND(Table13[[#This Row],[Prijs]]/Table13[[#This Row],['#punten]],0)</f>
        <v>3230</v>
      </c>
      <c r="X131" s="57">
        <f>ROUND((Table13[[#This Row],[Goals]]+Table13[[#This Row],[Asissts]])/(Table13[[#This Row],['#minuten]]/90),2)</f>
        <v>0.39</v>
      </c>
    </row>
    <row r="132" spans="1:24" x14ac:dyDescent="0.2">
      <c r="A132" s="39" t="s">
        <v>350</v>
      </c>
      <c r="B132" s="51" t="s">
        <v>317</v>
      </c>
      <c r="C132" s="52">
        <v>1500000</v>
      </c>
      <c r="D132" s="53" t="s">
        <v>140</v>
      </c>
      <c r="E132" s="53">
        <v>19</v>
      </c>
      <c r="F132" s="53" t="s">
        <v>156</v>
      </c>
      <c r="G132" s="54">
        <v>554</v>
      </c>
      <c r="H132" s="55">
        <v>206</v>
      </c>
      <c r="I132" s="55">
        <f>ROUND((Table13[[#This Row],[laatste 5 wed.]]/Table13[[#This Row],['#punten]])*100,1)</f>
        <v>37.200000000000003</v>
      </c>
      <c r="J132" s="53">
        <v>14</v>
      </c>
      <c r="K132" s="53">
        <v>10</v>
      </c>
      <c r="L132" s="53">
        <v>910</v>
      </c>
      <c r="M132" s="53">
        <v>422</v>
      </c>
      <c r="N132" s="53">
        <f>ROUND(Table13[[#This Row],[Min laatste 5]]/Table13[[#This Row],['#minuten]]*100,1)</f>
        <v>46.4</v>
      </c>
      <c r="O132" s="53">
        <v>2</v>
      </c>
      <c r="P132" s="53">
        <v>1</v>
      </c>
      <c r="Q132" s="85">
        <v>0</v>
      </c>
      <c r="R132" s="53">
        <v>0</v>
      </c>
      <c r="S132" s="53">
        <v>1</v>
      </c>
      <c r="T132" s="56">
        <f>ROUND(Table13[[#This Row],['#punten]]/Table13[[#This Row],['#Wed]],2)</f>
        <v>39.57</v>
      </c>
      <c r="U132" s="54">
        <f>ROUND(Table13[[#This Row],['#punten]]/Table13[[#This Row],['#minuten]],2)</f>
        <v>0.61</v>
      </c>
      <c r="V132" s="53">
        <f>Table13[[#This Row],[Pt/minuut]]*90</f>
        <v>54.9</v>
      </c>
      <c r="W132" s="53">
        <f>ROUND(Table13[[#This Row],[Prijs]]/Table13[[#This Row],['#punten]],0)</f>
        <v>2708</v>
      </c>
      <c r="X132" s="57">
        <f>ROUND((Table13[[#This Row],[Goals]]+Table13[[#This Row],[Asissts]])/(Table13[[#This Row],['#minuten]]/90),2)</f>
        <v>0.3</v>
      </c>
    </row>
    <row r="133" spans="1:24" x14ac:dyDescent="0.2">
      <c r="A133" s="39" t="s">
        <v>322</v>
      </c>
      <c r="B133" s="51" t="s">
        <v>317</v>
      </c>
      <c r="C133" s="52">
        <v>1500000</v>
      </c>
      <c r="D133" s="53" t="s">
        <v>140</v>
      </c>
      <c r="E133" s="53">
        <v>22</v>
      </c>
      <c r="F133" s="53" t="s">
        <v>200</v>
      </c>
      <c r="G133" s="54">
        <v>564</v>
      </c>
      <c r="H133" s="55">
        <v>326</v>
      </c>
      <c r="I133" s="55">
        <f>ROUND((Table13[[#This Row],[laatste 5 wed.]]/Table13[[#This Row],['#punten]])*100,1)</f>
        <v>57.8</v>
      </c>
      <c r="J133" s="53">
        <v>15</v>
      </c>
      <c r="K133" s="53">
        <v>14</v>
      </c>
      <c r="L133" s="53">
        <v>1251</v>
      </c>
      <c r="M133" s="53">
        <v>405</v>
      </c>
      <c r="N133" s="53">
        <f>ROUND(Table13[[#This Row],[Min laatste 5]]/Table13[[#This Row],['#minuten]]*100,1)</f>
        <v>32.4</v>
      </c>
      <c r="O133" s="53">
        <v>1</v>
      </c>
      <c r="P133" s="53">
        <v>1</v>
      </c>
      <c r="Q133" s="85">
        <v>1</v>
      </c>
      <c r="R133" s="53">
        <v>0</v>
      </c>
      <c r="S133" s="53">
        <v>2</v>
      </c>
      <c r="T133" s="56">
        <f>ROUND(Table13[[#This Row],['#punten]]/Table13[[#This Row],['#Wed]],2)</f>
        <v>37.6</v>
      </c>
      <c r="U133" s="54">
        <f>ROUND(Table13[[#This Row],['#punten]]/Table13[[#This Row],['#minuten]],2)</f>
        <v>0.45</v>
      </c>
      <c r="V133" s="53">
        <f>Table13[[#This Row],[Pt/minuut]]*90</f>
        <v>40.5</v>
      </c>
      <c r="W133" s="53">
        <f>ROUND(Table13[[#This Row],[Prijs]]/Table13[[#This Row],['#punten]],0)</f>
        <v>2660</v>
      </c>
      <c r="X133" s="57">
        <f>ROUND((Table13[[#This Row],[Goals]]+Table13[[#This Row],[Asissts]])/(Table13[[#This Row],['#minuten]]/90),2)</f>
        <v>0.14000000000000001</v>
      </c>
    </row>
    <row r="134" spans="1:24" x14ac:dyDescent="0.2">
      <c r="A134" s="39" t="s">
        <v>323</v>
      </c>
      <c r="B134" s="51" t="s">
        <v>317</v>
      </c>
      <c r="C134" s="52">
        <v>1750000</v>
      </c>
      <c r="D134" s="53" t="s">
        <v>140</v>
      </c>
      <c r="E134" s="53">
        <v>23</v>
      </c>
      <c r="F134" s="53" t="s">
        <v>156</v>
      </c>
      <c r="G134" s="54">
        <v>590</v>
      </c>
      <c r="H134" s="55">
        <v>424</v>
      </c>
      <c r="I134" s="55">
        <f>ROUND((Table13[[#This Row],[laatste 5 wed.]]/Table13[[#This Row],['#punten]])*100,1)</f>
        <v>71.900000000000006</v>
      </c>
      <c r="J134" s="53">
        <v>11</v>
      </c>
      <c r="K134" s="53">
        <v>9</v>
      </c>
      <c r="L134" s="53">
        <v>753</v>
      </c>
      <c r="M134" s="53">
        <v>328</v>
      </c>
      <c r="N134" s="53">
        <f>ROUND(Table13[[#This Row],[Min laatste 5]]/Table13[[#This Row],['#minuten]]*100,1)</f>
        <v>43.6</v>
      </c>
      <c r="O134" s="53">
        <v>4</v>
      </c>
      <c r="P134" s="53">
        <v>0</v>
      </c>
      <c r="Q134" s="85">
        <v>1</v>
      </c>
      <c r="R134" s="53">
        <v>0</v>
      </c>
      <c r="S134" s="53">
        <v>1</v>
      </c>
      <c r="T134" s="56">
        <f>ROUND(Table13[[#This Row],['#punten]]/Table13[[#This Row],['#Wed]],2)</f>
        <v>53.64</v>
      </c>
      <c r="U134" s="54">
        <f>ROUND(Table13[[#This Row],['#punten]]/Table13[[#This Row],['#minuten]],2)</f>
        <v>0.78</v>
      </c>
      <c r="V134" s="53">
        <f>Table13[[#This Row],[Pt/minuut]]*90</f>
        <v>70.2</v>
      </c>
      <c r="W134" s="53">
        <f>ROUND(Table13[[#This Row],[Prijs]]/Table13[[#This Row],['#punten]],0)</f>
        <v>2966</v>
      </c>
      <c r="X134" s="57">
        <f>ROUND((Table13[[#This Row],[Goals]]+Table13[[#This Row],[Asissts]])/(Table13[[#This Row],['#minuten]]/90),2)</f>
        <v>0.48</v>
      </c>
    </row>
    <row r="135" spans="1:24" x14ac:dyDescent="0.2">
      <c r="A135" s="39" t="s">
        <v>524</v>
      </c>
      <c r="B135" s="51" t="s">
        <v>317</v>
      </c>
      <c r="C135" s="52">
        <v>1500000</v>
      </c>
      <c r="D135" s="53" t="s">
        <v>140</v>
      </c>
      <c r="E135" s="53">
        <v>27</v>
      </c>
      <c r="F135" s="53" t="s">
        <v>141</v>
      </c>
      <c r="G135" s="54">
        <v>298</v>
      </c>
      <c r="H135" s="55">
        <v>298</v>
      </c>
      <c r="I135" s="55">
        <f>ROUND((Table13[[#This Row],[laatste 5 wed.]]/Table13[[#This Row],['#punten]])*100,1)</f>
        <v>100</v>
      </c>
      <c r="J135" s="53">
        <v>10</v>
      </c>
      <c r="K135" s="53">
        <v>2</v>
      </c>
      <c r="L135" s="53">
        <v>331</v>
      </c>
      <c r="M135" s="53">
        <v>230</v>
      </c>
      <c r="N135" s="53">
        <f>ROUND(Table13[[#This Row],[Min laatste 5]]/Table13[[#This Row],['#minuten]]*100,1)</f>
        <v>69.5</v>
      </c>
      <c r="O135" s="53">
        <v>1</v>
      </c>
      <c r="P135" s="53">
        <v>1</v>
      </c>
      <c r="Q135" s="85">
        <v>0</v>
      </c>
      <c r="R135" s="53">
        <v>0</v>
      </c>
      <c r="S135" s="53">
        <v>1</v>
      </c>
      <c r="T135" s="56">
        <f>ROUND(Table13[[#This Row],['#punten]]/Table13[[#This Row],['#Wed]],2)</f>
        <v>29.8</v>
      </c>
      <c r="U135" s="54">
        <f>ROUND(Table13[[#This Row],['#punten]]/Table13[[#This Row],['#minuten]],2)</f>
        <v>0.9</v>
      </c>
      <c r="V135" s="53">
        <f>Table13[[#This Row],[Pt/minuut]]*90</f>
        <v>81</v>
      </c>
      <c r="W135" s="53">
        <f>ROUND(Table13[[#This Row],[Prijs]]/Table13[[#This Row],['#punten]],0)</f>
        <v>5034</v>
      </c>
      <c r="X135" s="57">
        <f>ROUND((Table13[[#This Row],[Goals]]+Table13[[#This Row],[Asissts]])/(Table13[[#This Row],['#minuten]]/90),2)</f>
        <v>0.54</v>
      </c>
    </row>
    <row r="136" spans="1:24" x14ac:dyDescent="0.2">
      <c r="A136" s="39" t="s">
        <v>336</v>
      </c>
      <c r="B136" s="28" t="s">
        <v>50</v>
      </c>
      <c r="C136" s="29">
        <v>1250000</v>
      </c>
      <c r="D136" s="30" t="s">
        <v>140</v>
      </c>
      <c r="E136" s="30">
        <v>20</v>
      </c>
      <c r="F136" s="30" t="s">
        <v>226</v>
      </c>
      <c r="G136" s="31">
        <v>402</v>
      </c>
      <c r="H136" s="32">
        <v>118</v>
      </c>
      <c r="I136" s="32">
        <f>ROUND((Table13[[#This Row],[laatste 5 wed.]]/Table13[[#This Row],['#punten]])*100,1)</f>
        <v>29.4</v>
      </c>
      <c r="J136" s="30">
        <v>15</v>
      </c>
      <c r="K136" s="30">
        <v>13</v>
      </c>
      <c r="L136" s="30">
        <v>852</v>
      </c>
      <c r="M136" s="30">
        <v>223</v>
      </c>
      <c r="N136" s="30">
        <f>ROUND(Table13[[#This Row],[Min laatste 5]]/Table13[[#This Row],['#minuten]]*100,1)</f>
        <v>26.2</v>
      </c>
      <c r="O136" s="30">
        <v>0</v>
      </c>
      <c r="P136" s="30">
        <v>3</v>
      </c>
      <c r="Q136" s="48">
        <v>3</v>
      </c>
      <c r="R136" s="30">
        <v>0</v>
      </c>
      <c r="S136" s="30">
        <v>2</v>
      </c>
      <c r="T136" s="33">
        <f>ROUND(Table13[[#This Row],['#punten]]/Table13[[#This Row],['#Wed]],2)</f>
        <v>26.8</v>
      </c>
      <c r="U136" s="31">
        <f>ROUND(Table13[[#This Row],['#punten]]/Table13[[#This Row],['#minuten]],2)</f>
        <v>0.47</v>
      </c>
      <c r="V136" s="30">
        <f>Table13[[#This Row],[Pt/minuut]]*90</f>
        <v>42.3</v>
      </c>
      <c r="W136" s="30">
        <f>ROUND(Table13[[#This Row],[Prijs]]/Table13[[#This Row],['#punten]],0)</f>
        <v>3109</v>
      </c>
      <c r="X136" s="34">
        <f>ROUND((Table13[[#This Row],[Goals]]+Table13[[#This Row],[Asissts]])/(Table13[[#This Row],['#minuten]]/90),2)</f>
        <v>0.32</v>
      </c>
    </row>
    <row r="137" spans="1:24" x14ac:dyDescent="0.2">
      <c r="A137" s="39" t="s">
        <v>337</v>
      </c>
      <c r="B137" s="51" t="s">
        <v>50</v>
      </c>
      <c r="C137" s="52">
        <v>1000000</v>
      </c>
      <c r="D137" s="53" t="s">
        <v>140</v>
      </c>
      <c r="E137" s="53">
        <v>21</v>
      </c>
      <c r="F137" s="53" t="s">
        <v>141</v>
      </c>
      <c r="G137" s="54">
        <v>274</v>
      </c>
      <c r="H137" s="55">
        <v>82</v>
      </c>
      <c r="I137" s="55">
        <f>ROUND((Table13[[#This Row],[laatste 5 wed.]]/Table13[[#This Row],['#punten]])*100,1)</f>
        <v>29.9</v>
      </c>
      <c r="J137" s="53">
        <v>12</v>
      </c>
      <c r="K137" s="53">
        <v>10</v>
      </c>
      <c r="L137" s="53">
        <v>894</v>
      </c>
      <c r="M137" s="53">
        <v>351</v>
      </c>
      <c r="N137" s="53">
        <f>ROUND(Table13[[#This Row],[Min laatste 5]]/Table13[[#This Row],['#minuten]]*100,1)</f>
        <v>39.299999999999997</v>
      </c>
      <c r="O137" s="53">
        <v>1</v>
      </c>
      <c r="P137" s="53">
        <v>0</v>
      </c>
      <c r="Q137" s="85">
        <v>2</v>
      </c>
      <c r="R137" s="53">
        <v>0</v>
      </c>
      <c r="S137" s="53">
        <v>1</v>
      </c>
      <c r="T137" s="56">
        <f>ROUND(Table13[[#This Row],['#punten]]/Table13[[#This Row],['#Wed]],2)</f>
        <v>22.83</v>
      </c>
      <c r="U137" s="54">
        <f>ROUND(Table13[[#This Row],['#punten]]/Table13[[#This Row],['#minuten]],2)</f>
        <v>0.31</v>
      </c>
      <c r="V137" s="53">
        <f>Table13[[#This Row],[Pt/minuut]]*90</f>
        <v>27.9</v>
      </c>
      <c r="W137" s="53">
        <f>ROUND(Table13[[#This Row],[Prijs]]/Table13[[#This Row],['#punten]],0)</f>
        <v>3650</v>
      </c>
      <c r="X137" s="57">
        <f>ROUND((Table13[[#This Row],[Goals]]+Table13[[#This Row],[Asissts]])/(Table13[[#This Row],['#minuten]]/90),2)</f>
        <v>0.1</v>
      </c>
    </row>
    <row r="138" spans="1:24" x14ac:dyDescent="0.2">
      <c r="A138" s="39" t="s">
        <v>130</v>
      </c>
      <c r="B138" s="51" t="s">
        <v>50</v>
      </c>
      <c r="C138" s="52">
        <v>2000000</v>
      </c>
      <c r="D138" s="53" t="s">
        <v>140</v>
      </c>
      <c r="E138" s="53">
        <v>30</v>
      </c>
      <c r="F138" s="53" t="s">
        <v>141</v>
      </c>
      <c r="G138" s="54">
        <v>740</v>
      </c>
      <c r="H138" s="55">
        <v>114</v>
      </c>
      <c r="I138" s="55">
        <f>ROUND((Table13[[#This Row],[laatste 5 wed.]]/Table13[[#This Row],['#punten]])*100,1)</f>
        <v>15.4</v>
      </c>
      <c r="J138" s="53">
        <v>15</v>
      </c>
      <c r="K138" s="53">
        <v>14</v>
      </c>
      <c r="L138" s="53">
        <v>1211</v>
      </c>
      <c r="M138" s="53">
        <v>336</v>
      </c>
      <c r="N138" s="53">
        <f>ROUND(Table13[[#This Row],[Min laatste 5]]/Table13[[#This Row],['#minuten]]*100,1)</f>
        <v>27.7</v>
      </c>
      <c r="O138" s="53">
        <v>4</v>
      </c>
      <c r="P138" s="53">
        <v>2</v>
      </c>
      <c r="Q138" s="85">
        <v>2</v>
      </c>
      <c r="R138" s="53">
        <v>1</v>
      </c>
      <c r="S138" s="53">
        <v>2</v>
      </c>
      <c r="T138" s="56">
        <f>ROUND(Table13[[#This Row],['#punten]]/Table13[[#This Row],['#Wed]],2)</f>
        <v>49.33</v>
      </c>
      <c r="U138" s="54">
        <f>ROUND(Table13[[#This Row],['#punten]]/Table13[[#This Row],['#minuten]],2)</f>
        <v>0.61</v>
      </c>
      <c r="V138" s="53">
        <f>Table13[[#This Row],[Pt/minuut]]*90</f>
        <v>54.9</v>
      </c>
      <c r="W138" s="53">
        <f>ROUND(Table13[[#This Row],[Prijs]]/Table13[[#This Row],['#punten]],0)</f>
        <v>2703</v>
      </c>
      <c r="X138" s="57">
        <f>ROUND((Table13[[#This Row],[Goals]]+Table13[[#This Row],[Asissts]])/(Table13[[#This Row],['#minuten]]/90),2)</f>
        <v>0.45</v>
      </c>
    </row>
    <row r="139" spans="1:24" x14ac:dyDescent="0.2">
      <c r="A139" s="39" t="s">
        <v>384</v>
      </c>
      <c r="B139" s="51" t="s">
        <v>51</v>
      </c>
      <c r="C139" s="52">
        <v>1000000</v>
      </c>
      <c r="D139" s="53" t="s">
        <v>140</v>
      </c>
      <c r="E139" s="53">
        <v>20</v>
      </c>
      <c r="F139" s="53" t="s">
        <v>141</v>
      </c>
      <c r="G139" s="54">
        <v>542</v>
      </c>
      <c r="H139" s="55">
        <v>142</v>
      </c>
      <c r="I139" s="55">
        <f>ROUND((Table13[[#This Row],[laatste 5 wed.]]/Table13[[#This Row],['#punten]])*100,1)</f>
        <v>26.2</v>
      </c>
      <c r="J139" s="53">
        <v>14</v>
      </c>
      <c r="K139" s="53">
        <v>14</v>
      </c>
      <c r="L139" s="53">
        <v>1189</v>
      </c>
      <c r="M139" s="53">
        <v>435</v>
      </c>
      <c r="N139" s="53">
        <f>ROUND(Table13[[#This Row],[Min laatste 5]]/Table13[[#This Row],['#minuten]]*100,1)</f>
        <v>36.6</v>
      </c>
      <c r="O139" s="53">
        <v>3</v>
      </c>
      <c r="P139" s="53">
        <v>0</v>
      </c>
      <c r="Q139" s="85">
        <v>1</v>
      </c>
      <c r="R139" s="53">
        <v>0</v>
      </c>
      <c r="S139" s="53">
        <v>1</v>
      </c>
      <c r="T139" s="56">
        <f>ROUND(Table13[[#This Row],['#punten]]/Table13[[#This Row],['#Wed]],2)</f>
        <v>38.71</v>
      </c>
      <c r="U139" s="54">
        <f>ROUND(Table13[[#This Row],['#punten]]/Table13[[#This Row],['#minuten]],2)</f>
        <v>0.46</v>
      </c>
      <c r="V139" s="53">
        <f>Table13[[#This Row],[Pt/minuut]]*90</f>
        <v>41.4</v>
      </c>
      <c r="W139" s="53">
        <f>ROUND(Table13[[#This Row],[Prijs]]/Table13[[#This Row],['#punten]],0)</f>
        <v>1845</v>
      </c>
      <c r="X139" s="57">
        <f>ROUND((Table13[[#This Row],[Goals]]+Table13[[#This Row],[Asissts]])/(Table13[[#This Row],['#minuten]]/90),2)</f>
        <v>0.23</v>
      </c>
    </row>
    <row r="140" spans="1:24" x14ac:dyDescent="0.2">
      <c r="A140" s="39" t="s">
        <v>344</v>
      </c>
      <c r="B140" s="51" t="s">
        <v>51</v>
      </c>
      <c r="C140" s="52">
        <v>1000000</v>
      </c>
      <c r="D140" s="53" t="s">
        <v>140</v>
      </c>
      <c r="E140" s="53">
        <v>20</v>
      </c>
      <c r="F140" s="53" t="s">
        <v>141</v>
      </c>
      <c r="G140" s="54">
        <v>364</v>
      </c>
      <c r="H140" s="55">
        <v>16</v>
      </c>
      <c r="I140" s="55">
        <f>ROUND((Table13[[#This Row],[laatste 5 wed.]]/Table13[[#This Row],['#punten]])*100,1)</f>
        <v>4.4000000000000004</v>
      </c>
      <c r="J140" s="53">
        <v>15</v>
      </c>
      <c r="K140" s="53">
        <v>15</v>
      </c>
      <c r="L140" s="53">
        <v>1345</v>
      </c>
      <c r="M140" s="53">
        <v>360</v>
      </c>
      <c r="N140" s="53">
        <f>ROUND(Table13[[#This Row],[Min laatste 5]]/Table13[[#This Row],['#minuten]]*100,1)</f>
        <v>26.8</v>
      </c>
      <c r="O140" s="53">
        <v>2</v>
      </c>
      <c r="P140" s="53">
        <v>0</v>
      </c>
      <c r="Q140" s="85">
        <v>4</v>
      </c>
      <c r="R140" s="53">
        <v>0</v>
      </c>
      <c r="S140" s="53">
        <v>1</v>
      </c>
      <c r="T140" s="56">
        <f>ROUND(Table13[[#This Row],['#punten]]/Table13[[#This Row],['#Wed]],2)</f>
        <v>24.27</v>
      </c>
      <c r="U140" s="54">
        <f>ROUND(Table13[[#This Row],['#punten]]/Table13[[#This Row],['#minuten]],2)</f>
        <v>0.27</v>
      </c>
      <c r="V140" s="53">
        <f>Table13[[#This Row],[Pt/minuut]]*90</f>
        <v>24.3</v>
      </c>
      <c r="W140" s="53">
        <f>ROUND(Table13[[#This Row],[Prijs]]/Table13[[#This Row],['#punten]],0)</f>
        <v>2747</v>
      </c>
      <c r="X140" s="57">
        <f>ROUND((Table13[[#This Row],[Goals]]+Table13[[#This Row],[Asissts]])/(Table13[[#This Row],['#minuten]]/90),2)</f>
        <v>0.13</v>
      </c>
    </row>
    <row r="141" spans="1:24" x14ac:dyDescent="0.2">
      <c r="A141" s="6" t="s">
        <v>151</v>
      </c>
      <c r="B141" s="51" t="s">
        <v>43</v>
      </c>
      <c r="C141" s="52">
        <v>2500000</v>
      </c>
      <c r="D141" s="53" t="s">
        <v>203</v>
      </c>
      <c r="E141" s="53">
        <v>17</v>
      </c>
      <c r="F141" s="53" t="s">
        <v>141</v>
      </c>
      <c r="G141" s="54">
        <v>678</v>
      </c>
      <c r="H141" s="55">
        <v>354</v>
      </c>
      <c r="I141" s="55">
        <f>ROUND((Table13[[#This Row],[laatste 5 wed.]]/Table13[[#This Row],['#punten]])*100,1)</f>
        <v>52.2</v>
      </c>
      <c r="J141" s="53">
        <v>16</v>
      </c>
      <c r="K141" s="53">
        <v>16</v>
      </c>
      <c r="L141" s="53">
        <v>1440</v>
      </c>
      <c r="M141" s="53">
        <v>450</v>
      </c>
      <c r="N141" s="53">
        <f>ROUND(Table13[[#This Row],[Min laatste 5]]/Table13[[#This Row],['#minuten]]*100,1)</f>
        <v>31.3</v>
      </c>
      <c r="O141" s="53">
        <v>1</v>
      </c>
      <c r="P141" s="53">
        <v>1</v>
      </c>
      <c r="Q141" s="85">
        <v>2</v>
      </c>
      <c r="R141" s="53">
        <v>0</v>
      </c>
      <c r="S141" s="53">
        <v>3</v>
      </c>
      <c r="T141" s="56">
        <f>ROUND(Table13[[#This Row],['#punten]]/Table13[[#This Row],['#Wed]],2)</f>
        <v>42.38</v>
      </c>
      <c r="U141" s="54">
        <f>ROUND(Table13[[#This Row],['#punten]]/Table13[[#This Row],['#minuten]],2)</f>
        <v>0.47</v>
      </c>
      <c r="V141" s="53">
        <f>Table13[[#This Row],[Pt/minuut]]*90</f>
        <v>42.3</v>
      </c>
      <c r="W141" s="53">
        <f>ROUND(Table13[[#This Row],[Prijs]]/Table13[[#This Row],['#punten]],0)</f>
        <v>3687</v>
      </c>
      <c r="X141" s="57">
        <f>ROUND((Table13[[#This Row],[Goals]]+Table13[[#This Row],[Asissts]])/(Table13[[#This Row],['#minuten]]/90),2)</f>
        <v>0.13</v>
      </c>
    </row>
    <row r="142" spans="1:24" x14ac:dyDescent="0.2">
      <c r="A142" s="6" t="s">
        <v>150</v>
      </c>
      <c r="B142" s="62" t="s">
        <v>43</v>
      </c>
      <c r="C142" s="63">
        <v>3000000</v>
      </c>
      <c r="D142" s="60" t="s">
        <v>203</v>
      </c>
      <c r="E142" s="60">
        <v>20</v>
      </c>
      <c r="F142" s="60" t="s">
        <v>141</v>
      </c>
      <c r="G142" s="58">
        <v>498</v>
      </c>
      <c r="H142" s="64">
        <v>354</v>
      </c>
      <c r="I142" s="64">
        <f>ROUND((Table13[[#This Row],[laatste 5 wed.]]/Table13[[#This Row],['#punten]])*100,1)</f>
        <v>71.099999999999994</v>
      </c>
      <c r="J142" s="60">
        <v>13</v>
      </c>
      <c r="K142" s="60">
        <v>11</v>
      </c>
      <c r="L142" s="60">
        <v>947</v>
      </c>
      <c r="M142" s="60">
        <v>450</v>
      </c>
      <c r="N142" s="60">
        <f>ROUND(Table13[[#This Row],[Min laatste 5]]/Table13[[#This Row],['#minuten]]*100,1)</f>
        <v>47.5</v>
      </c>
      <c r="O142" s="60">
        <v>0</v>
      </c>
      <c r="P142" s="60">
        <v>2</v>
      </c>
      <c r="Q142" s="86">
        <v>2</v>
      </c>
      <c r="R142" s="60">
        <v>0</v>
      </c>
      <c r="S142" s="60">
        <v>2</v>
      </c>
      <c r="T142" s="59">
        <f>ROUND(Table13[[#This Row],['#punten]]/Table13[[#This Row],['#Wed]],2)</f>
        <v>38.31</v>
      </c>
      <c r="U142" s="58">
        <f>ROUND(Table13[[#This Row],['#punten]]/Table13[[#This Row],['#minuten]],2)</f>
        <v>0.53</v>
      </c>
      <c r="V142" s="60">
        <f>Table13[[#This Row],[Pt/minuut]]*90</f>
        <v>47.7</v>
      </c>
      <c r="W142" s="60">
        <f>ROUND(Table13[[#This Row],[Prijs]]/Table13[[#This Row],['#punten]],0)</f>
        <v>6024</v>
      </c>
      <c r="X142" s="61">
        <f>ROUND((Table13[[#This Row],[Goals]]+Table13[[#This Row],[Asissts]])/(Table13[[#This Row],['#minuten]]/90),2)</f>
        <v>0.19</v>
      </c>
    </row>
    <row r="143" spans="1:24" x14ac:dyDescent="0.2">
      <c r="A143" s="6" t="s">
        <v>152</v>
      </c>
      <c r="B143" s="51" t="s">
        <v>43</v>
      </c>
      <c r="C143" s="52">
        <v>2500000</v>
      </c>
      <c r="D143" s="53" t="s">
        <v>203</v>
      </c>
      <c r="E143" s="53">
        <v>23</v>
      </c>
      <c r="F143" s="53" t="s">
        <v>153</v>
      </c>
      <c r="G143" s="54">
        <v>396</v>
      </c>
      <c r="H143" s="55">
        <v>156</v>
      </c>
      <c r="I143" s="55">
        <f>ROUND((Table13[[#This Row],[laatste 5 wed.]]/Table13[[#This Row],['#punten]])*100,1)</f>
        <v>39.4</v>
      </c>
      <c r="J143" s="53">
        <v>12</v>
      </c>
      <c r="K143" s="53">
        <v>11</v>
      </c>
      <c r="L143" s="53">
        <v>1034</v>
      </c>
      <c r="M143" s="53">
        <v>315</v>
      </c>
      <c r="N143" s="53">
        <f>ROUND(Table13[[#This Row],[Min laatste 5]]/Table13[[#This Row],['#minuten]]*100,1)</f>
        <v>30.5</v>
      </c>
      <c r="O143" s="53">
        <v>0</v>
      </c>
      <c r="P143" s="53">
        <v>0</v>
      </c>
      <c r="Q143" s="85">
        <v>0</v>
      </c>
      <c r="R143" s="53">
        <v>0</v>
      </c>
      <c r="S143" s="53">
        <v>2</v>
      </c>
      <c r="T143" s="56">
        <f>ROUND(Table13[[#This Row],['#punten]]/Table13[[#This Row],['#Wed]],2)</f>
        <v>33</v>
      </c>
      <c r="U143" s="54">
        <f>ROUND(Table13[[#This Row],['#punten]]/Table13[[#This Row],['#minuten]],2)</f>
        <v>0.38</v>
      </c>
      <c r="V143" s="53">
        <f>Table13[[#This Row],[Pt/minuut]]*90</f>
        <v>34.200000000000003</v>
      </c>
      <c r="W143" s="53">
        <f>ROUND(Table13[[#This Row],[Prijs]]/Table13[[#This Row],['#punten]],0)</f>
        <v>6313</v>
      </c>
      <c r="X143" s="57">
        <f>ROUND((Table13[[#This Row],[Goals]]+Table13[[#This Row],[Asissts]])/(Table13[[#This Row],['#minuten]]/90),2)</f>
        <v>0</v>
      </c>
    </row>
    <row r="144" spans="1:24" x14ac:dyDescent="0.2">
      <c r="A144" s="6" t="s">
        <v>357</v>
      </c>
      <c r="B144" s="51" t="s">
        <v>43</v>
      </c>
      <c r="C144" s="52">
        <v>3000000</v>
      </c>
      <c r="D144" s="53" t="s">
        <v>203</v>
      </c>
      <c r="E144" s="53">
        <v>25</v>
      </c>
      <c r="F144" s="53" t="s">
        <v>153</v>
      </c>
      <c r="G144" s="54">
        <v>144</v>
      </c>
      <c r="H144" s="55">
        <v>18</v>
      </c>
      <c r="I144" s="55">
        <f>ROUND((Table13[[#This Row],[laatste 5 wed.]]/Table13[[#This Row],['#punten]])*100,1)</f>
        <v>12.5</v>
      </c>
      <c r="J144" s="53">
        <v>7</v>
      </c>
      <c r="K144" s="53">
        <v>5</v>
      </c>
      <c r="L144" s="53">
        <v>334</v>
      </c>
      <c r="M144" s="53">
        <v>58</v>
      </c>
      <c r="N144" s="53">
        <f>ROUND(Table13[[#This Row],[Min laatste 5]]/Table13[[#This Row],['#minuten]]*100,1)</f>
        <v>17.399999999999999</v>
      </c>
      <c r="O144" s="53">
        <v>0</v>
      </c>
      <c r="P144" s="53">
        <v>3</v>
      </c>
      <c r="Q144" s="85">
        <v>1</v>
      </c>
      <c r="R144" s="53">
        <v>0</v>
      </c>
      <c r="S144" s="53">
        <v>0</v>
      </c>
      <c r="T144" s="56">
        <f>ROUND(Table13[[#This Row],['#punten]]/Table13[[#This Row],['#Wed]],2)</f>
        <v>20.57</v>
      </c>
      <c r="U144" s="54">
        <f>ROUND(Table13[[#This Row],['#punten]]/Table13[[#This Row],['#minuten]],2)</f>
        <v>0.43</v>
      </c>
      <c r="V144" s="53">
        <f>Table13[[#This Row],[Pt/minuut]]*90</f>
        <v>38.700000000000003</v>
      </c>
      <c r="W144" s="53">
        <f>ROUND(Table13[[#This Row],[Prijs]]/Table13[[#This Row],['#punten]],0)</f>
        <v>20833</v>
      </c>
      <c r="X144" s="57">
        <f>ROUND((Table13[[#This Row],[Goals]]+Table13[[#This Row],[Asissts]])/(Table13[[#This Row],['#minuten]]/90),2)</f>
        <v>0.81</v>
      </c>
    </row>
    <row r="145" spans="1:24" x14ac:dyDescent="0.2">
      <c r="A145" s="6" t="s">
        <v>512</v>
      </c>
      <c r="B145" s="51" t="s">
        <v>159</v>
      </c>
      <c r="C145" s="52">
        <v>750000</v>
      </c>
      <c r="D145" s="53" t="s">
        <v>203</v>
      </c>
      <c r="E145" s="53">
        <v>22</v>
      </c>
      <c r="F145" s="53" t="s">
        <v>160</v>
      </c>
      <c r="G145" s="54">
        <v>582</v>
      </c>
      <c r="H145" s="55">
        <v>204</v>
      </c>
      <c r="I145" s="55">
        <f>ROUND((Table13[[#This Row],[laatste 5 wed.]]/Table13[[#This Row],['#punten]])*100,1)</f>
        <v>35.1</v>
      </c>
      <c r="J145" s="53">
        <v>12</v>
      </c>
      <c r="K145" s="53">
        <v>10</v>
      </c>
      <c r="L145" s="53">
        <v>902</v>
      </c>
      <c r="M145" s="53">
        <v>405</v>
      </c>
      <c r="N145" s="53">
        <f>ROUND(Table13[[#This Row],[Min laatste 5]]/Table13[[#This Row],['#minuten]]*100,1)</f>
        <v>44.9</v>
      </c>
      <c r="O145" s="53">
        <v>1</v>
      </c>
      <c r="P145" s="53">
        <v>1</v>
      </c>
      <c r="Q145" s="85">
        <v>2</v>
      </c>
      <c r="R145" s="53">
        <v>0</v>
      </c>
      <c r="S145" s="53">
        <v>4</v>
      </c>
      <c r="T145" s="56">
        <f>ROUND(Table13[[#This Row],['#punten]]/Table13[[#This Row],['#Wed]],2)</f>
        <v>48.5</v>
      </c>
      <c r="U145" s="54">
        <f>ROUND(Table13[[#This Row],['#punten]]/Table13[[#This Row],['#minuten]],2)</f>
        <v>0.65</v>
      </c>
      <c r="V145" s="53">
        <f>Table13[[#This Row],[Pt/minuut]]*90</f>
        <v>58.5</v>
      </c>
      <c r="W145" s="53">
        <f>ROUND(Table13[[#This Row],[Prijs]]/Table13[[#This Row],['#punten]],0)</f>
        <v>1289</v>
      </c>
      <c r="X145" s="57">
        <f>ROUND((Table13[[#This Row],[Goals]]+Table13[[#This Row],[Asissts]])/(Table13[[#This Row],['#minuten]]/90),2)</f>
        <v>0.2</v>
      </c>
    </row>
    <row r="146" spans="1:24" x14ac:dyDescent="0.2">
      <c r="A146" s="6" t="s">
        <v>178</v>
      </c>
      <c r="B146" s="51" t="s">
        <v>6</v>
      </c>
      <c r="C146" s="52">
        <v>3000000</v>
      </c>
      <c r="D146" s="53" t="s">
        <v>203</v>
      </c>
      <c r="E146" s="53">
        <v>21</v>
      </c>
      <c r="F146" s="53" t="s">
        <v>179</v>
      </c>
      <c r="G146" s="54">
        <v>1086</v>
      </c>
      <c r="H146" s="55">
        <v>342</v>
      </c>
      <c r="I146" s="55">
        <f>ROUND((Table13[[#This Row],[laatste 5 wed.]]/Table13[[#This Row],['#punten]])*100,1)</f>
        <v>31.5</v>
      </c>
      <c r="J146" s="53">
        <v>16</v>
      </c>
      <c r="K146" s="53">
        <v>16</v>
      </c>
      <c r="L146" s="53">
        <v>1306</v>
      </c>
      <c r="M146" s="53">
        <v>399</v>
      </c>
      <c r="N146" s="53">
        <f>ROUND(Table13[[#This Row],[Min laatste 5]]/Table13[[#This Row],['#minuten]]*100,1)</f>
        <v>30.6</v>
      </c>
      <c r="O146" s="53">
        <v>1</v>
      </c>
      <c r="P146" s="53">
        <v>2</v>
      </c>
      <c r="Q146" s="85">
        <v>4</v>
      </c>
      <c r="R146" s="53">
        <v>0</v>
      </c>
      <c r="S146" s="53">
        <v>6</v>
      </c>
      <c r="T146" s="56">
        <f>ROUND(Table13[[#This Row],['#punten]]/Table13[[#This Row],['#Wed]],2)</f>
        <v>67.88</v>
      </c>
      <c r="U146" s="54">
        <f>ROUND(Table13[[#This Row],['#punten]]/Table13[[#This Row],['#minuten]],2)</f>
        <v>0.83</v>
      </c>
      <c r="V146" s="53">
        <f>Table13[[#This Row],[Pt/minuut]]*90</f>
        <v>74.7</v>
      </c>
      <c r="W146" s="53">
        <f>ROUND(Table13[[#This Row],[Prijs]]/Table13[[#This Row],['#punten]],0)</f>
        <v>2762</v>
      </c>
      <c r="X146" s="57">
        <f>ROUND((Table13[[#This Row],[Goals]]+Table13[[#This Row],[Asissts]])/(Table13[[#This Row],['#minuten]]/90),2)</f>
        <v>0.21</v>
      </c>
    </row>
    <row r="147" spans="1:24" x14ac:dyDescent="0.2">
      <c r="A147" s="6" t="s">
        <v>360</v>
      </c>
      <c r="B147" s="51" t="s">
        <v>6</v>
      </c>
      <c r="C147" s="52">
        <v>2000000</v>
      </c>
      <c r="D147" s="53" t="s">
        <v>203</v>
      </c>
      <c r="E147" s="53">
        <v>22</v>
      </c>
      <c r="F147" s="53" t="s">
        <v>143</v>
      </c>
      <c r="G147" s="54">
        <v>762</v>
      </c>
      <c r="H147" s="55">
        <v>156</v>
      </c>
      <c r="I147" s="55">
        <f>ROUND((Table13[[#This Row],[laatste 5 wed.]]/Table13[[#This Row],['#punten]])*100,1)</f>
        <v>20.5</v>
      </c>
      <c r="J147" s="53">
        <v>13</v>
      </c>
      <c r="K147" s="53">
        <v>10</v>
      </c>
      <c r="L147" s="53">
        <v>929</v>
      </c>
      <c r="M147" s="53">
        <v>247</v>
      </c>
      <c r="N147" s="53">
        <f>ROUND(Table13[[#This Row],[Min laatste 5]]/Table13[[#This Row],['#minuten]]*100,1)</f>
        <v>26.6</v>
      </c>
      <c r="O147" s="53">
        <v>0</v>
      </c>
      <c r="P147" s="53">
        <v>1</v>
      </c>
      <c r="Q147" s="85">
        <v>0</v>
      </c>
      <c r="R147" s="53">
        <v>0</v>
      </c>
      <c r="S147" s="53">
        <v>5</v>
      </c>
      <c r="T147" s="56">
        <f>ROUND(Table13[[#This Row],['#punten]]/Table13[[#This Row],['#Wed]],2)</f>
        <v>58.62</v>
      </c>
      <c r="U147" s="54">
        <f>ROUND(Table13[[#This Row],['#punten]]/Table13[[#This Row],['#minuten]],2)</f>
        <v>0.82</v>
      </c>
      <c r="V147" s="53">
        <f>Table13[[#This Row],[Pt/minuut]]*90</f>
        <v>73.8</v>
      </c>
      <c r="W147" s="53">
        <f>ROUND(Table13[[#This Row],[Prijs]]/Table13[[#This Row],['#punten]],0)</f>
        <v>2625</v>
      </c>
      <c r="X147" s="57">
        <f>ROUND((Table13[[#This Row],[Goals]]+Table13[[#This Row],[Asissts]])/(Table13[[#This Row],['#minuten]]/90),2)</f>
        <v>0.1</v>
      </c>
    </row>
    <row r="148" spans="1:24" x14ac:dyDescent="0.2">
      <c r="A148" s="6" t="s">
        <v>126</v>
      </c>
      <c r="B148" s="51" t="s">
        <v>6</v>
      </c>
      <c r="C148" s="52">
        <v>4000000</v>
      </c>
      <c r="D148" s="53" t="s">
        <v>203</v>
      </c>
      <c r="E148" s="53">
        <v>23</v>
      </c>
      <c r="F148" s="53" t="s">
        <v>177</v>
      </c>
      <c r="G148" s="54">
        <v>1182</v>
      </c>
      <c r="H148" s="55">
        <v>198</v>
      </c>
      <c r="I148" s="55">
        <f>ROUND((Table13[[#This Row],[laatste 5 wed.]]/Table13[[#This Row],['#punten]])*100,1)</f>
        <v>16.8</v>
      </c>
      <c r="J148" s="53">
        <v>16</v>
      </c>
      <c r="K148" s="53">
        <v>16</v>
      </c>
      <c r="L148" s="53">
        <v>1356</v>
      </c>
      <c r="M148" s="53">
        <v>410</v>
      </c>
      <c r="N148" s="53">
        <f>ROUND(Table13[[#This Row],[Min laatste 5]]/Table13[[#This Row],['#minuten]]*100,1)</f>
        <v>30.2</v>
      </c>
      <c r="O148" s="53">
        <v>0</v>
      </c>
      <c r="P148" s="53">
        <v>4</v>
      </c>
      <c r="Q148" s="85">
        <v>0</v>
      </c>
      <c r="R148" s="53">
        <v>0</v>
      </c>
      <c r="S148" s="53">
        <v>6</v>
      </c>
      <c r="T148" s="56">
        <f>ROUND(Table13[[#This Row],['#punten]]/Table13[[#This Row],['#Wed]],2)</f>
        <v>73.88</v>
      </c>
      <c r="U148" s="54">
        <f>ROUND(Table13[[#This Row],['#punten]]/Table13[[#This Row],['#minuten]],2)</f>
        <v>0.87</v>
      </c>
      <c r="V148" s="53">
        <f>Table13[[#This Row],[Pt/minuut]]*90</f>
        <v>78.3</v>
      </c>
      <c r="W148" s="53">
        <f>ROUND(Table13[[#This Row],[Prijs]]/Table13[[#This Row],['#punten]],0)</f>
        <v>3384</v>
      </c>
      <c r="X148" s="57">
        <f>ROUND((Table13[[#This Row],[Goals]]+Table13[[#This Row],[Asissts]])/(Table13[[#This Row],['#minuten]]/90),2)</f>
        <v>0.27</v>
      </c>
    </row>
    <row r="149" spans="1:24" x14ac:dyDescent="0.2">
      <c r="A149" s="6" t="s">
        <v>180</v>
      </c>
      <c r="B149" s="51" t="s">
        <v>6</v>
      </c>
      <c r="C149" s="52">
        <v>2500000</v>
      </c>
      <c r="D149" s="53" t="s">
        <v>203</v>
      </c>
      <c r="E149" s="53">
        <v>27</v>
      </c>
      <c r="F149" s="53" t="s">
        <v>141</v>
      </c>
      <c r="G149" s="54">
        <v>728</v>
      </c>
      <c r="H149" s="55">
        <v>102</v>
      </c>
      <c r="I149" s="55">
        <f>ROUND((Table13[[#This Row],[laatste 5 wed.]]/Table13[[#This Row],['#punten]])*100,1)</f>
        <v>14</v>
      </c>
      <c r="J149" s="53">
        <v>13</v>
      </c>
      <c r="K149" s="53">
        <v>13</v>
      </c>
      <c r="L149" s="53">
        <v>1080</v>
      </c>
      <c r="M149" s="53">
        <v>269</v>
      </c>
      <c r="N149" s="53">
        <f>ROUND(Table13[[#This Row],[Min laatste 5]]/Table13[[#This Row],['#minuten]]*100,1)</f>
        <v>24.9</v>
      </c>
      <c r="O149" s="53">
        <v>0</v>
      </c>
      <c r="P149" s="53">
        <v>0</v>
      </c>
      <c r="Q149" s="85">
        <v>2</v>
      </c>
      <c r="R149" s="53">
        <v>0</v>
      </c>
      <c r="S149" s="53">
        <v>5</v>
      </c>
      <c r="T149" s="56">
        <f>ROUND(Table13[[#This Row],['#punten]]/Table13[[#This Row],['#Wed]],2)</f>
        <v>56</v>
      </c>
      <c r="U149" s="54">
        <f>ROUND(Table13[[#This Row],['#punten]]/Table13[[#This Row],['#minuten]],2)</f>
        <v>0.67</v>
      </c>
      <c r="V149" s="53">
        <f>Table13[[#This Row],[Pt/minuut]]*90</f>
        <v>60.300000000000004</v>
      </c>
      <c r="W149" s="53">
        <f>ROUND(Table13[[#This Row],[Prijs]]/Table13[[#This Row],['#punten]],0)</f>
        <v>3434</v>
      </c>
      <c r="X149" s="57">
        <f>ROUND((Table13[[#This Row],[Goals]]+Table13[[#This Row],[Asissts]])/(Table13[[#This Row],['#minuten]]/90),2)</f>
        <v>0</v>
      </c>
    </row>
    <row r="150" spans="1:24" x14ac:dyDescent="0.2">
      <c r="A150" s="6" t="s">
        <v>502</v>
      </c>
      <c r="B150" s="28" t="s">
        <v>6</v>
      </c>
      <c r="C150" s="29">
        <v>2500000</v>
      </c>
      <c r="D150" s="30" t="s">
        <v>203</v>
      </c>
      <c r="E150" s="30">
        <v>31</v>
      </c>
      <c r="F150" s="30" t="s">
        <v>141</v>
      </c>
      <c r="G150" s="31">
        <v>318</v>
      </c>
      <c r="H150" s="32">
        <v>288</v>
      </c>
      <c r="I150" s="32">
        <f>ROUND((Table13[[#This Row],[laatste 5 wed.]]/Table13[[#This Row],['#punten]])*100,1)</f>
        <v>90.6</v>
      </c>
      <c r="J150" s="30">
        <v>9</v>
      </c>
      <c r="K150" s="30">
        <v>5</v>
      </c>
      <c r="L150" s="30">
        <v>529</v>
      </c>
      <c r="M150" s="30">
        <v>293</v>
      </c>
      <c r="N150" s="30">
        <f>ROUND(Table13[[#This Row],[Min laatste 5]]/Table13[[#This Row],['#minuten]]*100,1)</f>
        <v>55.4</v>
      </c>
      <c r="O150" s="30">
        <v>1</v>
      </c>
      <c r="P150" s="30">
        <v>1</v>
      </c>
      <c r="Q150" s="48">
        <v>2</v>
      </c>
      <c r="R150" s="30">
        <v>0</v>
      </c>
      <c r="S150" s="30">
        <v>1</v>
      </c>
      <c r="T150" s="33">
        <f>ROUND(Table13[[#This Row],['#punten]]/Table13[[#This Row],['#Wed]],2)</f>
        <v>35.33</v>
      </c>
      <c r="U150" s="31">
        <f>ROUND(Table13[[#This Row],['#punten]]/Table13[[#This Row],['#minuten]],2)</f>
        <v>0.6</v>
      </c>
      <c r="V150" s="30">
        <f>Table13[[#This Row],[Pt/minuut]]*90</f>
        <v>54</v>
      </c>
      <c r="W150" s="30">
        <f>ROUND(Table13[[#This Row],[Prijs]]/Table13[[#This Row],['#punten]],0)</f>
        <v>7862</v>
      </c>
      <c r="X150" s="34">
        <f>ROUND((Table13[[#This Row],[Goals]]+Table13[[#This Row],[Asissts]])/(Table13[[#This Row],['#minuten]]/90),2)</f>
        <v>0.34</v>
      </c>
    </row>
    <row r="151" spans="1:24" x14ac:dyDescent="0.2">
      <c r="A151" s="6" t="s">
        <v>533</v>
      </c>
      <c r="B151" s="62" t="s">
        <v>6</v>
      </c>
      <c r="C151" s="63">
        <v>1750000</v>
      </c>
      <c r="D151" s="60" t="s">
        <v>203</v>
      </c>
      <c r="E151" s="60">
        <v>19</v>
      </c>
      <c r="F151" s="60" t="s">
        <v>143</v>
      </c>
      <c r="G151" s="58">
        <v>0</v>
      </c>
      <c r="H151" s="64">
        <v>0</v>
      </c>
      <c r="I151" s="64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86">
        <v>0</v>
      </c>
      <c r="R151" s="60">
        <v>0</v>
      </c>
      <c r="S151" s="60">
        <v>0</v>
      </c>
      <c r="T151" s="59">
        <v>0</v>
      </c>
      <c r="U151" s="58">
        <v>0</v>
      </c>
      <c r="V151" s="60">
        <v>0</v>
      </c>
      <c r="W151" s="60">
        <v>0</v>
      </c>
      <c r="X151" s="61">
        <v>0</v>
      </c>
    </row>
    <row r="152" spans="1:24" x14ac:dyDescent="0.2">
      <c r="A152" s="6" t="s">
        <v>186</v>
      </c>
      <c r="B152" s="51" t="s">
        <v>44</v>
      </c>
      <c r="C152" s="52">
        <v>1000000</v>
      </c>
      <c r="D152" s="53" t="s">
        <v>203</v>
      </c>
      <c r="E152" s="53">
        <v>20</v>
      </c>
      <c r="F152" s="53" t="s">
        <v>187</v>
      </c>
      <c r="G152" s="54">
        <v>606</v>
      </c>
      <c r="H152" s="55">
        <v>54</v>
      </c>
      <c r="I152" s="55">
        <f>ROUND((Table13[[#This Row],[laatste 5 wed.]]/Table13[[#This Row],['#punten]])*100,1)</f>
        <v>8.9</v>
      </c>
      <c r="J152" s="53">
        <v>16</v>
      </c>
      <c r="K152" s="53">
        <v>16</v>
      </c>
      <c r="L152" s="53">
        <v>1425</v>
      </c>
      <c r="M152" s="53">
        <v>441</v>
      </c>
      <c r="N152" s="53">
        <f>ROUND(Table13[[#This Row],[Min laatste 5]]/Table13[[#This Row],['#minuten]]*100,1)</f>
        <v>30.9</v>
      </c>
      <c r="O152" s="53">
        <v>1</v>
      </c>
      <c r="P152" s="53">
        <v>0</v>
      </c>
      <c r="Q152" s="85">
        <v>0</v>
      </c>
      <c r="R152" s="53">
        <v>0</v>
      </c>
      <c r="S152" s="53">
        <v>3</v>
      </c>
      <c r="T152" s="56">
        <f>ROUND(Table13[[#This Row],['#punten]]/Table13[[#This Row],['#Wed]],2)</f>
        <v>37.880000000000003</v>
      </c>
      <c r="U152" s="54">
        <f>ROUND(Table13[[#This Row],['#punten]]/Table13[[#This Row],['#minuten]],2)</f>
        <v>0.43</v>
      </c>
      <c r="V152" s="53">
        <f>Table13[[#This Row],[Pt/minuut]]*90</f>
        <v>38.700000000000003</v>
      </c>
      <c r="W152" s="53">
        <f>ROUND(Table13[[#This Row],[Prijs]]/Table13[[#This Row],['#punten]],0)</f>
        <v>1650</v>
      </c>
      <c r="X152" s="57">
        <f>ROUND((Table13[[#This Row],[Goals]]+Table13[[#This Row],[Asissts]])/(Table13[[#This Row],['#minuten]]/90),2)</f>
        <v>0.06</v>
      </c>
    </row>
    <row r="153" spans="1:24" x14ac:dyDescent="0.2">
      <c r="A153" s="6" t="s">
        <v>184</v>
      </c>
      <c r="B153" s="62" t="s">
        <v>44</v>
      </c>
      <c r="C153" s="63">
        <v>1500000</v>
      </c>
      <c r="D153" s="60" t="s">
        <v>203</v>
      </c>
      <c r="E153" s="60">
        <v>22</v>
      </c>
      <c r="F153" s="60" t="s">
        <v>160</v>
      </c>
      <c r="G153" s="58">
        <v>576</v>
      </c>
      <c r="H153" s="64">
        <v>24</v>
      </c>
      <c r="I153" s="64">
        <f>ROUND((Table13[[#This Row],[laatste 5 wed.]]/Table13[[#This Row],['#punten]])*100,1)</f>
        <v>4.2</v>
      </c>
      <c r="J153" s="60">
        <v>15</v>
      </c>
      <c r="K153" s="60">
        <v>15</v>
      </c>
      <c r="L153" s="60">
        <v>1266</v>
      </c>
      <c r="M153" s="60">
        <v>286</v>
      </c>
      <c r="N153" s="60">
        <f>ROUND(Table13[[#This Row],[Min laatste 5]]/Table13[[#This Row],['#minuten]]*100,1)</f>
        <v>22.6</v>
      </c>
      <c r="O153" s="60">
        <v>1</v>
      </c>
      <c r="P153" s="60">
        <v>3</v>
      </c>
      <c r="Q153" s="86">
        <v>4</v>
      </c>
      <c r="R153" s="60">
        <v>1</v>
      </c>
      <c r="S153" s="60">
        <v>3</v>
      </c>
      <c r="T153" s="59">
        <f>ROUND(Table13[[#This Row],['#punten]]/Table13[[#This Row],['#Wed]],2)</f>
        <v>38.4</v>
      </c>
      <c r="U153" s="58">
        <f>ROUND(Table13[[#This Row],['#punten]]/Table13[[#This Row],['#minuten]],2)</f>
        <v>0.45</v>
      </c>
      <c r="V153" s="60">
        <f>Table13[[#This Row],[Pt/minuut]]*90</f>
        <v>40.5</v>
      </c>
      <c r="W153" s="60">
        <f>ROUND(Table13[[#This Row],[Prijs]]/Table13[[#This Row],['#punten]],0)</f>
        <v>2604</v>
      </c>
      <c r="X153" s="61">
        <f>ROUND((Table13[[#This Row],[Goals]]+Table13[[#This Row],[Asissts]])/(Table13[[#This Row],['#minuten]]/90),2)</f>
        <v>0.28000000000000003</v>
      </c>
    </row>
    <row r="154" spans="1:24" x14ac:dyDescent="0.2">
      <c r="A154" s="6" t="s">
        <v>361</v>
      </c>
      <c r="B154" s="62" t="s">
        <v>44</v>
      </c>
      <c r="C154" s="63">
        <v>1500000</v>
      </c>
      <c r="D154" s="60" t="s">
        <v>203</v>
      </c>
      <c r="E154" s="60">
        <v>25</v>
      </c>
      <c r="F154" s="60" t="s">
        <v>167</v>
      </c>
      <c r="G154" s="58">
        <v>630</v>
      </c>
      <c r="H154" s="64">
        <v>78</v>
      </c>
      <c r="I154" s="64">
        <f>ROUND((Table13[[#This Row],[laatste 5 wed.]]/Table13[[#This Row],['#punten]])*100,1)</f>
        <v>12.4</v>
      </c>
      <c r="J154" s="60">
        <v>16</v>
      </c>
      <c r="K154" s="60">
        <v>16</v>
      </c>
      <c r="L154" s="60">
        <v>1425</v>
      </c>
      <c r="M154" s="60">
        <v>450</v>
      </c>
      <c r="N154" s="60">
        <f>ROUND(Table13[[#This Row],[Min laatste 5]]/Table13[[#This Row],['#minuten]]*100,1)</f>
        <v>31.6</v>
      </c>
      <c r="O154" s="60">
        <v>1</v>
      </c>
      <c r="P154" s="60">
        <v>2</v>
      </c>
      <c r="Q154" s="86">
        <v>3</v>
      </c>
      <c r="R154" s="60">
        <v>0</v>
      </c>
      <c r="S154" s="60">
        <v>3</v>
      </c>
      <c r="T154" s="59">
        <f>ROUND(Table13[[#This Row],['#punten]]/Table13[[#This Row],['#Wed]],2)</f>
        <v>39.380000000000003</v>
      </c>
      <c r="U154" s="58">
        <f>ROUND(Table13[[#This Row],['#punten]]/Table13[[#This Row],['#minuten]],2)</f>
        <v>0.44</v>
      </c>
      <c r="V154" s="60">
        <f>Table13[[#This Row],[Pt/minuut]]*90</f>
        <v>39.6</v>
      </c>
      <c r="W154" s="60">
        <f>ROUND(Table13[[#This Row],[Prijs]]/Table13[[#This Row],['#punten]],0)</f>
        <v>2381</v>
      </c>
      <c r="X154" s="61">
        <f>ROUND((Table13[[#This Row],[Goals]]+Table13[[#This Row],[Asissts]])/(Table13[[#This Row],['#minuten]]/90),2)</f>
        <v>0.19</v>
      </c>
    </row>
    <row r="155" spans="1:24" x14ac:dyDescent="0.2">
      <c r="A155" s="6" t="s">
        <v>362</v>
      </c>
      <c r="B155" s="62" t="s">
        <v>44</v>
      </c>
      <c r="C155" s="63">
        <v>1250000</v>
      </c>
      <c r="D155" s="60" t="s">
        <v>203</v>
      </c>
      <c r="E155" s="60">
        <v>27</v>
      </c>
      <c r="F155" s="60" t="s">
        <v>141</v>
      </c>
      <c r="G155" s="58">
        <v>558</v>
      </c>
      <c r="H155" s="64">
        <v>96</v>
      </c>
      <c r="I155" s="64">
        <f>ROUND((Table13[[#This Row],[laatste 5 wed.]]/Table13[[#This Row],['#punten]])*100,1)</f>
        <v>17.2</v>
      </c>
      <c r="J155" s="60">
        <v>14</v>
      </c>
      <c r="K155" s="60">
        <v>13</v>
      </c>
      <c r="L155" s="60">
        <v>1190</v>
      </c>
      <c r="M155" s="60">
        <v>303</v>
      </c>
      <c r="N155" s="60">
        <f>ROUND(Table13[[#This Row],[Min laatste 5]]/Table13[[#This Row],['#minuten]]*100,1)</f>
        <v>25.5</v>
      </c>
      <c r="O155" s="60">
        <v>0</v>
      </c>
      <c r="P155" s="60">
        <v>3</v>
      </c>
      <c r="Q155" s="86">
        <v>2</v>
      </c>
      <c r="R155" s="60">
        <v>0</v>
      </c>
      <c r="S155" s="60">
        <v>3</v>
      </c>
      <c r="T155" s="59">
        <f>ROUND(Table13[[#This Row],['#punten]]/Table13[[#This Row],['#Wed]],2)</f>
        <v>39.86</v>
      </c>
      <c r="U155" s="58">
        <f>ROUND(Table13[[#This Row],['#punten]]/Table13[[#This Row],['#minuten]],2)</f>
        <v>0.47</v>
      </c>
      <c r="V155" s="60">
        <f>Table13[[#This Row],[Pt/minuut]]*90</f>
        <v>42.3</v>
      </c>
      <c r="W155" s="60">
        <f>ROUND(Table13[[#This Row],[Prijs]]/Table13[[#This Row],['#punten]],0)</f>
        <v>2240</v>
      </c>
      <c r="X155" s="61">
        <f>ROUND((Table13[[#This Row],[Goals]]+Table13[[#This Row],[Asissts]])/(Table13[[#This Row],['#minuten]]/90),2)</f>
        <v>0.23</v>
      </c>
    </row>
    <row r="156" spans="1:24" x14ac:dyDescent="0.2">
      <c r="A156" s="6" t="s">
        <v>202</v>
      </c>
      <c r="B156" s="51" t="s">
        <v>45</v>
      </c>
      <c r="C156" s="52">
        <v>4000000</v>
      </c>
      <c r="D156" s="53" t="s">
        <v>203</v>
      </c>
      <c r="E156" s="53">
        <v>22</v>
      </c>
      <c r="F156" s="53" t="s">
        <v>141</v>
      </c>
      <c r="G156" s="54">
        <v>1086</v>
      </c>
      <c r="H156" s="55">
        <v>294</v>
      </c>
      <c r="I156" s="55">
        <f>ROUND((Table13[[#This Row],[laatste 5 wed.]]/Table13[[#This Row],['#punten]])*100,1)</f>
        <v>27.1</v>
      </c>
      <c r="J156" s="53">
        <v>15</v>
      </c>
      <c r="K156" s="53">
        <v>15</v>
      </c>
      <c r="L156" s="53">
        <v>1211</v>
      </c>
      <c r="M156" s="53">
        <v>296</v>
      </c>
      <c r="N156" s="53">
        <f>ROUND(Table13[[#This Row],[Min laatste 5]]/Table13[[#This Row],['#minuten]]*100,1)</f>
        <v>24.4</v>
      </c>
      <c r="O156" s="53">
        <v>0</v>
      </c>
      <c r="P156" s="53">
        <v>4</v>
      </c>
      <c r="Q156" s="85">
        <v>2</v>
      </c>
      <c r="R156" s="53">
        <v>0</v>
      </c>
      <c r="S156" s="53">
        <v>6</v>
      </c>
      <c r="T156" s="56">
        <f>ROUND(Table13[[#This Row],['#punten]]/Table13[[#This Row],['#Wed]],2)</f>
        <v>72.400000000000006</v>
      </c>
      <c r="U156" s="54">
        <f>ROUND(Table13[[#This Row],['#punten]]/Table13[[#This Row],['#minuten]],2)</f>
        <v>0.9</v>
      </c>
      <c r="V156" s="53">
        <f>Table13[[#This Row],[Pt/minuut]]*90</f>
        <v>81</v>
      </c>
      <c r="W156" s="53">
        <f>ROUND(Table13[[#This Row],[Prijs]]/Table13[[#This Row],['#punten]],0)</f>
        <v>3683</v>
      </c>
      <c r="X156" s="57">
        <f>ROUND((Table13[[#This Row],[Goals]]+Table13[[#This Row],[Asissts]])/(Table13[[#This Row],['#minuten]]/90),2)</f>
        <v>0.3</v>
      </c>
    </row>
    <row r="157" spans="1:24" x14ac:dyDescent="0.2">
      <c r="A157" s="6" t="s">
        <v>204</v>
      </c>
      <c r="B157" s="51" t="s">
        <v>45</v>
      </c>
      <c r="C157" s="52">
        <v>4500000</v>
      </c>
      <c r="D157" s="53" t="s">
        <v>203</v>
      </c>
      <c r="E157" s="53">
        <v>23</v>
      </c>
      <c r="F157" s="53" t="s">
        <v>141</v>
      </c>
      <c r="G157" s="54">
        <v>1476</v>
      </c>
      <c r="H157" s="55">
        <v>444</v>
      </c>
      <c r="I157" s="55">
        <f>ROUND((Table13[[#This Row],[laatste 5 wed.]]/Table13[[#This Row],['#punten]])*100,1)</f>
        <v>30.1</v>
      </c>
      <c r="J157" s="53">
        <v>16</v>
      </c>
      <c r="K157" s="53">
        <v>16</v>
      </c>
      <c r="L157" s="53">
        <v>1429</v>
      </c>
      <c r="M157" s="53">
        <v>440</v>
      </c>
      <c r="N157" s="53">
        <f>ROUND(Table13[[#This Row],[Min laatste 5]]/Table13[[#This Row],['#minuten]]*100,1)</f>
        <v>30.8</v>
      </c>
      <c r="O157" s="53">
        <v>4</v>
      </c>
      <c r="P157" s="53">
        <v>2</v>
      </c>
      <c r="Q157" s="85">
        <v>0</v>
      </c>
      <c r="R157" s="53">
        <v>0</v>
      </c>
      <c r="S157" s="53">
        <v>6</v>
      </c>
      <c r="T157" s="56">
        <f>ROUND(Table13[[#This Row],['#punten]]/Table13[[#This Row],['#Wed]],2)</f>
        <v>92.25</v>
      </c>
      <c r="U157" s="54">
        <f>ROUND(Table13[[#This Row],['#punten]]/Table13[[#This Row],['#minuten]],2)</f>
        <v>1.03</v>
      </c>
      <c r="V157" s="53">
        <f>Table13[[#This Row],[Pt/minuut]]*90</f>
        <v>92.7</v>
      </c>
      <c r="W157" s="53">
        <f>ROUND(Table13[[#This Row],[Prijs]]/Table13[[#This Row],['#punten]],0)</f>
        <v>3049</v>
      </c>
      <c r="X157" s="57">
        <f>ROUND((Table13[[#This Row],[Goals]]+Table13[[#This Row],[Asissts]])/(Table13[[#This Row],['#minuten]]/90),2)</f>
        <v>0.38</v>
      </c>
    </row>
    <row r="158" spans="1:24" x14ac:dyDescent="0.2">
      <c r="A158" s="6" t="s">
        <v>21</v>
      </c>
      <c r="B158" s="51" t="s">
        <v>45</v>
      </c>
      <c r="C158" s="52">
        <v>3500000</v>
      </c>
      <c r="D158" s="53" t="s">
        <v>203</v>
      </c>
      <c r="E158" s="53">
        <v>26</v>
      </c>
      <c r="F158" s="53" t="s">
        <v>205</v>
      </c>
      <c r="G158" s="54">
        <v>1068</v>
      </c>
      <c r="H158" s="55">
        <v>348</v>
      </c>
      <c r="I158" s="55">
        <f>ROUND((Table13[[#This Row],[laatste 5 wed.]]/Table13[[#This Row],['#punten]])*100,1)</f>
        <v>32.6</v>
      </c>
      <c r="J158" s="53">
        <v>16</v>
      </c>
      <c r="K158" s="53">
        <v>16</v>
      </c>
      <c r="L158" s="53">
        <v>1440</v>
      </c>
      <c r="M158" s="53">
        <v>450</v>
      </c>
      <c r="N158" s="53">
        <f>ROUND(Table13[[#This Row],[Min laatste 5]]/Table13[[#This Row],['#minuten]]*100,1)</f>
        <v>31.3</v>
      </c>
      <c r="O158" s="53">
        <v>0</v>
      </c>
      <c r="P158" s="53">
        <v>2</v>
      </c>
      <c r="Q158" s="85">
        <v>1</v>
      </c>
      <c r="R158" s="53">
        <v>0</v>
      </c>
      <c r="S158" s="53">
        <v>6</v>
      </c>
      <c r="T158" s="56">
        <f>ROUND(Table13[[#This Row],['#punten]]/Table13[[#This Row],['#Wed]],2)</f>
        <v>66.75</v>
      </c>
      <c r="U158" s="54">
        <f>ROUND(Table13[[#This Row],['#punten]]/Table13[[#This Row],['#minuten]],2)</f>
        <v>0.74</v>
      </c>
      <c r="V158" s="53">
        <f>Table13[[#This Row],[Pt/minuut]]*90</f>
        <v>66.599999999999994</v>
      </c>
      <c r="W158" s="53">
        <f>ROUND(Table13[[#This Row],[Prijs]]/Table13[[#This Row],['#punten]],0)</f>
        <v>3277</v>
      </c>
      <c r="X158" s="57">
        <f>ROUND((Table13[[#This Row],[Goals]]+Table13[[#This Row],[Asissts]])/(Table13[[#This Row],['#minuten]]/90),2)</f>
        <v>0.13</v>
      </c>
    </row>
    <row r="159" spans="1:24" x14ac:dyDescent="0.2">
      <c r="A159" s="6" t="s">
        <v>207</v>
      </c>
      <c r="B159" s="62" t="s">
        <v>45</v>
      </c>
      <c r="C159" s="63">
        <v>3000000</v>
      </c>
      <c r="D159" s="60" t="s">
        <v>203</v>
      </c>
      <c r="E159" s="60">
        <v>31</v>
      </c>
      <c r="F159" s="60" t="s">
        <v>182</v>
      </c>
      <c r="G159" s="58">
        <v>654</v>
      </c>
      <c r="H159" s="64">
        <v>270</v>
      </c>
      <c r="I159" s="64">
        <f>ROUND((Table13[[#This Row],[laatste 5 wed.]]/Table13[[#This Row],['#punten]])*100,1)</f>
        <v>41.3</v>
      </c>
      <c r="J159" s="60">
        <v>10</v>
      </c>
      <c r="K159" s="60">
        <v>9</v>
      </c>
      <c r="L159" s="60">
        <v>773</v>
      </c>
      <c r="M159" s="60">
        <v>321</v>
      </c>
      <c r="N159" s="60">
        <f>ROUND(Table13[[#This Row],[Min laatste 5]]/Table13[[#This Row],['#minuten]]*100,1)</f>
        <v>41.5</v>
      </c>
      <c r="O159" s="60">
        <v>0</v>
      </c>
      <c r="P159" s="60">
        <v>1</v>
      </c>
      <c r="Q159" s="86">
        <v>0</v>
      </c>
      <c r="R159" s="60">
        <v>0</v>
      </c>
      <c r="S159" s="60">
        <v>3</v>
      </c>
      <c r="T159" s="59">
        <f>ROUND(Table13[[#This Row],['#punten]]/Table13[[#This Row],['#Wed]],2)</f>
        <v>65.400000000000006</v>
      </c>
      <c r="U159" s="58">
        <f>ROUND(Table13[[#This Row],['#punten]]/Table13[[#This Row],['#minuten]],2)</f>
        <v>0.85</v>
      </c>
      <c r="V159" s="60">
        <f>Table13[[#This Row],[Pt/minuut]]*90</f>
        <v>76.5</v>
      </c>
      <c r="W159" s="60">
        <f>ROUND(Table13[[#This Row],[Prijs]]/Table13[[#This Row],['#punten]],0)</f>
        <v>4587</v>
      </c>
      <c r="X159" s="61">
        <f>ROUND((Table13[[#This Row],[Goals]]+Table13[[#This Row],[Asissts]])/(Table13[[#This Row],['#minuten]]/90),2)</f>
        <v>0.12</v>
      </c>
    </row>
    <row r="160" spans="1:24" x14ac:dyDescent="0.2">
      <c r="A160" s="6" t="s">
        <v>505</v>
      </c>
      <c r="B160" s="51" t="s">
        <v>46</v>
      </c>
      <c r="C160" s="52">
        <v>500000</v>
      </c>
      <c r="D160" s="53" t="s">
        <v>203</v>
      </c>
      <c r="E160" s="53">
        <v>20</v>
      </c>
      <c r="F160" s="53" t="s">
        <v>516</v>
      </c>
      <c r="G160" s="54">
        <v>144</v>
      </c>
      <c r="H160" s="55">
        <v>144</v>
      </c>
      <c r="I160" s="55">
        <f>ROUND((Table13[[#This Row],[laatste 5 wed.]]/Table13[[#This Row],['#punten]])*100,1)</f>
        <v>100</v>
      </c>
      <c r="J160" s="53">
        <v>5</v>
      </c>
      <c r="K160" s="53">
        <v>3</v>
      </c>
      <c r="L160" s="53">
        <v>271</v>
      </c>
      <c r="M160" s="53">
        <v>262</v>
      </c>
      <c r="N160" s="53">
        <f>ROUND(Table13[[#This Row],[Min laatste 5]]/Table13[[#This Row],['#minuten]]*100,1)</f>
        <v>96.7</v>
      </c>
      <c r="O160" s="53">
        <v>0</v>
      </c>
      <c r="P160" s="53">
        <v>0</v>
      </c>
      <c r="Q160" s="85">
        <v>0</v>
      </c>
      <c r="R160" s="53">
        <v>0</v>
      </c>
      <c r="S160" s="53">
        <v>1</v>
      </c>
      <c r="T160" s="56">
        <f>ROUND(Table13[[#This Row],['#punten]]/Table13[[#This Row],['#Wed]],2)</f>
        <v>28.8</v>
      </c>
      <c r="U160" s="54">
        <f>ROUND(Table13[[#This Row],['#punten]]/Table13[[#This Row],['#minuten]],2)</f>
        <v>0.53</v>
      </c>
      <c r="V160" s="53">
        <f>Table13[[#This Row],[Pt/minuut]]*90</f>
        <v>47.7</v>
      </c>
      <c r="W160" s="53">
        <f>ROUND(Table13[[#This Row],[Prijs]]/Table13[[#This Row],['#punten]],0)</f>
        <v>3472</v>
      </c>
      <c r="X160" s="57">
        <f>ROUND((Table13[[#This Row],[Goals]]+Table13[[#This Row],[Asissts]])/(Table13[[#This Row],['#minuten]]/90),2)</f>
        <v>0</v>
      </c>
    </row>
    <row r="161" spans="1:24" x14ac:dyDescent="0.2">
      <c r="A161" s="6" t="s">
        <v>127</v>
      </c>
      <c r="B161" s="62" t="s">
        <v>46</v>
      </c>
      <c r="C161" s="63">
        <v>1500000</v>
      </c>
      <c r="D161" s="60" t="s">
        <v>203</v>
      </c>
      <c r="E161" s="60">
        <v>23</v>
      </c>
      <c r="F161" s="60" t="s">
        <v>196</v>
      </c>
      <c r="G161" s="58">
        <v>540</v>
      </c>
      <c r="H161" s="64">
        <v>204</v>
      </c>
      <c r="I161" s="64">
        <f>ROUND((Table13[[#This Row],[laatste 5 wed.]]/Table13[[#This Row],['#punten]])*100,1)</f>
        <v>37.799999999999997</v>
      </c>
      <c r="J161" s="60">
        <v>15</v>
      </c>
      <c r="K161" s="60">
        <v>15</v>
      </c>
      <c r="L161" s="60">
        <v>1341</v>
      </c>
      <c r="M161" s="60">
        <v>360</v>
      </c>
      <c r="N161" s="60">
        <f>ROUND(Table13[[#This Row],[Min laatste 5]]/Table13[[#This Row],['#minuten]]*100,1)</f>
        <v>26.8</v>
      </c>
      <c r="O161" s="60">
        <v>1</v>
      </c>
      <c r="P161" s="60">
        <v>0</v>
      </c>
      <c r="Q161" s="86">
        <v>6</v>
      </c>
      <c r="R161" s="60">
        <v>0</v>
      </c>
      <c r="S161" s="60">
        <v>4</v>
      </c>
      <c r="T161" s="59">
        <f>ROUND(Table13[[#This Row],['#punten]]/Table13[[#This Row],['#Wed]],2)</f>
        <v>36</v>
      </c>
      <c r="U161" s="58">
        <f>ROUND(Table13[[#This Row],['#punten]]/Table13[[#This Row],['#minuten]],2)</f>
        <v>0.4</v>
      </c>
      <c r="V161" s="60">
        <f>Table13[[#This Row],[Pt/minuut]]*90</f>
        <v>36</v>
      </c>
      <c r="W161" s="60">
        <f>ROUND(Table13[[#This Row],[Prijs]]/Table13[[#This Row],['#punten]],0)</f>
        <v>2778</v>
      </c>
      <c r="X161" s="61">
        <f>ROUND((Table13[[#This Row],[Goals]]+Table13[[#This Row],[Asissts]])/(Table13[[#This Row],['#minuten]]/90),2)</f>
        <v>7.0000000000000007E-2</v>
      </c>
    </row>
    <row r="162" spans="1:24" x14ac:dyDescent="0.2">
      <c r="A162" s="6" t="s">
        <v>363</v>
      </c>
      <c r="B162" s="51" t="s">
        <v>46</v>
      </c>
      <c r="C162" s="52">
        <v>1500000</v>
      </c>
      <c r="D162" s="53" t="s">
        <v>203</v>
      </c>
      <c r="E162" s="53">
        <v>30</v>
      </c>
      <c r="F162" s="53" t="s">
        <v>141</v>
      </c>
      <c r="G162" s="54">
        <v>348</v>
      </c>
      <c r="H162" s="55">
        <v>246</v>
      </c>
      <c r="I162" s="55">
        <f>ROUND((Table13[[#This Row],[laatste 5 wed.]]/Table13[[#This Row],['#punten]])*100,1)</f>
        <v>70.7</v>
      </c>
      <c r="J162" s="53">
        <v>13</v>
      </c>
      <c r="K162" s="53">
        <v>10</v>
      </c>
      <c r="L162" s="53">
        <v>845</v>
      </c>
      <c r="M162" s="53">
        <v>315</v>
      </c>
      <c r="N162" s="53">
        <f>ROUND(Table13[[#This Row],[Min laatste 5]]/Table13[[#This Row],['#minuten]]*100,1)</f>
        <v>37.299999999999997</v>
      </c>
      <c r="O162" s="53">
        <v>0</v>
      </c>
      <c r="P162" s="53">
        <v>1</v>
      </c>
      <c r="Q162" s="85">
        <v>4</v>
      </c>
      <c r="R162" s="53">
        <v>0</v>
      </c>
      <c r="S162" s="53">
        <v>2</v>
      </c>
      <c r="T162" s="56">
        <f>ROUND(Table13[[#This Row],['#punten]]/Table13[[#This Row],['#Wed]],2)</f>
        <v>26.77</v>
      </c>
      <c r="U162" s="54">
        <f>ROUND(Table13[[#This Row],['#punten]]/Table13[[#This Row],['#minuten]],2)</f>
        <v>0.41</v>
      </c>
      <c r="V162" s="53">
        <f>Table13[[#This Row],[Pt/minuut]]*90</f>
        <v>36.9</v>
      </c>
      <c r="W162" s="53">
        <f>ROUND(Table13[[#This Row],[Prijs]]/Table13[[#This Row],['#punten]],0)</f>
        <v>4310</v>
      </c>
      <c r="X162" s="57">
        <f>ROUND((Table13[[#This Row],[Goals]]+Table13[[#This Row],[Asissts]])/(Table13[[#This Row],['#minuten]]/90),2)</f>
        <v>0.11</v>
      </c>
    </row>
    <row r="163" spans="1:24" x14ac:dyDescent="0.2">
      <c r="A163" s="6" t="s">
        <v>209</v>
      </c>
      <c r="B163" s="62" t="s">
        <v>46</v>
      </c>
      <c r="C163" s="63">
        <v>2000000</v>
      </c>
      <c r="D163" s="60" t="s">
        <v>203</v>
      </c>
      <c r="E163" s="60">
        <v>33</v>
      </c>
      <c r="F163" s="60" t="s">
        <v>143</v>
      </c>
      <c r="G163" s="58">
        <v>738</v>
      </c>
      <c r="H163" s="64">
        <v>282</v>
      </c>
      <c r="I163" s="64">
        <f>ROUND((Table13[[#This Row],[laatste 5 wed.]]/Table13[[#This Row],['#punten]])*100,1)</f>
        <v>38.200000000000003</v>
      </c>
      <c r="J163" s="60">
        <v>16</v>
      </c>
      <c r="K163" s="60">
        <v>16</v>
      </c>
      <c r="L163" s="60">
        <v>1418</v>
      </c>
      <c r="M163" s="60">
        <v>443</v>
      </c>
      <c r="N163" s="60">
        <f>ROUND(Table13[[#This Row],[Min laatste 5]]/Table13[[#This Row],['#minuten]]*100,1)</f>
        <v>31.2</v>
      </c>
      <c r="O163" s="60">
        <v>0</v>
      </c>
      <c r="P163" s="60">
        <v>3</v>
      </c>
      <c r="Q163" s="86">
        <v>2</v>
      </c>
      <c r="R163" s="60">
        <v>0</v>
      </c>
      <c r="S163" s="60">
        <v>4</v>
      </c>
      <c r="T163" s="59">
        <f>ROUND(Table13[[#This Row],['#punten]]/Table13[[#This Row],['#Wed]],2)</f>
        <v>46.13</v>
      </c>
      <c r="U163" s="58">
        <f>ROUND(Table13[[#This Row],['#punten]]/Table13[[#This Row],['#minuten]],2)</f>
        <v>0.52</v>
      </c>
      <c r="V163" s="60">
        <f>Table13[[#This Row],[Pt/minuut]]*90</f>
        <v>46.800000000000004</v>
      </c>
      <c r="W163" s="60">
        <f>ROUND(Table13[[#This Row],[Prijs]]/Table13[[#This Row],['#punten]],0)</f>
        <v>2710</v>
      </c>
      <c r="X163" s="61">
        <f>ROUND((Table13[[#This Row],[Goals]]+Table13[[#This Row],[Asissts]])/(Table13[[#This Row],['#minuten]]/90),2)</f>
        <v>0.19</v>
      </c>
    </row>
    <row r="164" spans="1:24" x14ac:dyDescent="0.2">
      <c r="A164" s="6" t="s">
        <v>211</v>
      </c>
      <c r="B164" s="51" t="s">
        <v>46</v>
      </c>
      <c r="C164" s="52">
        <v>1500000</v>
      </c>
      <c r="D164" s="53" t="s">
        <v>203</v>
      </c>
      <c r="E164" s="53">
        <v>35</v>
      </c>
      <c r="F164" s="53" t="s">
        <v>169</v>
      </c>
      <c r="G164" s="54">
        <v>394</v>
      </c>
      <c r="H164" s="55">
        <v>66</v>
      </c>
      <c r="I164" s="55">
        <f>ROUND((Table13[[#This Row],[laatste 5 wed.]]/Table13[[#This Row],['#punten]])*100,1)</f>
        <v>16.8</v>
      </c>
      <c r="J164" s="53">
        <v>13</v>
      </c>
      <c r="K164" s="53">
        <v>13</v>
      </c>
      <c r="L164" s="53">
        <v>1158</v>
      </c>
      <c r="M164" s="53">
        <v>167</v>
      </c>
      <c r="N164" s="53">
        <f>ROUND(Table13[[#This Row],[Min laatste 5]]/Table13[[#This Row],['#minuten]]*100,1)</f>
        <v>14.4</v>
      </c>
      <c r="O164" s="53">
        <v>0</v>
      </c>
      <c r="P164" s="53">
        <v>0</v>
      </c>
      <c r="Q164" s="85">
        <v>3</v>
      </c>
      <c r="R164" s="53">
        <v>0</v>
      </c>
      <c r="S164" s="53">
        <v>3</v>
      </c>
      <c r="T164" s="56">
        <f>ROUND(Table13[[#This Row],['#punten]]/Table13[[#This Row],['#Wed]],2)</f>
        <v>30.31</v>
      </c>
      <c r="U164" s="54">
        <f>ROUND(Table13[[#This Row],['#punten]]/Table13[[#This Row],['#minuten]],2)</f>
        <v>0.34</v>
      </c>
      <c r="V164" s="53">
        <f>Table13[[#This Row],[Pt/minuut]]*90</f>
        <v>30.6</v>
      </c>
      <c r="W164" s="53">
        <f>ROUND(Table13[[#This Row],[Prijs]]/Table13[[#This Row],['#punten]],0)</f>
        <v>3807</v>
      </c>
      <c r="X164" s="57">
        <f>ROUND((Table13[[#This Row],[Goals]]+Table13[[#This Row],[Asissts]])/(Table13[[#This Row],['#minuten]]/90),2)</f>
        <v>0</v>
      </c>
    </row>
    <row r="165" spans="1:24" x14ac:dyDescent="0.2">
      <c r="A165" s="6" t="s">
        <v>222</v>
      </c>
      <c r="B165" s="51" t="s">
        <v>39</v>
      </c>
      <c r="C165" s="52">
        <v>1250000</v>
      </c>
      <c r="D165" s="53" t="s">
        <v>203</v>
      </c>
      <c r="E165" s="53">
        <v>25</v>
      </c>
      <c r="F165" s="53" t="s">
        <v>141</v>
      </c>
      <c r="G165" s="54">
        <v>570</v>
      </c>
      <c r="H165" s="55">
        <v>306</v>
      </c>
      <c r="I165" s="55">
        <f>ROUND((Table13[[#This Row],[laatste 5 wed.]]/Table13[[#This Row],['#punten]])*100,1)</f>
        <v>53.7</v>
      </c>
      <c r="J165" s="53">
        <v>15</v>
      </c>
      <c r="K165" s="53">
        <v>14</v>
      </c>
      <c r="L165" s="53">
        <v>1126</v>
      </c>
      <c r="M165" s="53">
        <v>405</v>
      </c>
      <c r="N165" s="53">
        <f>ROUND(Table13[[#This Row],[Min laatste 5]]/Table13[[#This Row],['#minuten]]*100,1)</f>
        <v>36</v>
      </c>
      <c r="O165" s="53">
        <v>1</v>
      </c>
      <c r="P165" s="53">
        <v>0</v>
      </c>
      <c r="Q165" s="85">
        <v>3</v>
      </c>
      <c r="R165" s="53">
        <v>1</v>
      </c>
      <c r="S165" s="53">
        <v>3</v>
      </c>
      <c r="T165" s="56">
        <f>ROUND(Table13[[#This Row],['#punten]]/Table13[[#This Row],['#Wed]],2)</f>
        <v>38</v>
      </c>
      <c r="U165" s="54">
        <f>ROUND(Table13[[#This Row],['#punten]]/Table13[[#This Row],['#minuten]],2)</f>
        <v>0.51</v>
      </c>
      <c r="V165" s="53">
        <f>Table13[[#This Row],[Pt/minuut]]*90</f>
        <v>45.9</v>
      </c>
      <c r="W165" s="53">
        <f>ROUND(Table13[[#This Row],[Prijs]]/Table13[[#This Row],['#punten]],0)</f>
        <v>2193</v>
      </c>
      <c r="X165" s="57">
        <f>ROUND((Table13[[#This Row],[Goals]]+Table13[[#This Row],[Asissts]])/(Table13[[#This Row],['#minuten]]/90),2)</f>
        <v>0.08</v>
      </c>
    </row>
    <row r="166" spans="1:24" x14ac:dyDescent="0.2">
      <c r="A166" s="6" t="s">
        <v>220</v>
      </c>
      <c r="B166" s="62" t="s">
        <v>39</v>
      </c>
      <c r="C166" s="63">
        <v>1750000</v>
      </c>
      <c r="D166" s="60" t="s">
        <v>203</v>
      </c>
      <c r="E166" s="60">
        <v>26</v>
      </c>
      <c r="F166" s="60" t="s">
        <v>141</v>
      </c>
      <c r="G166" s="58">
        <v>834</v>
      </c>
      <c r="H166" s="64">
        <v>210</v>
      </c>
      <c r="I166" s="64">
        <f>ROUND((Table13[[#This Row],[laatste 5 wed.]]/Table13[[#This Row],['#punten]])*100,1)</f>
        <v>25.2</v>
      </c>
      <c r="J166" s="60">
        <v>16</v>
      </c>
      <c r="K166" s="60">
        <v>16</v>
      </c>
      <c r="L166" s="60">
        <v>1440</v>
      </c>
      <c r="M166" s="60">
        <v>450</v>
      </c>
      <c r="N166" s="60">
        <f>ROUND(Table13[[#This Row],[Min laatste 5]]/Table13[[#This Row],['#minuten]]*100,1)</f>
        <v>31.3</v>
      </c>
      <c r="O166" s="60">
        <v>0</v>
      </c>
      <c r="P166" s="60">
        <v>2</v>
      </c>
      <c r="Q166" s="86">
        <v>2</v>
      </c>
      <c r="R166" s="60">
        <v>0</v>
      </c>
      <c r="S166" s="60">
        <v>5</v>
      </c>
      <c r="T166" s="59">
        <f>ROUND(Table13[[#This Row],['#punten]]/Table13[[#This Row],['#Wed]],2)</f>
        <v>52.13</v>
      </c>
      <c r="U166" s="58">
        <f>ROUND(Table13[[#This Row],['#punten]]/Table13[[#This Row],['#minuten]],2)</f>
        <v>0.57999999999999996</v>
      </c>
      <c r="V166" s="60">
        <f>Table13[[#This Row],[Pt/minuut]]*90</f>
        <v>52.199999999999996</v>
      </c>
      <c r="W166" s="60">
        <f>ROUND(Table13[[#This Row],[Prijs]]/Table13[[#This Row],['#punten]],0)</f>
        <v>2098</v>
      </c>
      <c r="X166" s="61">
        <f>ROUND((Table13[[#This Row],[Goals]]+Table13[[#This Row],[Asissts]])/(Table13[[#This Row],['#minuten]]/90),2)</f>
        <v>0.13</v>
      </c>
    </row>
    <row r="167" spans="1:24" x14ac:dyDescent="0.2">
      <c r="A167" s="6" t="s">
        <v>517</v>
      </c>
      <c r="B167" s="62" t="s">
        <v>39</v>
      </c>
      <c r="C167" s="63">
        <v>1250000</v>
      </c>
      <c r="D167" s="60" t="s">
        <v>203</v>
      </c>
      <c r="E167" s="60">
        <v>27</v>
      </c>
      <c r="F167" s="60" t="s">
        <v>141</v>
      </c>
      <c r="G167" s="58">
        <v>732</v>
      </c>
      <c r="H167" s="64">
        <v>210</v>
      </c>
      <c r="I167" s="64">
        <f>ROUND((Table13[[#This Row],[laatste 5 wed.]]/Table13[[#This Row],['#punten]])*100,1)</f>
        <v>28.7</v>
      </c>
      <c r="J167" s="60">
        <v>13</v>
      </c>
      <c r="K167" s="60">
        <v>12</v>
      </c>
      <c r="L167" s="60">
        <v>1079</v>
      </c>
      <c r="M167" s="60">
        <v>405</v>
      </c>
      <c r="N167" s="60">
        <f>ROUND(Table13[[#This Row],[Min laatste 5]]/Table13[[#This Row],['#minuten]]*100,1)</f>
        <v>37.5</v>
      </c>
      <c r="O167" s="60">
        <v>1</v>
      </c>
      <c r="P167" s="60">
        <v>0</v>
      </c>
      <c r="Q167" s="86">
        <v>1</v>
      </c>
      <c r="R167" s="60">
        <v>0</v>
      </c>
      <c r="S167" s="60">
        <v>4</v>
      </c>
      <c r="T167" s="59">
        <f>ROUND(Table13[[#This Row],['#punten]]/Table13[[#This Row],['#Wed]],2)</f>
        <v>56.31</v>
      </c>
      <c r="U167" s="58">
        <f>ROUND(Table13[[#This Row],['#punten]]/Table13[[#This Row],['#minuten]],2)</f>
        <v>0.68</v>
      </c>
      <c r="V167" s="60">
        <f>Table13[[#This Row],[Pt/minuut]]*90</f>
        <v>61.2</v>
      </c>
      <c r="W167" s="60">
        <f>ROUND(Table13[[#This Row],[Prijs]]/Table13[[#This Row],['#punten]],0)</f>
        <v>1708</v>
      </c>
      <c r="X167" s="61">
        <f>ROUND((Table13[[#This Row],[Goals]]+Table13[[#This Row],[Asissts]])/(Table13[[#This Row],['#minuten]]/90),2)</f>
        <v>0.08</v>
      </c>
    </row>
    <row r="168" spans="1:24" x14ac:dyDescent="0.2">
      <c r="A168" s="6" t="s">
        <v>221</v>
      </c>
      <c r="B168" s="51" t="s">
        <v>39</v>
      </c>
      <c r="C168" s="52">
        <v>2500000</v>
      </c>
      <c r="D168" s="53" t="s">
        <v>203</v>
      </c>
      <c r="E168" s="53">
        <v>29</v>
      </c>
      <c r="F168" s="53" t="s">
        <v>141</v>
      </c>
      <c r="G168" s="54">
        <v>1098</v>
      </c>
      <c r="H168" s="55">
        <v>186</v>
      </c>
      <c r="I168" s="55">
        <f>ROUND((Table13[[#This Row],[laatste 5 wed.]]/Table13[[#This Row],['#punten]])*100,1)</f>
        <v>16.899999999999999</v>
      </c>
      <c r="J168" s="53">
        <v>16</v>
      </c>
      <c r="K168" s="53">
        <v>16</v>
      </c>
      <c r="L168" s="53">
        <v>1440</v>
      </c>
      <c r="M168" s="53">
        <v>450</v>
      </c>
      <c r="N168" s="53">
        <f>ROUND(Table13[[#This Row],[Min laatste 5]]/Table13[[#This Row],['#minuten]]*100,1)</f>
        <v>31.3</v>
      </c>
      <c r="O168" s="53">
        <v>3</v>
      </c>
      <c r="P168" s="53">
        <v>2</v>
      </c>
      <c r="Q168" s="85">
        <v>3</v>
      </c>
      <c r="R168" s="53">
        <v>0</v>
      </c>
      <c r="S168" s="53">
        <v>5</v>
      </c>
      <c r="T168" s="56">
        <f>ROUND(Table13[[#This Row],['#punten]]/Table13[[#This Row],['#Wed]],2)</f>
        <v>68.63</v>
      </c>
      <c r="U168" s="54">
        <f>ROUND(Table13[[#This Row],['#punten]]/Table13[[#This Row],['#minuten]],2)</f>
        <v>0.76</v>
      </c>
      <c r="V168" s="53">
        <f>Table13[[#This Row],[Pt/minuut]]*90</f>
        <v>68.400000000000006</v>
      </c>
      <c r="W168" s="53">
        <f>ROUND(Table13[[#This Row],[Prijs]]/Table13[[#This Row],['#punten]],0)</f>
        <v>2277</v>
      </c>
      <c r="X168" s="57">
        <f>ROUND((Table13[[#This Row],[Goals]]+Table13[[#This Row],[Asissts]])/(Table13[[#This Row],['#minuten]]/90),2)</f>
        <v>0.31</v>
      </c>
    </row>
    <row r="169" spans="1:24" x14ac:dyDescent="0.2">
      <c r="A169" s="6" t="s">
        <v>228</v>
      </c>
      <c r="B169" s="51" t="s">
        <v>48</v>
      </c>
      <c r="C169" s="52">
        <v>1250000</v>
      </c>
      <c r="D169" s="53" t="s">
        <v>203</v>
      </c>
      <c r="E169" s="53">
        <v>21</v>
      </c>
      <c r="F169" s="53" t="s">
        <v>141</v>
      </c>
      <c r="G169" s="54">
        <v>408</v>
      </c>
      <c r="H169" s="55">
        <v>228</v>
      </c>
      <c r="I169" s="55">
        <f>ROUND((Table13[[#This Row],[laatste 5 wed.]]/Table13[[#This Row],['#punten]])*100,1)</f>
        <v>55.9</v>
      </c>
      <c r="J169" s="53">
        <v>13</v>
      </c>
      <c r="K169" s="53">
        <v>10</v>
      </c>
      <c r="L169" s="53">
        <v>909</v>
      </c>
      <c r="M169" s="53">
        <v>371</v>
      </c>
      <c r="N169" s="53">
        <f>ROUND(Table13[[#This Row],[Min laatste 5]]/Table13[[#This Row],['#minuten]]*100,1)</f>
        <v>40.799999999999997</v>
      </c>
      <c r="O169" s="53">
        <v>0</v>
      </c>
      <c r="P169" s="53">
        <v>1</v>
      </c>
      <c r="Q169" s="85">
        <v>1</v>
      </c>
      <c r="R169" s="53">
        <v>0</v>
      </c>
      <c r="S169" s="53">
        <v>3</v>
      </c>
      <c r="T169" s="59">
        <f>ROUND(Table13[[#This Row],['#punten]]/Table13[[#This Row],['#Wed]],2)</f>
        <v>31.38</v>
      </c>
      <c r="U169" s="58">
        <f>ROUND(Table13[[#This Row],['#punten]]/Table13[[#This Row],['#minuten]],2)</f>
        <v>0.45</v>
      </c>
      <c r="V169" s="60">
        <f>Table13[[#This Row],[Pt/minuut]]*90</f>
        <v>40.5</v>
      </c>
      <c r="W169" s="60">
        <f>ROUND(Table13[[#This Row],[Prijs]]/Table13[[#This Row],['#punten]],0)</f>
        <v>3064</v>
      </c>
      <c r="X169" s="61">
        <f>ROUND((Table13[[#This Row],[Goals]]+Table13[[#This Row],[Asissts]])/(Table13[[#This Row],['#minuten]]/90),2)</f>
        <v>0.1</v>
      </c>
    </row>
    <row r="170" spans="1:24" x14ac:dyDescent="0.2">
      <c r="A170" s="6" t="s">
        <v>227</v>
      </c>
      <c r="B170" s="51" t="s">
        <v>48</v>
      </c>
      <c r="C170" s="52">
        <v>2000000</v>
      </c>
      <c r="D170" s="53" t="s">
        <v>203</v>
      </c>
      <c r="E170" s="53">
        <v>25</v>
      </c>
      <c r="F170" s="53" t="s">
        <v>200</v>
      </c>
      <c r="G170" s="54">
        <v>642</v>
      </c>
      <c r="H170" s="55">
        <v>330</v>
      </c>
      <c r="I170" s="55">
        <f>ROUND((Table13[[#This Row],[laatste 5 wed.]]/Table13[[#This Row],['#punten]])*100,1)</f>
        <v>51.4</v>
      </c>
      <c r="J170" s="53">
        <v>16</v>
      </c>
      <c r="K170" s="53">
        <v>16</v>
      </c>
      <c r="L170" s="53">
        <v>1440</v>
      </c>
      <c r="M170" s="53">
        <v>450</v>
      </c>
      <c r="N170" s="53">
        <f>ROUND(Table13[[#This Row],[Min laatste 5]]/Table13[[#This Row],['#minuten]]*100,1)</f>
        <v>31.3</v>
      </c>
      <c r="O170" s="53">
        <v>0</v>
      </c>
      <c r="P170" s="53">
        <v>2</v>
      </c>
      <c r="Q170" s="85">
        <v>3</v>
      </c>
      <c r="R170" s="53">
        <v>0</v>
      </c>
      <c r="S170" s="53">
        <v>4</v>
      </c>
      <c r="T170" s="56">
        <f>ROUND(Table13[[#This Row],['#punten]]/Table13[[#This Row],['#Wed]],2)</f>
        <v>40.130000000000003</v>
      </c>
      <c r="U170" s="54">
        <f>ROUND(Table13[[#This Row],['#punten]]/Table13[[#This Row],['#minuten]],2)</f>
        <v>0.45</v>
      </c>
      <c r="V170" s="53">
        <f>Table13[[#This Row],[Pt/minuut]]*90</f>
        <v>40.5</v>
      </c>
      <c r="W170" s="53">
        <f>ROUND(Table13[[#This Row],[Prijs]]/Table13[[#This Row],['#punten]],0)</f>
        <v>3115</v>
      </c>
      <c r="X170" s="57">
        <f>ROUND((Table13[[#This Row],[Goals]]+Table13[[#This Row],[Asissts]])/(Table13[[#This Row],['#minuten]]/90),2)</f>
        <v>0.13</v>
      </c>
    </row>
    <row r="171" spans="1:24" x14ac:dyDescent="0.2">
      <c r="A171" s="6" t="s">
        <v>225</v>
      </c>
      <c r="B171" s="21" t="s">
        <v>48</v>
      </c>
      <c r="C171" s="22">
        <v>1750000</v>
      </c>
      <c r="D171" s="23" t="s">
        <v>203</v>
      </c>
      <c r="E171" s="23">
        <v>27</v>
      </c>
      <c r="F171" s="23" t="s">
        <v>226</v>
      </c>
      <c r="G171" s="24">
        <v>654</v>
      </c>
      <c r="H171" s="25">
        <v>102</v>
      </c>
      <c r="I171" s="25">
        <f>ROUND((Table13[[#This Row],[laatste 5 wed.]]/Table13[[#This Row],['#punten]])*100,1)</f>
        <v>15.6</v>
      </c>
      <c r="J171" s="23">
        <v>12</v>
      </c>
      <c r="K171" s="23">
        <v>10</v>
      </c>
      <c r="L171" s="23">
        <v>915</v>
      </c>
      <c r="M171" s="23">
        <v>94</v>
      </c>
      <c r="N171" s="23">
        <f>ROUND(Table13[[#This Row],[Min laatste 5]]/Table13[[#This Row],['#minuten]]*100,1)</f>
        <v>10.3</v>
      </c>
      <c r="O171" s="23">
        <v>2</v>
      </c>
      <c r="P171" s="23">
        <v>1</v>
      </c>
      <c r="Q171" s="45">
        <v>0</v>
      </c>
      <c r="R171" s="23">
        <v>0</v>
      </c>
      <c r="S171" s="23">
        <v>2</v>
      </c>
      <c r="T171" s="26">
        <f>ROUND(Table13[[#This Row],['#punten]]/Table13[[#This Row],['#Wed]],2)</f>
        <v>54.5</v>
      </c>
      <c r="U171" s="24">
        <f>ROUND(Table13[[#This Row],['#punten]]/Table13[[#This Row],['#minuten]],2)</f>
        <v>0.71</v>
      </c>
      <c r="V171" s="23">
        <f>Table13[[#This Row],[Pt/minuut]]*90</f>
        <v>63.9</v>
      </c>
      <c r="W171" s="23">
        <f>ROUND(Table13[[#This Row],[Prijs]]/Table13[[#This Row],['#punten]],0)</f>
        <v>2676</v>
      </c>
      <c r="X171" s="27">
        <f>ROUND((Table13[[#This Row],[Goals]]+Table13[[#This Row],[Asissts]])/(Table13[[#This Row],['#minuten]]/90),2)</f>
        <v>0.3</v>
      </c>
    </row>
    <row r="172" spans="1:24" x14ac:dyDescent="0.2">
      <c r="A172" s="6" t="s">
        <v>519</v>
      </c>
      <c r="B172" s="28" t="s">
        <v>48</v>
      </c>
      <c r="C172" s="29">
        <v>1750000</v>
      </c>
      <c r="D172" s="30" t="s">
        <v>203</v>
      </c>
      <c r="E172" s="30">
        <v>29</v>
      </c>
      <c r="F172" s="30" t="s">
        <v>141</v>
      </c>
      <c r="G172" s="31">
        <v>510</v>
      </c>
      <c r="H172" s="32">
        <v>378</v>
      </c>
      <c r="I172" s="32">
        <f>ROUND((Table13[[#This Row],[laatste 5 wed.]]/Table13[[#This Row],['#punten]])*100,1)</f>
        <v>74.099999999999994</v>
      </c>
      <c r="J172" s="30">
        <v>12</v>
      </c>
      <c r="K172" s="30">
        <v>12</v>
      </c>
      <c r="L172" s="30">
        <v>999</v>
      </c>
      <c r="M172" s="30">
        <v>450</v>
      </c>
      <c r="N172" s="30">
        <f>ROUND(Table13[[#This Row],[Min laatste 5]]/Table13[[#This Row],['#minuten]]*100,1)</f>
        <v>45</v>
      </c>
      <c r="O172" s="30">
        <v>1</v>
      </c>
      <c r="P172" s="30">
        <v>0</v>
      </c>
      <c r="Q172" s="48">
        <v>1</v>
      </c>
      <c r="R172" s="30">
        <v>0</v>
      </c>
      <c r="S172" s="30">
        <v>3</v>
      </c>
      <c r="T172" s="33">
        <f>ROUND(Table13[[#This Row],['#punten]]/Table13[[#This Row],['#Wed]],2)</f>
        <v>42.5</v>
      </c>
      <c r="U172" s="31">
        <f>ROUND(Table13[[#This Row],['#punten]]/Table13[[#This Row],['#minuten]],2)</f>
        <v>0.51</v>
      </c>
      <c r="V172" s="30">
        <f>Table13[[#This Row],[Pt/minuut]]*90</f>
        <v>45.9</v>
      </c>
      <c r="W172" s="30">
        <f>ROUND(Table13[[#This Row],[Prijs]]/Table13[[#This Row],['#punten]],0)</f>
        <v>3431</v>
      </c>
      <c r="X172" s="34">
        <f>ROUND((Table13[[#This Row],[Goals]]+Table13[[#This Row],[Asissts]])/(Table13[[#This Row],['#minuten]]/90),2)</f>
        <v>0.09</v>
      </c>
    </row>
    <row r="173" spans="1:24" x14ac:dyDescent="0.2">
      <c r="A173" s="6" t="s">
        <v>247</v>
      </c>
      <c r="B173" s="28" t="s">
        <v>239</v>
      </c>
      <c r="C173" s="29">
        <v>1250000</v>
      </c>
      <c r="D173" s="30" t="s">
        <v>203</v>
      </c>
      <c r="E173" s="30">
        <v>25</v>
      </c>
      <c r="F173" s="30" t="s">
        <v>141</v>
      </c>
      <c r="G173" s="31">
        <v>372</v>
      </c>
      <c r="H173" s="32">
        <v>12</v>
      </c>
      <c r="I173" s="32">
        <f>ROUND((Table13[[#This Row],[laatste 5 wed.]]/Table13[[#This Row],['#punten]])*100,1)</f>
        <v>3.2</v>
      </c>
      <c r="J173" s="30">
        <v>14</v>
      </c>
      <c r="K173" s="30">
        <v>14</v>
      </c>
      <c r="L173" s="30">
        <v>1191</v>
      </c>
      <c r="M173" s="30">
        <v>270</v>
      </c>
      <c r="N173" s="30">
        <f>ROUND(Table13[[#This Row],[Min laatste 5]]/Table13[[#This Row],['#minuten]]*100,1)</f>
        <v>22.7</v>
      </c>
      <c r="O173" s="30">
        <v>1</v>
      </c>
      <c r="P173" s="30">
        <v>2</v>
      </c>
      <c r="Q173" s="48">
        <v>2</v>
      </c>
      <c r="R173" s="30">
        <v>1</v>
      </c>
      <c r="S173" s="30">
        <v>0</v>
      </c>
      <c r="T173" s="33">
        <f>ROUND(Table13[[#This Row],['#punten]]/Table13[[#This Row],['#Wed]],2)</f>
        <v>26.57</v>
      </c>
      <c r="U173" s="31">
        <f>ROUND(Table13[[#This Row],['#punten]]/Table13[[#This Row],['#minuten]],2)</f>
        <v>0.31</v>
      </c>
      <c r="V173" s="30">
        <f>Table13[[#This Row],[Pt/minuut]]*90</f>
        <v>27.9</v>
      </c>
      <c r="W173" s="30">
        <f>ROUND(Table13[[#This Row],[Prijs]]/Table13[[#This Row],['#punten]],0)</f>
        <v>3360</v>
      </c>
      <c r="X173" s="34">
        <f>ROUND((Table13[[#This Row],[Goals]]+Table13[[#This Row],[Asissts]])/(Table13[[#This Row],['#minuten]]/90),2)</f>
        <v>0.23</v>
      </c>
    </row>
    <row r="174" spans="1:24" x14ac:dyDescent="0.2">
      <c r="A174" s="6" t="s">
        <v>250</v>
      </c>
      <c r="B174" s="62" t="s">
        <v>10</v>
      </c>
      <c r="C174" s="63">
        <v>1750000</v>
      </c>
      <c r="D174" s="60" t="s">
        <v>203</v>
      </c>
      <c r="E174" s="60">
        <v>20</v>
      </c>
      <c r="F174" s="60" t="s">
        <v>141</v>
      </c>
      <c r="G174" s="58">
        <v>492</v>
      </c>
      <c r="H174" s="64">
        <v>300</v>
      </c>
      <c r="I174" s="64">
        <f>ROUND((Table13[[#This Row],[laatste 5 wed.]]/Table13[[#This Row],['#punten]])*100,1)</f>
        <v>61</v>
      </c>
      <c r="J174" s="60">
        <v>13</v>
      </c>
      <c r="K174" s="60">
        <v>8</v>
      </c>
      <c r="L174" s="60">
        <v>764</v>
      </c>
      <c r="M174" s="60">
        <v>239</v>
      </c>
      <c r="N174" s="60">
        <f>ROUND(Table13[[#This Row],[Min laatste 5]]/Table13[[#This Row],['#minuten]]*100,1)</f>
        <v>31.3</v>
      </c>
      <c r="O174" s="60">
        <v>3</v>
      </c>
      <c r="P174" s="60">
        <v>0</v>
      </c>
      <c r="Q174" s="86">
        <v>2</v>
      </c>
      <c r="R174" s="60">
        <v>0</v>
      </c>
      <c r="S174" s="60">
        <v>0</v>
      </c>
      <c r="T174" s="59">
        <f>ROUND(Table13[[#This Row],['#punten]]/Table13[[#This Row],['#Wed]],2)</f>
        <v>37.85</v>
      </c>
      <c r="U174" s="58">
        <f>ROUND(Table13[[#This Row],['#punten]]/Table13[[#This Row],['#minuten]],2)</f>
        <v>0.64</v>
      </c>
      <c r="V174" s="60">
        <f>Table13[[#This Row],[Pt/minuut]]*90</f>
        <v>57.6</v>
      </c>
      <c r="W174" s="60">
        <f>ROUND(Table13[[#This Row],[Prijs]]/Table13[[#This Row],['#punten]],0)</f>
        <v>3557</v>
      </c>
      <c r="X174" s="61">
        <f>ROUND((Table13[[#This Row],[Goals]]+Table13[[#This Row],[Asissts]])/(Table13[[#This Row],['#minuten]]/90),2)</f>
        <v>0.35</v>
      </c>
    </row>
    <row r="175" spans="1:24" x14ac:dyDescent="0.2">
      <c r="A175" s="6" t="s">
        <v>22</v>
      </c>
      <c r="B175" s="51" t="s">
        <v>10</v>
      </c>
      <c r="C175" s="52">
        <v>1500000</v>
      </c>
      <c r="D175" s="53" t="s">
        <v>203</v>
      </c>
      <c r="E175" s="53">
        <v>22</v>
      </c>
      <c r="F175" s="53" t="s">
        <v>141</v>
      </c>
      <c r="G175" s="54">
        <v>600</v>
      </c>
      <c r="H175" s="55">
        <v>258</v>
      </c>
      <c r="I175" s="55">
        <f>ROUND((Table13[[#This Row],[laatste 5 wed.]]/Table13[[#This Row],['#punten]])*100,1)</f>
        <v>43</v>
      </c>
      <c r="J175" s="53">
        <v>13</v>
      </c>
      <c r="K175" s="53">
        <v>12</v>
      </c>
      <c r="L175" s="53">
        <v>1092</v>
      </c>
      <c r="M175" s="53">
        <v>360</v>
      </c>
      <c r="N175" s="53">
        <f>ROUND(Table13[[#This Row],[Min laatste 5]]/Table13[[#This Row],['#minuten]]*100,1)</f>
        <v>33</v>
      </c>
      <c r="O175" s="53">
        <v>2</v>
      </c>
      <c r="P175" s="53">
        <v>2</v>
      </c>
      <c r="Q175" s="85">
        <v>1</v>
      </c>
      <c r="R175" s="53">
        <v>1</v>
      </c>
      <c r="S175" s="53">
        <v>1</v>
      </c>
      <c r="T175" s="56">
        <f>ROUND(Table13[[#This Row],['#punten]]/Table13[[#This Row],['#Wed]],2)</f>
        <v>46.15</v>
      </c>
      <c r="U175" s="54">
        <f>ROUND(Table13[[#This Row],['#punten]]/Table13[[#This Row],['#minuten]],2)</f>
        <v>0.55000000000000004</v>
      </c>
      <c r="V175" s="53">
        <f>Table13[[#This Row],[Pt/minuut]]*90</f>
        <v>49.500000000000007</v>
      </c>
      <c r="W175" s="53">
        <f>ROUND(Table13[[#This Row],[Prijs]]/Table13[[#This Row],['#punten]],0)</f>
        <v>2500</v>
      </c>
      <c r="X175" s="57">
        <f>ROUND((Table13[[#This Row],[Goals]]+Table13[[#This Row],[Asissts]])/(Table13[[#This Row],['#minuten]]/90),2)</f>
        <v>0.33</v>
      </c>
    </row>
    <row r="176" spans="1:24" x14ac:dyDescent="0.2">
      <c r="A176" s="6" t="s">
        <v>252</v>
      </c>
      <c r="B176" s="62" t="s">
        <v>10</v>
      </c>
      <c r="C176" s="63">
        <v>1500000</v>
      </c>
      <c r="D176" s="60" t="s">
        <v>203</v>
      </c>
      <c r="E176" s="60">
        <v>26</v>
      </c>
      <c r="F176" s="60" t="s">
        <v>141</v>
      </c>
      <c r="G176" s="58">
        <v>630</v>
      </c>
      <c r="H176" s="64">
        <v>312</v>
      </c>
      <c r="I176" s="64">
        <f>ROUND((Table13[[#This Row],[laatste 5 wed.]]/Table13[[#This Row],['#punten]])*100,1)</f>
        <v>49.5</v>
      </c>
      <c r="J176" s="60">
        <v>16</v>
      </c>
      <c r="K176" s="60">
        <v>16</v>
      </c>
      <c r="L176" s="60">
        <v>1426</v>
      </c>
      <c r="M176" s="60">
        <v>450</v>
      </c>
      <c r="N176" s="60">
        <f>ROUND(Table13[[#This Row],[Min laatste 5]]/Table13[[#This Row],['#minuten]]*100,1)</f>
        <v>31.6</v>
      </c>
      <c r="O176" s="60">
        <v>0</v>
      </c>
      <c r="P176" s="60">
        <v>2</v>
      </c>
      <c r="Q176" s="86">
        <v>2</v>
      </c>
      <c r="R176" s="60">
        <v>0</v>
      </c>
      <c r="S176" s="60">
        <v>2</v>
      </c>
      <c r="T176" s="59">
        <f>ROUND(Table13[[#This Row],['#punten]]/Table13[[#This Row],['#Wed]],2)</f>
        <v>39.380000000000003</v>
      </c>
      <c r="U176" s="58">
        <f>ROUND(Table13[[#This Row],['#punten]]/Table13[[#This Row],['#minuten]],2)</f>
        <v>0.44</v>
      </c>
      <c r="V176" s="60">
        <f>Table13[[#This Row],[Pt/minuut]]*90</f>
        <v>39.6</v>
      </c>
      <c r="W176" s="60">
        <f>ROUND(Table13[[#This Row],[Prijs]]/Table13[[#This Row],['#punten]],0)</f>
        <v>2381</v>
      </c>
      <c r="X176" s="61">
        <f>ROUND((Table13[[#This Row],[Goals]]+Table13[[#This Row],[Asissts]])/(Table13[[#This Row],['#minuten]]/90),2)</f>
        <v>0.13</v>
      </c>
    </row>
    <row r="177" spans="1:24" x14ac:dyDescent="0.2">
      <c r="A177" s="6" t="s">
        <v>368</v>
      </c>
      <c r="B177" s="28" t="s">
        <v>10</v>
      </c>
      <c r="C177" s="29">
        <v>1250000</v>
      </c>
      <c r="D177" s="30" t="s">
        <v>203</v>
      </c>
      <c r="E177" s="30">
        <v>26</v>
      </c>
      <c r="F177" s="30" t="s">
        <v>141</v>
      </c>
      <c r="G177" s="31">
        <v>360</v>
      </c>
      <c r="H177" s="32">
        <v>162</v>
      </c>
      <c r="I177" s="32">
        <f>ROUND((Table13[[#This Row],[laatste 5 wed.]]/Table13[[#This Row],['#punten]])*100,1)</f>
        <v>45</v>
      </c>
      <c r="J177" s="30">
        <v>8</v>
      </c>
      <c r="K177" s="30">
        <v>8</v>
      </c>
      <c r="L177" s="30">
        <v>612</v>
      </c>
      <c r="M177" s="30">
        <v>328</v>
      </c>
      <c r="N177" s="30">
        <f>ROUND(Table13[[#This Row],[Min laatste 5]]/Table13[[#This Row],['#minuten]]*100,1)</f>
        <v>53.6</v>
      </c>
      <c r="O177" s="30">
        <v>0</v>
      </c>
      <c r="P177" s="30">
        <v>0</v>
      </c>
      <c r="Q177" s="48">
        <v>0</v>
      </c>
      <c r="R177" s="30">
        <v>0</v>
      </c>
      <c r="S177" s="30">
        <v>1</v>
      </c>
      <c r="T177" s="33">
        <f>ROUND(Table13[[#This Row],['#punten]]/Table13[[#This Row],['#Wed]],2)</f>
        <v>45</v>
      </c>
      <c r="U177" s="31">
        <f>ROUND(Table13[[#This Row],['#punten]]/Table13[[#This Row],['#minuten]],2)</f>
        <v>0.59</v>
      </c>
      <c r="V177" s="30">
        <f>Table13[[#This Row],[Pt/minuut]]*90</f>
        <v>53.099999999999994</v>
      </c>
      <c r="W177" s="30">
        <f>ROUND(Table13[[#This Row],[Prijs]]/Table13[[#This Row],['#punten]],0)</f>
        <v>3472</v>
      </c>
      <c r="X177" s="34">
        <f>ROUND((Table13[[#This Row],[Goals]]+Table13[[#This Row],[Asissts]])/(Table13[[#This Row],['#minuten]]/90),2)</f>
        <v>0</v>
      </c>
    </row>
    <row r="178" spans="1:24" x14ac:dyDescent="0.2">
      <c r="A178" s="6" t="s">
        <v>251</v>
      </c>
      <c r="B178" s="51" t="s">
        <v>10</v>
      </c>
      <c r="C178" s="52">
        <v>1250000</v>
      </c>
      <c r="D178" s="53" t="s">
        <v>203</v>
      </c>
      <c r="E178" s="53">
        <v>33</v>
      </c>
      <c r="F178" s="53" t="s">
        <v>141</v>
      </c>
      <c r="G178" s="54">
        <v>516</v>
      </c>
      <c r="H178" s="55">
        <v>162</v>
      </c>
      <c r="I178" s="55">
        <f>ROUND((Table13[[#This Row],[laatste 5 wed.]]/Table13[[#This Row],['#punten]])*100,1)</f>
        <v>31.4</v>
      </c>
      <c r="J178" s="53">
        <v>14</v>
      </c>
      <c r="K178" s="53">
        <v>14</v>
      </c>
      <c r="L178" s="53">
        <v>1210</v>
      </c>
      <c r="M178" s="53">
        <v>354</v>
      </c>
      <c r="N178" s="53">
        <f>ROUND(Table13[[#This Row],[Min laatste 5]]/Table13[[#This Row],['#minuten]]*100,1)</f>
        <v>29.3</v>
      </c>
      <c r="O178" s="53">
        <v>0</v>
      </c>
      <c r="P178" s="53">
        <v>0</v>
      </c>
      <c r="Q178" s="85">
        <v>1</v>
      </c>
      <c r="R178" s="53">
        <v>0</v>
      </c>
      <c r="S178" s="53">
        <v>2</v>
      </c>
      <c r="T178" s="59">
        <f>ROUND(Table13[[#This Row],['#punten]]/Table13[[#This Row],['#Wed]],2)</f>
        <v>36.86</v>
      </c>
      <c r="U178" s="58">
        <f>ROUND(Table13[[#This Row],['#punten]]/Table13[[#This Row],['#minuten]],2)</f>
        <v>0.43</v>
      </c>
      <c r="V178" s="60">
        <f>Table13[[#This Row],[Pt/minuut]]*90</f>
        <v>38.700000000000003</v>
      </c>
      <c r="W178" s="60">
        <f>ROUND(Table13[[#This Row],[Prijs]]/Table13[[#This Row],['#punten]],0)</f>
        <v>2422</v>
      </c>
      <c r="X178" s="61">
        <f>ROUND((Table13[[#This Row],[Goals]]+Table13[[#This Row],[Asissts]])/(Table13[[#This Row],['#minuten]]/90),2)</f>
        <v>0</v>
      </c>
    </row>
    <row r="179" spans="1:24" x14ac:dyDescent="0.2">
      <c r="A179" s="6" t="s">
        <v>370</v>
      </c>
      <c r="B179" s="21" t="s">
        <v>260</v>
      </c>
      <c r="C179" s="22">
        <v>1250000</v>
      </c>
      <c r="D179" s="23" t="s">
        <v>203</v>
      </c>
      <c r="E179" s="23">
        <v>25</v>
      </c>
      <c r="F179" s="23" t="s">
        <v>141</v>
      </c>
      <c r="G179" s="24">
        <v>532</v>
      </c>
      <c r="H179" s="25">
        <v>132</v>
      </c>
      <c r="I179" s="25">
        <f>ROUND((Table13[[#This Row],[laatste 5 wed.]]/Table13[[#This Row],['#punten]])*100,1)</f>
        <v>24.8</v>
      </c>
      <c r="J179" s="23">
        <v>16</v>
      </c>
      <c r="K179" s="23">
        <v>16</v>
      </c>
      <c r="L179" s="23">
        <v>1440</v>
      </c>
      <c r="M179" s="23">
        <v>450</v>
      </c>
      <c r="N179" s="23">
        <f>ROUND(Table13[[#This Row],[Min laatste 5]]/Table13[[#This Row],['#minuten]]*100,1)</f>
        <v>31.3</v>
      </c>
      <c r="O179" s="23">
        <v>0</v>
      </c>
      <c r="P179" s="23">
        <v>1</v>
      </c>
      <c r="Q179" s="45">
        <v>2</v>
      </c>
      <c r="R179" s="23">
        <v>0</v>
      </c>
      <c r="S179" s="23">
        <v>3</v>
      </c>
      <c r="T179" s="26">
        <f>ROUND(Table13[[#This Row],['#punten]]/Table13[[#This Row],['#Wed]],2)</f>
        <v>33.25</v>
      </c>
      <c r="U179" s="24">
        <f>ROUND(Table13[[#This Row],['#punten]]/Table13[[#This Row],['#minuten]],2)</f>
        <v>0.37</v>
      </c>
      <c r="V179" s="23">
        <f>Table13[[#This Row],[Pt/minuut]]*90</f>
        <v>33.299999999999997</v>
      </c>
      <c r="W179" s="23">
        <f>ROUND(Table13[[#This Row],[Prijs]]/Table13[[#This Row],['#punten]],0)</f>
        <v>2350</v>
      </c>
      <c r="X179" s="27">
        <f>ROUND((Table13[[#This Row],[Goals]]+Table13[[#This Row],[Asissts]])/(Table13[[#This Row],['#minuten]]/90),2)</f>
        <v>0.06</v>
      </c>
    </row>
    <row r="180" spans="1:24" x14ac:dyDescent="0.2">
      <c r="A180" s="6" t="s">
        <v>266</v>
      </c>
      <c r="B180" s="51" t="s">
        <v>260</v>
      </c>
      <c r="C180" s="52">
        <v>1250000</v>
      </c>
      <c r="D180" s="53" t="s">
        <v>203</v>
      </c>
      <c r="E180" s="53">
        <v>30</v>
      </c>
      <c r="F180" s="53" t="s">
        <v>267</v>
      </c>
      <c r="G180" s="54">
        <v>420</v>
      </c>
      <c r="H180" s="55">
        <v>132</v>
      </c>
      <c r="I180" s="55">
        <f>ROUND((Table13[[#This Row],[laatste 5 wed.]]/Table13[[#This Row],['#punten]])*100,1)</f>
        <v>31.4</v>
      </c>
      <c r="J180" s="53">
        <v>14</v>
      </c>
      <c r="K180" s="53">
        <v>14</v>
      </c>
      <c r="L180" s="53">
        <v>1150</v>
      </c>
      <c r="M180" s="30">
        <v>405</v>
      </c>
      <c r="N180" s="53">
        <f>ROUND(Table13[[#This Row],[Min laatste 5]]/Table13[[#This Row],['#minuten]]*100,1)</f>
        <v>35.200000000000003</v>
      </c>
      <c r="O180" s="53">
        <v>0</v>
      </c>
      <c r="P180" s="53">
        <v>0</v>
      </c>
      <c r="Q180" s="85">
        <v>3</v>
      </c>
      <c r="R180" s="53">
        <v>0</v>
      </c>
      <c r="S180" s="53">
        <v>3</v>
      </c>
      <c r="T180" s="56">
        <f>ROUND(Table13[[#This Row],['#punten]]/Table13[[#This Row],['#Wed]],2)</f>
        <v>30</v>
      </c>
      <c r="U180" s="54">
        <f>ROUND(Table13[[#This Row],['#punten]]/Table13[[#This Row],['#minuten]],2)</f>
        <v>0.37</v>
      </c>
      <c r="V180" s="53">
        <f>Table13[[#This Row],[Pt/minuut]]*90</f>
        <v>33.299999999999997</v>
      </c>
      <c r="W180" s="53">
        <f>ROUND(Table13[[#This Row],[Prijs]]/Table13[[#This Row],['#punten]],0)</f>
        <v>2976</v>
      </c>
      <c r="X180" s="57">
        <f>ROUND((Table13[[#This Row],[Goals]]+Table13[[#This Row],[Asissts]])/(Table13[[#This Row],['#minuten]]/90),2)</f>
        <v>0</v>
      </c>
    </row>
    <row r="181" spans="1:24" x14ac:dyDescent="0.2">
      <c r="A181" s="6" t="s">
        <v>265</v>
      </c>
      <c r="B181" s="62" t="s">
        <v>260</v>
      </c>
      <c r="C181" s="63">
        <v>1500000</v>
      </c>
      <c r="D181" s="60" t="s">
        <v>203</v>
      </c>
      <c r="E181" s="60">
        <v>38</v>
      </c>
      <c r="F181" s="60" t="s">
        <v>141</v>
      </c>
      <c r="G181" s="58">
        <v>492</v>
      </c>
      <c r="H181" s="64">
        <v>132</v>
      </c>
      <c r="I181" s="64">
        <f>ROUND((Table13[[#This Row],[laatste 5 wed.]]/Table13[[#This Row],['#punten]])*100,1)</f>
        <v>26.8</v>
      </c>
      <c r="J181" s="60">
        <v>14</v>
      </c>
      <c r="K181" s="60">
        <v>14</v>
      </c>
      <c r="L181" s="60">
        <v>1215</v>
      </c>
      <c r="M181" s="60">
        <v>450</v>
      </c>
      <c r="N181" s="60">
        <f>ROUND(Table13[[#This Row],[Min laatste 5]]/Table13[[#This Row],['#minuten]]*100,1)</f>
        <v>37</v>
      </c>
      <c r="O181" s="60">
        <v>0</v>
      </c>
      <c r="P181" s="60">
        <v>0</v>
      </c>
      <c r="Q181" s="86">
        <v>2</v>
      </c>
      <c r="R181" s="60">
        <v>0</v>
      </c>
      <c r="S181" s="60">
        <v>3</v>
      </c>
      <c r="T181" s="59">
        <f>ROUND(Table13[[#This Row],['#punten]]/Table13[[#This Row],['#Wed]],2)</f>
        <v>35.14</v>
      </c>
      <c r="U181" s="58">
        <f>ROUND(Table13[[#This Row],['#punten]]/Table13[[#This Row],['#minuten]],2)</f>
        <v>0.4</v>
      </c>
      <c r="V181" s="60">
        <f>Table13[[#This Row],[Pt/minuut]]*90</f>
        <v>36</v>
      </c>
      <c r="W181" s="60">
        <f>ROUND(Table13[[#This Row],[Prijs]]/Table13[[#This Row],['#punten]],0)</f>
        <v>3049</v>
      </c>
      <c r="X181" s="61">
        <f>ROUND((Table13[[#This Row],[Goals]]+Table13[[#This Row],[Asissts]])/(Table13[[#This Row],['#minuten]]/90),2)</f>
        <v>0</v>
      </c>
    </row>
    <row r="182" spans="1:24" x14ac:dyDescent="0.2">
      <c r="A182" s="6" t="s">
        <v>281</v>
      </c>
      <c r="B182" s="51" t="s">
        <v>11</v>
      </c>
      <c r="C182" s="52">
        <v>4000000</v>
      </c>
      <c r="D182" s="53" t="s">
        <v>203</v>
      </c>
      <c r="E182" s="53">
        <v>23</v>
      </c>
      <c r="F182" s="53" t="s">
        <v>175</v>
      </c>
      <c r="G182" s="54">
        <v>1122</v>
      </c>
      <c r="H182" s="55">
        <v>606</v>
      </c>
      <c r="I182" s="55">
        <f>ROUND((Table13[[#This Row],[laatste 5 wed.]]/Table13[[#This Row],['#punten]])*100,1)</f>
        <v>54</v>
      </c>
      <c r="J182" s="53">
        <v>11</v>
      </c>
      <c r="K182" s="53">
        <v>11</v>
      </c>
      <c r="L182" s="53">
        <v>910</v>
      </c>
      <c r="M182" s="53">
        <v>438</v>
      </c>
      <c r="N182" s="53">
        <f>ROUND(Table13[[#This Row],[Min laatste 5]]/Table13[[#This Row],['#minuten]]*100,1)</f>
        <v>48.1</v>
      </c>
      <c r="O182" s="53">
        <v>1</v>
      </c>
      <c r="P182" s="53">
        <v>1</v>
      </c>
      <c r="Q182" s="85">
        <v>1</v>
      </c>
      <c r="R182" s="53">
        <v>0</v>
      </c>
      <c r="S182" s="53">
        <v>9</v>
      </c>
      <c r="T182" s="56">
        <f>ROUND(Table13[[#This Row],['#punten]]/Table13[[#This Row],['#Wed]],2)</f>
        <v>102</v>
      </c>
      <c r="U182" s="54">
        <f>ROUND(Table13[[#This Row],['#punten]]/Table13[[#This Row],['#minuten]],2)</f>
        <v>1.23</v>
      </c>
      <c r="V182" s="53">
        <f>Table13[[#This Row],[Pt/minuut]]*90</f>
        <v>110.7</v>
      </c>
      <c r="W182" s="53">
        <f>ROUND(Table13[[#This Row],[Prijs]]/Table13[[#This Row],['#punten]],0)</f>
        <v>3565</v>
      </c>
      <c r="X182" s="57">
        <f>ROUND((Table13[[#This Row],[Goals]]+Table13[[#This Row],[Asissts]])/(Table13[[#This Row],['#minuten]]/90),2)</f>
        <v>0.2</v>
      </c>
    </row>
    <row r="183" spans="1:24" x14ac:dyDescent="0.2">
      <c r="A183" s="6" t="s">
        <v>280</v>
      </c>
      <c r="B183" s="51" t="s">
        <v>11</v>
      </c>
      <c r="C183" s="52">
        <v>4000000</v>
      </c>
      <c r="D183" s="53" t="s">
        <v>203</v>
      </c>
      <c r="E183" s="53">
        <v>24</v>
      </c>
      <c r="F183" s="53" t="s">
        <v>141</v>
      </c>
      <c r="G183" s="54">
        <v>1026</v>
      </c>
      <c r="H183" s="55">
        <v>306</v>
      </c>
      <c r="I183" s="55">
        <f>ROUND((Table13[[#This Row],[laatste 5 wed.]]/Table13[[#This Row],['#punten]])*100,1)</f>
        <v>29.8</v>
      </c>
      <c r="J183" s="53">
        <v>13</v>
      </c>
      <c r="K183" s="53">
        <v>12</v>
      </c>
      <c r="L183" s="53">
        <v>1023</v>
      </c>
      <c r="M183" s="53">
        <v>280</v>
      </c>
      <c r="N183" s="53">
        <f>ROUND(Table13[[#This Row],[Min laatste 5]]/Table13[[#This Row],['#minuten]]*100,1)</f>
        <v>27.4</v>
      </c>
      <c r="O183" s="53">
        <v>0</v>
      </c>
      <c r="P183" s="53">
        <v>3</v>
      </c>
      <c r="Q183" s="85">
        <v>1</v>
      </c>
      <c r="R183" s="53">
        <v>0</v>
      </c>
      <c r="S183" s="53">
        <v>7</v>
      </c>
      <c r="T183" s="56">
        <f>ROUND(Table13[[#This Row],['#punten]]/Table13[[#This Row],['#Wed]],2)</f>
        <v>78.92</v>
      </c>
      <c r="U183" s="54">
        <f>ROUND(Table13[[#This Row],['#punten]]/Table13[[#This Row],['#minuten]],2)</f>
        <v>1</v>
      </c>
      <c r="V183" s="53">
        <f>Table13[[#This Row],[Pt/minuut]]*90</f>
        <v>90</v>
      </c>
      <c r="W183" s="53">
        <f>ROUND(Table13[[#This Row],[Prijs]]/Table13[[#This Row],['#punten]],0)</f>
        <v>3899</v>
      </c>
      <c r="X183" s="57">
        <f>ROUND((Table13[[#This Row],[Goals]]+Table13[[#This Row],[Asissts]])/(Table13[[#This Row],['#minuten]]/90),2)</f>
        <v>0.26</v>
      </c>
    </row>
    <row r="184" spans="1:24" x14ac:dyDescent="0.2">
      <c r="A184" s="6" t="s">
        <v>279</v>
      </c>
      <c r="B184" s="51" t="s">
        <v>11</v>
      </c>
      <c r="C184" s="52">
        <v>4000000</v>
      </c>
      <c r="D184" s="53" t="s">
        <v>203</v>
      </c>
      <c r="E184" s="53">
        <v>26</v>
      </c>
      <c r="F184" s="53" t="s">
        <v>160</v>
      </c>
      <c r="G184" s="54">
        <v>1260</v>
      </c>
      <c r="H184" s="55">
        <v>534</v>
      </c>
      <c r="I184" s="55">
        <f>ROUND((Table13[[#This Row],[laatste 5 wed.]]/Table13[[#This Row],['#punten]])*100,1)</f>
        <v>42.4</v>
      </c>
      <c r="J184" s="53">
        <v>15</v>
      </c>
      <c r="K184" s="53">
        <v>14</v>
      </c>
      <c r="L184" s="53">
        <v>1271</v>
      </c>
      <c r="M184" s="53">
        <v>445</v>
      </c>
      <c r="N184" s="53">
        <f>ROUND(Table13[[#This Row],[Min laatste 5]]/Table13[[#This Row],['#minuten]]*100,1)</f>
        <v>35</v>
      </c>
      <c r="O184" s="53">
        <v>1</v>
      </c>
      <c r="P184" s="53">
        <v>1</v>
      </c>
      <c r="Q184" s="85">
        <v>2</v>
      </c>
      <c r="R184" s="53">
        <v>0</v>
      </c>
      <c r="S184" s="53">
        <v>9</v>
      </c>
      <c r="T184" s="56">
        <f>ROUND(Table13[[#This Row],['#punten]]/Table13[[#This Row],['#Wed]],2)</f>
        <v>84</v>
      </c>
      <c r="U184" s="54">
        <f>ROUND(Table13[[#This Row],['#punten]]/Table13[[#This Row],['#minuten]],2)</f>
        <v>0.99</v>
      </c>
      <c r="V184" s="53">
        <f>Table13[[#This Row],[Pt/minuut]]*90</f>
        <v>89.1</v>
      </c>
      <c r="W184" s="53">
        <f>ROUND(Table13[[#This Row],[Prijs]]/Table13[[#This Row],['#punten]],0)</f>
        <v>3175</v>
      </c>
      <c r="X184" s="57">
        <f>ROUND((Table13[[#This Row],[Goals]]+Table13[[#This Row],[Asissts]])/(Table13[[#This Row],['#minuten]]/90),2)</f>
        <v>0.14000000000000001</v>
      </c>
    </row>
    <row r="185" spans="1:24" x14ac:dyDescent="0.2">
      <c r="A185" s="6" t="s">
        <v>276</v>
      </c>
      <c r="B185" s="51" t="s">
        <v>11</v>
      </c>
      <c r="C185" s="52">
        <v>3500000</v>
      </c>
      <c r="D185" s="53" t="s">
        <v>203</v>
      </c>
      <c r="E185" s="53">
        <v>31</v>
      </c>
      <c r="F185" s="53" t="s">
        <v>196</v>
      </c>
      <c r="G185" s="54">
        <v>1302</v>
      </c>
      <c r="H185" s="55">
        <v>282</v>
      </c>
      <c r="I185" s="55">
        <f>ROUND((Table13[[#This Row],[laatste 5 wed.]]/Table13[[#This Row],['#punten]])*100,1)</f>
        <v>21.7</v>
      </c>
      <c r="J185" s="53">
        <v>16</v>
      </c>
      <c r="K185" s="53">
        <v>13</v>
      </c>
      <c r="L185" s="53">
        <v>1114</v>
      </c>
      <c r="M185" s="53">
        <v>280</v>
      </c>
      <c r="N185" s="53">
        <f>ROUND(Table13[[#This Row],[Min laatste 5]]/Table13[[#This Row],['#minuten]]*100,1)</f>
        <v>25.1</v>
      </c>
      <c r="O185" s="53">
        <v>2</v>
      </c>
      <c r="P185" s="53">
        <v>0</v>
      </c>
      <c r="Q185" s="85">
        <v>2</v>
      </c>
      <c r="R185" s="53">
        <v>0</v>
      </c>
      <c r="S185" s="53">
        <v>10</v>
      </c>
      <c r="T185" s="56">
        <f>ROUND(Table13[[#This Row],['#punten]]/Table13[[#This Row],['#Wed]],2)</f>
        <v>81.38</v>
      </c>
      <c r="U185" s="54">
        <f>ROUND(Table13[[#This Row],['#punten]]/Table13[[#This Row],['#minuten]],2)</f>
        <v>1.17</v>
      </c>
      <c r="V185" s="53">
        <f>Table13[[#This Row],[Pt/minuut]]*90</f>
        <v>105.3</v>
      </c>
      <c r="W185" s="53">
        <f>ROUND(Table13[[#This Row],[Prijs]]/Table13[[#This Row],['#punten]],0)</f>
        <v>2688</v>
      </c>
      <c r="X185" s="57">
        <f>ROUND((Table13[[#This Row],[Goals]]+Table13[[#This Row],[Asissts]])/(Table13[[#This Row],['#minuten]]/90),2)</f>
        <v>0.16</v>
      </c>
    </row>
    <row r="186" spans="1:24" x14ac:dyDescent="0.2">
      <c r="A186" s="6" t="s">
        <v>282</v>
      </c>
      <c r="B186" s="28" t="s">
        <v>11</v>
      </c>
      <c r="C186" s="29">
        <v>3000000</v>
      </c>
      <c r="D186" s="30" t="s">
        <v>203</v>
      </c>
      <c r="E186" s="30">
        <v>33</v>
      </c>
      <c r="F186" s="30" t="s">
        <v>141</v>
      </c>
      <c r="G186" s="31">
        <v>876</v>
      </c>
      <c r="H186" s="32">
        <v>156</v>
      </c>
      <c r="I186" s="32">
        <f>ROUND((Table13[[#This Row],[laatste 5 wed.]]/Table13[[#This Row],['#punten]])*100,1)</f>
        <v>17.8</v>
      </c>
      <c r="J186" s="30">
        <v>13</v>
      </c>
      <c r="K186" s="30">
        <v>9</v>
      </c>
      <c r="L186" s="30">
        <v>912</v>
      </c>
      <c r="M186" s="30">
        <v>199</v>
      </c>
      <c r="N186" s="30">
        <f>ROUND(Table13[[#This Row],[Min laatste 5]]/Table13[[#This Row],['#minuten]]*100,1)</f>
        <v>21.8</v>
      </c>
      <c r="O186" s="30">
        <v>0</v>
      </c>
      <c r="P186" s="30">
        <v>1</v>
      </c>
      <c r="Q186" s="48">
        <v>0</v>
      </c>
      <c r="R186" s="30">
        <v>0</v>
      </c>
      <c r="S186" s="30">
        <v>6</v>
      </c>
      <c r="T186" s="33">
        <f>ROUND(Table13[[#This Row],['#punten]]/Table13[[#This Row],['#Wed]],2)</f>
        <v>67.38</v>
      </c>
      <c r="U186" s="31">
        <f>ROUND(Table13[[#This Row],['#punten]]/Table13[[#This Row],['#minuten]],2)</f>
        <v>0.96</v>
      </c>
      <c r="V186" s="30">
        <f>Table13[[#This Row],[Pt/minuut]]*90</f>
        <v>86.399999999999991</v>
      </c>
      <c r="W186" s="30">
        <f>ROUND(Table13[[#This Row],[Prijs]]/Table13[[#This Row],['#punten]],0)</f>
        <v>3425</v>
      </c>
      <c r="X186" s="34">
        <f>ROUND((Table13[[#This Row],[Goals]]+Table13[[#This Row],[Asissts]])/(Table13[[#This Row],['#minuten]]/90),2)</f>
        <v>0.1</v>
      </c>
    </row>
    <row r="187" spans="1:24" x14ac:dyDescent="0.2">
      <c r="A187" s="6" t="s">
        <v>522</v>
      </c>
      <c r="B187" s="51" t="s">
        <v>40</v>
      </c>
      <c r="C187" s="52">
        <v>1250000</v>
      </c>
      <c r="D187" s="53" t="s">
        <v>203</v>
      </c>
      <c r="E187" s="53">
        <v>23</v>
      </c>
      <c r="F187" s="53" t="s">
        <v>167</v>
      </c>
      <c r="G187" s="54">
        <v>420</v>
      </c>
      <c r="H187" s="55">
        <v>138</v>
      </c>
      <c r="I187" s="55">
        <f>ROUND((Table13[[#This Row],[laatste 5 wed.]]/Table13[[#This Row],['#punten]])*100,1)</f>
        <v>32.9</v>
      </c>
      <c r="J187" s="53">
        <v>13</v>
      </c>
      <c r="K187" s="53">
        <v>11</v>
      </c>
      <c r="L187" s="53">
        <v>997</v>
      </c>
      <c r="M187" s="53">
        <v>450</v>
      </c>
      <c r="N187" s="53">
        <f>ROUND(Table13[[#This Row],[Min laatste 5]]/Table13[[#This Row],['#minuten]]*100,1)</f>
        <v>45.1</v>
      </c>
      <c r="O187" s="53">
        <v>0</v>
      </c>
      <c r="P187" s="53">
        <v>0</v>
      </c>
      <c r="Q187" s="85">
        <v>1</v>
      </c>
      <c r="R187" s="53">
        <v>1</v>
      </c>
      <c r="S187" s="53">
        <v>2</v>
      </c>
      <c r="T187" s="56">
        <f>ROUND(Table13[[#This Row],['#punten]]/Table13[[#This Row],['#Wed]],2)</f>
        <v>32.31</v>
      </c>
      <c r="U187" s="54">
        <f>ROUND(Table13[[#This Row],['#punten]]/Table13[[#This Row],['#minuten]],2)</f>
        <v>0.42</v>
      </c>
      <c r="V187" s="53">
        <f>Table13[[#This Row],[Pt/minuut]]*90</f>
        <v>37.799999999999997</v>
      </c>
      <c r="W187" s="53">
        <f>ROUND(Table13[[#This Row],[Prijs]]/Table13[[#This Row],['#punten]],0)</f>
        <v>2976</v>
      </c>
      <c r="X187" s="57">
        <f>ROUND((Table13[[#This Row],[Goals]]+Table13[[#This Row],[Asissts]])/(Table13[[#This Row],['#minuten]]/90),2)</f>
        <v>0</v>
      </c>
    </row>
    <row r="188" spans="1:24" x14ac:dyDescent="0.2">
      <c r="A188" s="6" t="s">
        <v>288</v>
      </c>
      <c r="B188" s="28" t="s">
        <v>40</v>
      </c>
      <c r="C188" s="29">
        <v>1500000</v>
      </c>
      <c r="D188" s="30" t="s">
        <v>203</v>
      </c>
      <c r="E188" s="30">
        <v>26</v>
      </c>
      <c r="F188" s="30" t="s">
        <v>141</v>
      </c>
      <c r="G188" s="31">
        <v>576</v>
      </c>
      <c r="H188" s="32">
        <v>198</v>
      </c>
      <c r="I188" s="32">
        <f>ROUND((Table13[[#This Row],[laatste 5 wed.]]/Table13[[#This Row],['#punten]])*100,1)</f>
        <v>34.4</v>
      </c>
      <c r="J188" s="30">
        <v>16</v>
      </c>
      <c r="K188" s="30">
        <v>16</v>
      </c>
      <c r="L188" s="30">
        <v>1329</v>
      </c>
      <c r="M188" s="30">
        <v>375</v>
      </c>
      <c r="N188" s="30">
        <f>ROUND(Table13[[#This Row],[Min laatste 5]]/Table13[[#This Row],['#minuten]]*100,1)</f>
        <v>28.2</v>
      </c>
      <c r="O188" s="30">
        <v>0</v>
      </c>
      <c r="P188" s="30">
        <v>2</v>
      </c>
      <c r="Q188" s="48">
        <v>1</v>
      </c>
      <c r="R188" s="30">
        <v>0</v>
      </c>
      <c r="S188" s="30">
        <v>2</v>
      </c>
      <c r="T188" s="33">
        <f>ROUND(Table13[[#This Row],['#punten]]/Table13[[#This Row],['#Wed]],2)</f>
        <v>36</v>
      </c>
      <c r="U188" s="31">
        <f>ROUND(Table13[[#This Row],['#punten]]/Table13[[#This Row],['#minuten]],2)</f>
        <v>0.43</v>
      </c>
      <c r="V188" s="30">
        <f>Table13[[#This Row],[Pt/minuut]]*90</f>
        <v>38.700000000000003</v>
      </c>
      <c r="W188" s="30">
        <f>ROUND(Table13[[#This Row],[Prijs]]/Table13[[#This Row],['#punten]],0)</f>
        <v>2604</v>
      </c>
      <c r="X188" s="34">
        <f>ROUND((Table13[[#This Row],[Goals]]+Table13[[#This Row],[Asissts]])/(Table13[[#This Row],['#minuten]]/90),2)</f>
        <v>0.14000000000000001</v>
      </c>
    </row>
    <row r="189" spans="1:24" x14ac:dyDescent="0.2">
      <c r="A189" s="6" t="s">
        <v>286</v>
      </c>
      <c r="B189" s="28" t="s">
        <v>40</v>
      </c>
      <c r="C189" s="29">
        <v>1250000</v>
      </c>
      <c r="D189" s="30" t="s">
        <v>203</v>
      </c>
      <c r="E189" s="30">
        <v>27</v>
      </c>
      <c r="F189" s="30" t="s">
        <v>167</v>
      </c>
      <c r="G189" s="31">
        <v>472</v>
      </c>
      <c r="H189" s="32">
        <v>130</v>
      </c>
      <c r="I189" s="32">
        <f>ROUND((Table13[[#This Row],[laatste 5 wed.]]/Table13[[#This Row],['#punten]])*100,1)</f>
        <v>27.5</v>
      </c>
      <c r="J189" s="30">
        <v>13</v>
      </c>
      <c r="K189" s="30">
        <v>13</v>
      </c>
      <c r="L189" s="30">
        <v>1142</v>
      </c>
      <c r="M189" s="30">
        <v>130</v>
      </c>
      <c r="N189" s="30">
        <f>ROUND(Table13[[#This Row],[Min laatste 5]]/Table13[[#This Row],['#minuten]]*100,1)</f>
        <v>11.4</v>
      </c>
      <c r="O189" s="30">
        <v>0</v>
      </c>
      <c r="P189" s="30">
        <v>0</v>
      </c>
      <c r="Q189" s="48">
        <v>1</v>
      </c>
      <c r="R189" s="30">
        <v>0</v>
      </c>
      <c r="S189" s="30">
        <v>2</v>
      </c>
      <c r="T189" s="33">
        <f>ROUND(Table13[[#This Row],['#punten]]/Table13[[#This Row],['#Wed]],2)</f>
        <v>36.31</v>
      </c>
      <c r="U189" s="31">
        <f>ROUND(Table13[[#This Row],['#punten]]/Table13[[#This Row],['#minuten]],2)</f>
        <v>0.41</v>
      </c>
      <c r="V189" s="30">
        <f>Table13[[#This Row],[Pt/minuut]]*90</f>
        <v>36.9</v>
      </c>
      <c r="W189" s="30">
        <f>ROUND(Table13[[#This Row],[Prijs]]/Table13[[#This Row],['#punten]],0)</f>
        <v>2648</v>
      </c>
      <c r="X189" s="34">
        <f>ROUND((Table13[[#This Row],[Goals]]+Table13[[#This Row],[Asissts]])/(Table13[[#This Row],['#minuten]]/90),2)</f>
        <v>0</v>
      </c>
    </row>
    <row r="190" spans="1:24" x14ac:dyDescent="0.2">
      <c r="A190" s="6" t="s">
        <v>521</v>
      </c>
      <c r="B190" s="51" t="s">
        <v>40</v>
      </c>
      <c r="C190" s="52">
        <v>1500000</v>
      </c>
      <c r="D190" s="53" t="s">
        <v>203</v>
      </c>
      <c r="E190" s="53">
        <v>36</v>
      </c>
      <c r="F190" s="53" t="s">
        <v>141</v>
      </c>
      <c r="G190" s="54">
        <v>612</v>
      </c>
      <c r="H190" s="55">
        <v>234</v>
      </c>
      <c r="I190" s="55">
        <f>ROUND((Table13[[#This Row],[laatste 5 wed.]]/Table13[[#This Row],['#punten]])*100,1)</f>
        <v>38.200000000000003</v>
      </c>
      <c r="J190" s="53">
        <v>14</v>
      </c>
      <c r="K190" s="53">
        <v>13</v>
      </c>
      <c r="L190" s="53">
        <v>1193</v>
      </c>
      <c r="M190" s="53">
        <v>450</v>
      </c>
      <c r="N190" s="53">
        <f>ROUND(Table13[[#This Row],[Min laatste 5]]/Table13[[#This Row],['#minuten]]*100,1)</f>
        <v>37.700000000000003</v>
      </c>
      <c r="O190" s="53">
        <v>0</v>
      </c>
      <c r="P190" s="53">
        <v>4</v>
      </c>
      <c r="Q190" s="85">
        <v>4</v>
      </c>
      <c r="R190" s="53">
        <v>0</v>
      </c>
      <c r="S190" s="53">
        <v>2</v>
      </c>
      <c r="T190" s="56">
        <f>ROUND(Table13[[#This Row],['#punten]]/Table13[[#This Row],['#Wed]],2)</f>
        <v>43.71</v>
      </c>
      <c r="U190" s="54">
        <f>ROUND(Table13[[#This Row],['#punten]]/Table13[[#This Row],['#minuten]],2)</f>
        <v>0.51</v>
      </c>
      <c r="V190" s="53">
        <f>Table13[[#This Row],[Pt/minuut]]*90</f>
        <v>45.9</v>
      </c>
      <c r="W190" s="53">
        <f>ROUND(Table13[[#This Row],[Prijs]]/Table13[[#This Row],['#punten]],0)</f>
        <v>2451</v>
      </c>
      <c r="X190" s="57">
        <f>ROUND((Table13[[#This Row],[Goals]]+Table13[[#This Row],[Asissts]])/(Table13[[#This Row],['#minuten]]/90),2)</f>
        <v>0.3</v>
      </c>
    </row>
    <row r="191" spans="1:24" x14ac:dyDescent="0.2">
      <c r="A191" s="6" t="s">
        <v>307</v>
      </c>
      <c r="B191" s="51" t="s">
        <v>47</v>
      </c>
      <c r="C191" s="52">
        <v>1500000</v>
      </c>
      <c r="D191" s="53" t="s">
        <v>203</v>
      </c>
      <c r="E191" s="53">
        <v>21</v>
      </c>
      <c r="F191" s="53" t="s">
        <v>141</v>
      </c>
      <c r="G191" s="54">
        <v>636</v>
      </c>
      <c r="H191" s="55">
        <v>150</v>
      </c>
      <c r="I191" s="55">
        <f>ROUND((Table13[[#This Row],[laatste 5 wed.]]/Table13[[#This Row],['#punten]])*100,1)</f>
        <v>23.6</v>
      </c>
      <c r="J191" s="53">
        <v>16</v>
      </c>
      <c r="K191" s="53">
        <v>16</v>
      </c>
      <c r="L191" s="53">
        <v>1440</v>
      </c>
      <c r="M191" s="53">
        <v>450</v>
      </c>
      <c r="N191" s="53">
        <f>ROUND(Table13[[#This Row],[Min laatste 5]]/Table13[[#This Row],['#minuten]]*100,1)</f>
        <v>31.3</v>
      </c>
      <c r="O191" s="53">
        <v>0</v>
      </c>
      <c r="P191" s="53">
        <v>0</v>
      </c>
      <c r="Q191" s="85">
        <v>2</v>
      </c>
      <c r="R191" s="53">
        <v>0</v>
      </c>
      <c r="S191" s="53">
        <v>4</v>
      </c>
      <c r="T191" s="56">
        <f>ROUND(Table13[[#This Row],['#punten]]/Table13[[#This Row],['#Wed]],2)</f>
        <v>39.75</v>
      </c>
      <c r="U191" s="54">
        <f>ROUND(Table13[[#This Row],['#punten]]/Table13[[#This Row],['#minuten]],2)</f>
        <v>0.44</v>
      </c>
      <c r="V191" s="53">
        <f>Table13[[#This Row],[Pt/minuut]]*90</f>
        <v>39.6</v>
      </c>
      <c r="W191" s="53">
        <f>ROUND(Table13[[#This Row],[Prijs]]/Table13[[#This Row],['#punten]],0)</f>
        <v>2358</v>
      </c>
      <c r="X191" s="57">
        <f>ROUND((Table13[[#This Row],[Goals]]+Table13[[#This Row],[Asissts]])/(Table13[[#This Row],['#minuten]]/90),2)</f>
        <v>0</v>
      </c>
    </row>
    <row r="192" spans="1:24" x14ac:dyDescent="0.2">
      <c r="A192" s="6" t="s">
        <v>523</v>
      </c>
      <c r="B192" s="51" t="s">
        <v>47</v>
      </c>
      <c r="C192" s="52">
        <v>1750000</v>
      </c>
      <c r="D192" s="53" t="s">
        <v>203</v>
      </c>
      <c r="E192" s="53">
        <v>22</v>
      </c>
      <c r="F192" s="53" t="s">
        <v>141</v>
      </c>
      <c r="G192" s="54">
        <v>588</v>
      </c>
      <c r="H192" s="55">
        <v>246</v>
      </c>
      <c r="I192" s="55">
        <f>ROUND((Table13[[#This Row],[laatste 5 wed.]]/Table13[[#This Row],['#punten]])*100,1)</f>
        <v>41.8</v>
      </c>
      <c r="J192" s="53">
        <v>12</v>
      </c>
      <c r="K192" s="53">
        <v>11</v>
      </c>
      <c r="L192" s="53">
        <v>1034</v>
      </c>
      <c r="M192" s="53">
        <v>450</v>
      </c>
      <c r="N192" s="53">
        <f>ROUND(Table13[[#This Row],[Min laatste 5]]/Table13[[#This Row],['#minuten]]*100,1)</f>
        <v>43.5</v>
      </c>
      <c r="O192" s="53">
        <v>0</v>
      </c>
      <c r="P192" s="53">
        <v>2</v>
      </c>
      <c r="Q192" s="85">
        <v>1</v>
      </c>
      <c r="R192" s="53">
        <v>0</v>
      </c>
      <c r="S192" s="53">
        <v>4</v>
      </c>
      <c r="T192" s="56">
        <f>ROUND(Table13[[#This Row],['#punten]]/Table13[[#This Row],['#Wed]],2)</f>
        <v>49</v>
      </c>
      <c r="U192" s="54">
        <f>ROUND(Table13[[#This Row],['#punten]]/Table13[[#This Row],['#minuten]],2)</f>
        <v>0.56999999999999995</v>
      </c>
      <c r="V192" s="53">
        <f>Table13[[#This Row],[Pt/minuut]]*90</f>
        <v>51.3</v>
      </c>
      <c r="W192" s="53">
        <f>ROUND(Table13[[#This Row],[Prijs]]/Table13[[#This Row],['#punten]],0)</f>
        <v>2976</v>
      </c>
      <c r="X192" s="57">
        <f>ROUND((Table13[[#This Row],[Goals]]+Table13[[#This Row],[Asissts]])/(Table13[[#This Row],['#minuten]]/90),2)</f>
        <v>0.17</v>
      </c>
    </row>
    <row r="193" spans="1:24" x14ac:dyDescent="0.2">
      <c r="A193" s="6" t="s">
        <v>305</v>
      </c>
      <c r="B193" s="51" t="s">
        <v>47</v>
      </c>
      <c r="C193" s="52">
        <v>1750000</v>
      </c>
      <c r="D193" s="53" t="s">
        <v>203</v>
      </c>
      <c r="E193" s="53">
        <v>29</v>
      </c>
      <c r="F193" s="53" t="s">
        <v>306</v>
      </c>
      <c r="G193" s="54">
        <v>564</v>
      </c>
      <c r="H193" s="55">
        <v>150</v>
      </c>
      <c r="I193" s="55">
        <f>ROUND((Table13[[#This Row],[laatste 5 wed.]]/Table13[[#This Row],['#punten]])*100,1)</f>
        <v>26.6</v>
      </c>
      <c r="J193" s="53">
        <v>16</v>
      </c>
      <c r="K193" s="53">
        <v>16</v>
      </c>
      <c r="L193" s="53">
        <v>1389</v>
      </c>
      <c r="M193" s="53">
        <v>405</v>
      </c>
      <c r="N193" s="53">
        <f>ROUND(Table13[[#This Row],[Min laatste 5]]/Table13[[#This Row],['#minuten]]*100,1)</f>
        <v>29.2</v>
      </c>
      <c r="O193" s="53">
        <v>0</v>
      </c>
      <c r="P193" s="53">
        <v>0</v>
      </c>
      <c r="Q193" s="85">
        <v>3</v>
      </c>
      <c r="R193" s="53">
        <v>1</v>
      </c>
      <c r="S193" s="53">
        <v>4</v>
      </c>
      <c r="T193" s="56">
        <f>ROUND(Table13[[#This Row],['#punten]]/Table13[[#This Row],['#Wed]],2)</f>
        <v>35.25</v>
      </c>
      <c r="U193" s="54">
        <f>ROUND(Table13[[#This Row],['#punten]]/Table13[[#This Row],['#minuten]],2)</f>
        <v>0.41</v>
      </c>
      <c r="V193" s="53">
        <f>Table13[[#This Row],[Pt/minuut]]*90</f>
        <v>36.9</v>
      </c>
      <c r="W193" s="53">
        <f>ROUND(Table13[[#This Row],[Prijs]]/Table13[[#This Row],['#punten]],0)</f>
        <v>3103</v>
      </c>
      <c r="X193" s="57">
        <f>ROUND((Table13[[#This Row],[Goals]]+Table13[[#This Row],[Asissts]])/(Table13[[#This Row],['#minuten]]/90),2)</f>
        <v>0</v>
      </c>
    </row>
    <row r="194" spans="1:24" x14ac:dyDescent="0.2">
      <c r="A194" s="6" t="s">
        <v>119</v>
      </c>
      <c r="B194" s="51" t="s">
        <v>47</v>
      </c>
      <c r="C194" s="52">
        <v>1750000</v>
      </c>
      <c r="D194" s="53" t="s">
        <v>203</v>
      </c>
      <c r="E194" s="53">
        <v>32</v>
      </c>
      <c r="F194" s="53" t="s">
        <v>141</v>
      </c>
      <c r="G194" s="54">
        <v>780</v>
      </c>
      <c r="H194" s="55">
        <v>372</v>
      </c>
      <c r="I194" s="55">
        <f>ROUND((Table13[[#This Row],[laatste 5 wed.]]/Table13[[#This Row],['#punten]])*100,1)</f>
        <v>47.7</v>
      </c>
      <c r="J194" s="53">
        <v>14</v>
      </c>
      <c r="K194" s="53">
        <v>14</v>
      </c>
      <c r="L194" s="53">
        <v>1260</v>
      </c>
      <c r="M194" s="53">
        <v>360</v>
      </c>
      <c r="N194" s="53">
        <f>ROUND(Table13[[#This Row],[Min laatste 5]]/Table13[[#This Row],['#minuten]]*100,1)</f>
        <v>28.6</v>
      </c>
      <c r="O194" s="53">
        <v>2</v>
      </c>
      <c r="P194" s="53">
        <v>1</v>
      </c>
      <c r="Q194" s="85">
        <v>1</v>
      </c>
      <c r="R194" s="53">
        <v>0</v>
      </c>
      <c r="S194" s="53">
        <v>3</v>
      </c>
      <c r="T194" s="56">
        <f>ROUND(Table13[[#This Row],['#punten]]/Table13[[#This Row],['#Wed]],2)</f>
        <v>55.71</v>
      </c>
      <c r="U194" s="54">
        <f>ROUND(Table13[[#This Row],['#punten]]/Table13[[#This Row],['#minuten]],2)</f>
        <v>0.62</v>
      </c>
      <c r="V194" s="53">
        <f>Table13[[#This Row],[Pt/minuut]]*90</f>
        <v>55.8</v>
      </c>
      <c r="W194" s="53">
        <f>ROUND(Table13[[#This Row],[Prijs]]/Table13[[#This Row],['#punten]],0)</f>
        <v>2244</v>
      </c>
      <c r="X194" s="57">
        <f>ROUND((Table13[[#This Row],[Goals]]+Table13[[#This Row],[Asissts]])/(Table13[[#This Row],['#minuten]]/90),2)</f>
        <v>0.21</v>
      </c>
    </row>
    <row r="195" spans="1:24" x14ac:dyDescent="0.2">
      <c r="A195" s="6" t="s">
        <v>310</v>
      </c>
      <c r="B195" s="51" t="s">
        <v>49</v>
      </c>
      <c r="C195" s="52">
        <v>2500000</v>
      </c>
      <c r="D195" s="53" t="s">
        <v>203</v>
      </c>
      <c r="E195" s="53">
        <v>22</v>
      </c>
      <c r="F195" s="53" t="s">
        <v>141</v>
      </c>
      <c r="G195" s="54">
        <v>510</v>
      </c>
      <c r="H195" s="55">
        <v>-12</v>
      </c>
      <c r="I195" s="55">
        <f>ROUND((Table13[[#This Row],[laatste 5 wed.]]/Table13[[#This Row],['#punten]])*100,1)</f>
        <v>-2.4</v>
      </c>
      <c r="J195" s="53">
        <v>13</v>
      </c>
      <c r="K195" s="53">
        <v>13</v>
      </c>
      <c r="L195" s="53">
        <v>1091</v>
      </c>
      <c r="M195" s="53">
        <v>204</v>
      </c>
      <c r="N195" s="53">
        <f>ROUND(Table13[[#This Row],[Min laatste 5]]/Table13[[#This Row],['#minuten]]*100,1)</f>
        <v>18.7</v>
      </c>
      <c r="O195" s="53">
        <v>0</v>
      </c>
      <c r="P195" s="53">
        <v>0</v>
      </c>
      <c r="Q195" s="85">
        <v>4</v>
      </c>
      <c r="R195" s="53">
        <v>1</v>
      </c>
      <c r="S195" s="53">
        <v>3</v>
      </c>
      <c r="T195" s="56">
        <f>ROUND(Table13[[#This Row],['#punten]]/Table13[[#This Row],['#Wed]],2)</f>
        <v>39.229999999999997</v>
      </c>
      <c r="U195" s="54">
        <f>ROUND(Table13[[#This Row],['#punten]]/Table13[[#This Row],['#minuten]],2)</f>
        <v>0.47</v>
      </c>
      <c r="V195" s="53">
        <f>Table13[[#This Row],[Pt/minuut]]*90</f>
        <v>42.3</v>
      </c>
      <c r="W195" s="53">
        <f>ROUND(Table13[[#This Row],[Prijs]]/Table13[[#This Row],['#punten]],0)</f>
        <v>4902</v>
      </c>
      <c r="X195" s="57">
        <f>ROUND((Table13[[#This Row],[Goals]]+Table13[[#This Row],[Asissts]])/(Table13[[#This Row],['#minuten]]/90),2)</f>
        <v>0</v>
      </c>
    </row>
    <row r="196" spans="1:24" x14ac:dyDescent="0.2">
      <c r="A196" s="6" t="s">
        <v>377</v>
      </c>
      <c r="B196" s="51" t="s">
        <v>49</v>
      </c>
      <c r="C196" s="52">
        <v>3000000</v>
      </c>
      <c r="D196" s="53" t="s">
        <v>203</v>
      </c>
      <c r="E196" s="53">
        <v>25</v>
      </c>
      <c r="F196" s="53" t="s">
        <v>218</v>
      </c>
      <c r="G196" s="54">
        <v>918</v>
      </c>
      <c r="H196" s="55">
        <v>102</v>
      </c>
      <c r="I196" s="55">
        <f>ROUND((Table13[[#This Row],[laatste 5 wed.]]/Table13[[#This Row],['#punten]])*100,1)</f>
        <v>11.1</v>
      </c>
      <c r="J196" s="53">
        <v>16</v>
      </c>
      <c r="K196" s="53">
        <v>14</v>
      </c>
      <c r="L196" s="53">
        <v>1227</v>
      </c>
      <c r="M196" s="53">
        <v>298</v>
      </c>
      <c r="N196" s="53">
        <f>ROUND(Table13[[#This Row],[Min laatste 5]]/Table13[[#This Row],['#minuten]]*100,1)</f>
        <v>24.3</v>
      </c>
      <c r="O196" s="53">
        <v>0</v>
      </c>
      <c r="P196" s="53">
        <v>2</v>
      </c>
      <c r="Q196" s="85">
        <v>0</v>
      </c>
      <c r="R196" s="53">
        <v>0</v>
      </c>
      <c r="S196" s="53">
        <v>4</v>
      </c>
      <c r="T196" s="56">
        <f>ROUND(Table13[[#This Row],['#punten]]/Table13[[#This Row],['#Wed]],2)</f>
        <v>57.38</v>
      </c>
      <c r="U196" s="54">
        <f>ROUND(Table13[[#This Row],['#punten]]/Table13[[#This Row],['#minuten]],2)</f>
        <v>0.75</v>
      </c>
      <c r="V196" s="53">
        <f>Table13[[#This Row],[Pt/minuut]]*90</f>
        <v>67.5</v>
      </c>
      <c r="W196" s="53">
        <f>ROUND(Table13[[#This Row],[Prijs]]/Table13[[#This Row],['#punten]],0)</f>
        <v>3268</v>
      </c>
      <c r="X196" s="57">
        <f>ROUND((Table13[[#This Row],[Goals]]+Table13[[#This Row],[Asissts]])/(Table13[[#This Row],['#minuten]]/90),2)</f>
        <v>0.15</v>
      </c>
    </row>
    <row r="197" spans="1:24" x14ac:dyDescent="0.2">
      <c r="A197" s="6" t="s">
        <v>20</v>
      </c>
      <c r="B197" s="51" t="s">
        <v>49</v>
      </c>
      <c r="C197" s="52">
        <v>3000000</v>
      </c>
      <c r="D197" s="53" t="s">
        <v>203</v>
      </c>
      <c r="E197" s="53">
        <v>26</v>
      </c>
      <c r="F197" s="53" t="s">
        <v>141</v>
      </c>
      <c r="G197" s="54">
        <v>204</v>
      </c>
      <c r="H197" s="55">
        <v>108</v>
      </c>
      <c r="I197" s="55">
        <f>ROUND((Table13[[#This Row],[laatste 5 wed.]]/Table13[[#This Row],['#punten]])*100,1)</f>
        <v>52.9</v>
      </c>
      <c r="J197" s="53">
        <v>8</v>
      </c>
      <c r="K197" s="53">
        <v>6</v>
      </c>
      <c r="L197" s="53">
        <v>594</v>
      </c>
      <c r="M197" s="53">
        <v>430</v>
      </c>
      <c r="N197" s="53">
        <f>ROUND(Table13[[#This Row],[Min laatste 5]]/Table13[[#This Row],['#minuten]]*100,1)</f>
        <v>72.400000000000006</v>
      </c>
      <c r="O197" s="53">
        <v>0</v>
      </c>
      <c r="P197" s="53">
        <v>0</v>
      </c>
      <c r="Q197" s="85">
        <v>1</v>
      </c>
      <c r="R197" s="53">
        <v>0</v>
      </c>
      <c r="S197" s="53">
        <v>0</v>
      </c>
      <c r="T197" s="56">
        <f>ROUND(Table13[[#This Row],['#punten]]/Table13[[#This Row],['#Wed]],2)</f>
        <v>25.5</v>
      </c>
      <c r="U197" s="54">
        <f>ROUND(Table13[[#This Row],['#punten]]/Table13[[#This Row],['#minuten]],2)</f>
        <v>0.34</v>
      </c>
      <c r="V197" s="53">
        <f>Table13[[#This Row],[Pt/minuut]]*90</f>
        <v>30.6</v>
      </c>
      <c r="W197" s="53">
        <f>ROUND(Table13[[#This Row],[Prijs]]/Table13[[#This Row],['#punten]],0)</f>
        <v>14706</v>
      </c>
      <c r="X197" s="57">
        <f>ROUND((Table13[[#This Row],[Goals]]+Table13[[#This Row],[Asissts]])/(Table13[[#This Row],['#minuten]]/90),2)</f>
        <v>0</v>
      </c>
    </row>
    <row r="198" spans="1:24" x14ac:dyDescent="0.2">
      <c r="A198" s="6" t="s">
        <v>309</v>
      </c>
      <c r="B198" s="51" t="s">
        <v>49</v>
      </c>
      <c r="C198" s="52">
        <v>2500000</v>
      </c>
      <c r="D198" s="53" t="s">
        <v>203</v>
      </c>
      <c r="E198" s="53">
        <v>29</v>
      </c>
      <c r="F198" s="53" t="s">
        <v>141</v>
      </c>
      <c r="G198" s="54">
        <v>760</v>
      </c>
      <c r="H198" s="55">
        <v>34</v>
      </c>
      <c r="I198" s="55">
        <f>ROUND((Table13[[#This Row],[laatste 5 wed.]]/Table13[[#This Row],['#punten]])*100,1)</f>
        <v>4.5</v>
      </c>
      <c r="J198" s="53">
        <v>16</v>
      </c>
      <c r="K198" s="53">
        <v>16</v>
      </c>
      <c r="L198" s="53">
        <v>1271</v>
      </c>
      <c r="M198" s="53">
        <v>379</v>
      </c>
      <c r="N198" s="53">
        <f>ROUND(Table13[[#This Row],[Min laatste 5]]/Table13[[#This Row],['#minuten]]*100,1)</f>
        <v>29.8</v>
      </c>
      <c r="O198" s="53">
        <v>1</v>
      </c>
      <c r="P198" s="53">
        <v>0</v>
      </c>
      <c r="Q198" s="85">
        <v>4</v>
      </c>
      <c r="R198" s="53">
        <v>0</v>
      </c>
      <c r="S198" s="53">
        <v>4</v>
      </c>
      <c r="T198" s="56">
        <f>ROUND(Table13[[#This Row],['#punten]]/Table13[[#This Row],['#Wed]],2)</f>
        <v>47.5</v>
      </c>
      <c r="U198" s="54">
        <f>ROUND(Table13[[#This Row],['#punten]]/Table13[[#This Row],['#minuten]],2)</f>
        <v>0.6</v>
      </c>
      <c r="V198" s="53">
        <f>Table13[[#This Row],[Pt/minuut]]*90</f>
        <v>54</v>
      </c>
      <c r="W198" s="53">
        <f>ROUND(Table13[[#This Row],[Prijs]]/Table13[[#This Row],['#punten]],0)</f>
        <v>3289</v>
      </c>
      <c r="X198" s="57">
        <f>ROUND((Table13[[#This Row],[Goals]]+Table13[[#This Row],[Asissts]])/(Table13[[#This Row],['#minuten]]/90),2)</f>
        <v>7.0000000000000007E-2</v>
      </c>
    </row>
    <row r="199" spans="1:24" x14ac:dyDescent="0.2">
      <c r="A199" s="6" t="s">
        <v>125</v>
      </c>
      <c r="B199" s="51" t="s">
        <v>49</v>
      </c>
      <c r="C199" s="52">
        <v>3500000</v>
      </c>
      <c r="D199" s="53" t="s">
        <v>203</v>
      </c>
      <c r="E199" s="53">
        <v>29</v>
      </c>
      <c r="F199" s="53" t="s">
        <v>141</v>
      </c>
      <c r="G199" s="54">
        <v>144</v>
      </c>
      <c r="H199" s="55">
        <v>90</v>
      </c>
      <c r="I199" s="55">
        <f>ROUND((Table13[[#This Row],[laatste 5 wed.]]/Table13[[#This Row],['#punten]])*100,1)</f>
        <v>62.5</v>
      </c>
      <c r="J199" s="53">
        <v>5</v>
      </c>
      <c r="K199" s="53">
        <v>3</v>
      </c>
      <c r="L199" s="53">
        <v>249</v>
      </c>
      <c r="M199" s="53">
        <v>126</v>
      </c>
      <c r="N199" s="53">
        <f>ROUND(Table13[[#This Row],[Min laatste 5]]/Table13[[#This Row],['#minuten]]*100,1)</f>
        <v>50.6</v>
      </c>
      <c r="O199" s="53">
        <v>0</v>
      </c>
      <c r="P199" s="53">
        <v>1</v>
      </c>
      <c r="Q199" s="85">
        <v>0</v>
      </c>
      <c r="R199" s="53">
        <v>0</v>
      </c>
      <c r="S199" s="53">
        <v>0</v>
      </c>
      <c r="T199" s="56">
        <f>ROUND(Table13[[#This Row],['#punten]]/Table13[[#This Row],['#Wed]],2)</f>
        <v>28.8</v>
      </c>
      <c r="U199" s="54">
        <f>ROUND(Table13[[#This Row],['#punten]]/Table13[[#This Row],['#minuten]],2)</f>
        <v>0.57999999999999996</v>
      </c>
      <c r="V199" s="53">
        <f>Table13[[#This Row],[Pt/minuut]]*90</f>
        <v>52.199999999999996</v>
      </c>
      <c r="W199" s="53">
        <f>ROUND(Table13[[#This Row],[Prijs]]/Table13[[#This Row],['#punten]],0)</f>
        <v>24306</v>
      </c>
      <c r="X199" s="57">
        <f>ROUND((Table13[[#This Row],[Goals]]+Table13[[#This Row],[Asissts]])/(Table13[[#This Row],['#minuten]]/90),2)</f>
        <v>0.36</v>
      </c>
    </row>
    <row r="200" spans="1:24" x14ac:dyDescent="0.2">
      <c r="A200" s="6" t="s">
        <v>382</v>
      </c>
      <c r="B200" s="51" t="s">
        <v>317</v>
      </c>
      <c r="C200" s="52">
        <v>1750000</v>
      </c>
      <c r="D200" s="53" t="s">
        <v>203</v>
      </c>
      <c r="E200" s="53">
        <v>20</v>
      </c>
      <c r="F200" s="53" t="s">
        <v>141</v>
      </c>
      <c r="G200" s="54">
        <v>750</v>
      </c>
      <c r="H200" s="55">
        <v>258</v>
      </c>
      <c r="I200" s="55">
        <f>ROUND((Table13[[#This Row],[laatste 5 wed.]]/Table13[[#This Row],['#punten]])*100,1)</f>
        <v>34.4</v>
      </c>
      <c r="J200" s="53">
        <v>14</v>
      </c>
      <c r="K200" s="53">
        <v>13</v>
      </c>
      <c r="L200" s="53">
        <v>1201</v>
      </c>
      <c r="M200" s="53">
        <v>450</v>
      </c>
      <c r="N200" s="53">
        <f>ROUND(Table13[[#This Row],[Min laatste 5]]/Table13[[#This Row],['#minuten]]*100,1)</f>
        <v>37.5</v>
      </c>
      <c r="O200" s="53">
        <v>2</v>
      </c>
      <c r="P200" s="53">
        <v>1</v>
      </c>
      <c r="Q200" s="85">
        <v>2</v>
      </c>
      <c r="R200" s="53">
        <v>0</v>
      </c>
      <c r="S200" s="53">
        <v>2</v>
      </c>
      <c r="T200" s="56">
        <f>ROUND(Table13[[#This Row],['#punten]]/Table13[[#This Row],['#Wed]],2)</f>
        <v>53.57</v>
      </c>
      <c r="U200" s="54">
        <f>ROUND(Table13[[#This Row],['#punten]]/Table13[[#This Row],['#minuten]],2)</f>
        <v>0.62</v>
      </c>
      <c r="V200" s="53">
        <f>Table13[[#This Row],[Pt/minuut]]*90</f>
        <v>55.8</v>
      </c>
      <c r="W200" s="53">
        <f>ROUND(Table13[[#This Row],[Prijs]]/Table13[[#This Row],['#punten]],0)</f>
        <v>2333</v>
      </c>
      <c r="X200" s="57">
        <f>ROUND((Table13[[#This Row],[Goals]]+Table13[[#This Row],[Asissts]])/(Table13[[#This Row],['#minuten]]/90),2)</f>
        <v>0.22</v>
      </c>
    </row>
    <row r="201" spans="1:24" x14ac:dyDescent="0.2">
      <c r="A201" s="6" t="s">
        <v>324</v>
      </c>
      <c r="B201" s="51" t="s">
        <v>317</v>
      </c>
      <c r="C201" s="52">
        <v>1250000</v>
      </c>
      <c r="D201" s="53" t="s">
        <v>203</v>
      </c>
      <c r="E201" s="53">
        <v>23</v>
      </c>
      <c r="F201" s="53" t="s">
        <v>141</v>
      </c>
      <c r="G201" s="54">
        <v>366</v>
      </c>
      <c r="H201" s="55">
        <v>216</v>
      </c>
      <c r="I201" s="55">
        <f>ROUND((Table13[[#This Row],[laatste 5 wed.]]/Table13[[#This Row],['#punten]])*100,1)</f>
        <v>59</v>
      </c>
      <c r="J201" s="53">
        <v>11</v>
      </c>
      <c r="K201" s="53">
        <v>8</v>
      </c>
      <c r="L201" s="53">
        <v>872</v>
      </c>
      <c r="M201" s="53">
        <v>270</v>
      </c>
      <c r="N201" s="53">
        <f>ROUND(Table13[[#This Row],[Min laatste 5]]/Table13[[#This Row],['#minuten]]*100,1)</f>
        <v>31</v>
      </c>
      <c r="O201" s="53">
        <v>0</v>
      </c>
      <c r="P201" s="53">
        <v>0</v>
      </c>
      <c r="Q201" s="85">
        <v>0</v>
      </c>
      <c r="R201" s="53">
        <v>0</v>
      </c>
      <c r="S201" s="53">
        <v>1</v>
      </c>
      <c r="T201" s="56">
        <f>ROUND(Table13[[#This Row],['#punten]]/Table13[[#This Row],['#Wed]],2)</f>
        <v>33.270000000000003</v>
      </c>
      <c r="U201" s="54">
        <f>ROUND(Table13[[#This Row],['#punten]]/Table13[[#This Row],['#minuten]],2)</f>
        <v>0.42</v>
      </c>
      <c r="V201" s="53">
        <f>Table13[[#This Row],[Pt/minuut]]*90</f>
        <v>37.799999999999997</v>
      </c>
      <c r="W201" s="53">
        <f>ROUND(Table13[[#This Row],[Prijs]]/Table13[[#This Row],['#punten]],0)</f>
        <v>3415</v>
      </c>
      <c r="X201" s="57">
        <f>ROUND((Table13[[#This Row],[Goals]]+Table13[[#This Row],[Asissts]])/(Table13[[#This Row],['#minuten]]/90),2)</f>
        <v>0</v>
      </c>
    </row>
    <row r="202" spans="1:24" x14ac:dyDescent="0.2">
      <c r="A202" s="6" t="s">
        <v>327</v>
      </c>
      <c r="B202" s="51" t="s">
        <v>317</v>
      </c>
      <c r="C202" s="52">
        <v>1750000</v>
      </c>
      <c r="D202" s="53" t="s">
        <v>203</v>
      </c>
      <c r="E202" s="53">
        <v>26</v>
      </c>
      <c r="F202" s="53" t="s">
        <v>141</v>
      </c>
      <c r="G202" s="54">
        <v>438</v>
      </c>
      <c r="H202" s="55">
        <v>306</v>
      </c>
      <c r="I202" s="55">
        <f>ROUND((Table13[[#This Row],[laatste 5 wed.]]/Table13[[#This Row],['#punten]])*100,1)</f>
        <v>69.900000000000006</v>
      </c>
      <c r="J202" s="53">
        <v>13</v>
      </c>
      <c r="K202" s="53">
        <v>12</v>
      </c>
      <c r="L202" s="53">
        <v>1012</v>
      </c>
      <c r="M202" s="53">
        <v>450</v>
      </c>
      <c r="N202" s="53">
        <f>ROUND(Table13[[#This Row],[Min laatste 5]]/Table13[[#This Row],['#minuten]]*100,1)</f>
        <v>44.5</v>
      </c>
      <c r="O202" s="53">
        <v>0</v>
      </c>
      <c r="P202" s="53">
        <v>1</v>
      </c>
      <c r="Q202" s="85">
        <v>0</v>
      </c>
      <c r="R202" s="53">
        <v>0</v>
      </c>
      <c r="S202" s="53">
        <v>1</v>
      </c>
      <c r="T202" s="56">
        <f>ROUND(Table13[[#This Row],['#punten]]/Table13[[#This Row],['#Wed]],2)</f>
        <v>33.69</v>
      </c>
      <c r="U202" s="54">
        <f>ROUND(Table13[[#This Row],['#punten]]/Table13[[#This Row],['#minuten]],2)</f>
        <v>0.43</v>
      </c>
      <c r="V202" s="53">
        <f>Table13[[#This Row],[Pt/minuut]]*90</f>
        <v>38.700000000000003</v>
      </c>
      <c r="W202" s="53">
        <f>ROUND(Table13[[#This Row],[Prijs]]/Table13[[#This Row],['#punten]],0)</f>
        <v>3995</v>
      </c>
      <c r="X202" s="57">
        <f>ROUND((Table13[[#This Row],[Goals]]+Table13[[#This Row],[Asissts]])/(Table13[[#This Row],['#minuten]]/90),2)</f>
        <v>0.09</v>
      </c>
    </row>
    <row r="203" spans="1:24" x14ac:dyDescent="0.2">
      <c r="A203" s="6" t="s">
        <v>532</v>
      </c>
      <c r="B203" s="28" t="s">
        <v>317</v>
      </c>
      <c r="C203" s="29">
        <v>1250000</v>
      </c>
      <c r="D203" s="30" t="s">
        <v>203</v>
      </c>
      <c r="E203" s="30">
        <v>21</v>
      </c>
      <c r="F203" s="30" t="s">
        <v>141</v>
      </c>
      <c r="G203" s="31">
        <v>0</v>
      </c>
      <c r="H203" s="32">
        <v>0</v>
      </c>
      <c r="I203" s="32">
        <v>0</v>
      </c>
      <c r="J203" s="30">
        <v>7</v>
      </c>
      <c r="K203" s="30">
        <v>6</v>
      </c>
      <c r="L203" s="30">
        <v>494</v>
      </c>
      <c r="M203" s="30">
        <v>180</v>
      </c>
      <c r="N203" s="30">
        <f>ROUND(Table13[[#This Row],[Min laatste 5]]/Table13[[#This Row],['#minuten]]*100,1)</f>
        <v>36.4</v>
      </c>
      <c r="O203" s="30">
        <v>0</v>
      </c>
      <c r="P203" s="30">
        <v>0</v>
      </c>
      <c r="Q203" s="48">
        <v>1</v>
      </c>
      <c r="R203" s="30">
        <v>0</v>
      </c>
      <c r="S203" s="30">
        <v>1</v>
      </c>
      <c r="T203" s="33">
        <f>ROUND(Table13[[#This Row],['#punten]]/Table13[[#This Row],['#Wed]],2)</f>
        <v>0</v>
      </c>
      <c r="U203" s="31">
        <v>0</v>
      </c>
      <c r="V203" s="30">
        <v>0</v>
      </c>
      <c r="W203" s="53">
        <v>0</v>
      </c>
      <c r="X203" s="34">
        <f>ROUND((Table13[[#This Row],[Goals]]+Table13[[#This Row],[Asissts]])/(Table13[[#This Row],['#minuten]]/90),2)</f>
        <v>0</v>
      </c>
    </row>
    <row r="204" spans="1:24" x14ac:dyDescent="0.2">
      <c r="A204" s="6" t="s">
        <v>526</v>
      </c>
      <c r="B204" s="51" t="s">
        <v>50</v>
      </c>
      <c r="C204" s="52">
        <v>500000</v>
      </c>
      <c r="D204" s="53" t="s">
        <v>203</v>
      </c>
      <c r="E204" s="53">
        <v>19</v>
      </c>
      <c r="F204" s="53" t="s">
        <v>141</v>
      </c>
      <c r="G204" s="54">
        <v>90</v>
      </c>
      <c r="H204" s="55">
        <v>90</v>
      </c>
      <c r="I204" s="55">
        <f>ROUND((Table13[[#This Row],[laatste 5 wed.]]/Table13[[#This Row],['#punten]])*100,1)</f>
        <v>100</v>
      </c>
      <c r="J204" s="53">
        <v>4</v>
      </c>
      <c r="K204" s="53">
        <v>2</v>
      </c>
      <c r="L204" s="53">
        <v>191</v>
      </c>
      <c r="M204" s="53">
        <v>185</v>
      </c>
      <c r="N204" s="53">
        <f>ROUND(Table13[[#This Row],[Min laatste 5]]/Table13[[#This Row],['#minuten]]*100,1)</f>
        <v>96.9</v>
      </c>
      <c r="O204" s="53">
        <v>0</v>
      </c>
      <c r="P204" s="53">
        <v>0</v>
      </c>
      <c r="Q204" s="85">
        <v>0</v>
      </c>
      <c r="R204" s="53">
        <v>0</v>
      </c>
      <c r="S204" s="53">
        <v>1</v>
      </c>
      <c r="T204" s="56">
        <f>ROUND(Table13[[#This Row],['#punten]]/Table13[[#This Row],['#Wed]],2)</f>
        <v>22.5</v>
      </c>
      <c r="U204" s="54">
        <f>ROUND(Table13[[#This Row],['#punten]]/Table13[[#This Row],['#minuten]],2)</f>
        <v>0.47</v>
      </c>
      <c r="V204" s="53">
        <f>Table13[[#This Row],[Pt/minuut]]*90</f>
        <v>42.3</v>
      </c>
      <c r="W204" s="53">
        <f>ROUND(Table13[[#This Row],[Prijs]]/Table13[[#This Row],['#punten]],0)</f>
        <v>5556</v>
      </c>
      <c r="X204" s="57">
        <f>ROUND((Table13[[#This Row],[Goals]]+Table13[[#This Row],[Asissts]])/(Table13[[#This Row],['#minuten]]/90),2)</f>
        <v>0</v>
      </c>
    </row>
    <row r="205" spans="1:24" x14ac:dyDescent="0.2">
      <c r="A205" s="6" t="s">
        <v>348</v>
      </c>
      <c r="B205" s="51" t="s">
        <v>51</v>
      </c>
      <c r="C205" s="52">
        <v>1000000</v>
      </c>
      <c r="D205" s="53" t="s">
        <v>203</v>
      </c>
      <c r="E205" s="53">
        <v>21</v>
      </c>
      <c r="F205" s="53" t="s">
        <v>141</v>
      </c>
      <c r="G205" s="54">
        <v>54</v>
      </c>
      <c r="H205" s="55">
        <v>66</v>
      </c>
      <c r="I205" s="55">
        <f>ROUND((Table13[[#This Row],[laatste 5 wed.]]/Table13[[#This Row],['#punten]])*100,1)</f>
        <v>122.2</v>
      </c>
      <c r="J205" s="53">
        <v>6</v>
      </c>
      <c r="K205" s="53">
        <v>5</v>
      </c>
      <c r="L205" s="53">
        <v>408</v>
      </c>
      <c r="M205" s="53">
        <v>164</v>
      </c>
      <c r="N205" s="53">
        <f>ROUND(Table13[[#This Row],[Min laatste 5]]/Table13[[#This Row],['#minuten]]*100,1)</f>
        <v>40.200000000000003</v>
      </c>
      <c r="O205" s="53">
        <v>0</v>
      </c>
      <c r="P205" s="53">
        <v>0</v>
      </c>
      <c r="Q205" s="85">
        <v>1</v>
      </c>
      <c r="R205" s="53">
        <v>0</v>
      </c>
      <c r="S205" s="53">
        <v>0</v>
      </c>
      <c r="T205" s="56">
        <f>ROUND(Table13[[#This Row],['#punten]]/Table13[[#This Row],['#Wed]],2)</f>
        <v>9</v>
      </c>
      <c r="U205" s="54">
        <f>ROUND(Table13[[#This Row],['#punten]]/Table13[[#This Row],['#minuten]],2)</f>
        <v>0.13</v>
      </c>
      <c r="V205" s="53">
        <f>Table13[[#This Row],[Pt/minuut]]*90</f>
        <v>11.700000000000001</v>
      </c>
      <c r="W205" s="53">
        <f>ROUND(Table13[[#This Row],[Prijs]]/Table13[[#This Row],['#punten]],0)</f>
        <v>18519</v>
      </c>
      <c r="X205" s="57">
        <f>ROUND((Table13[[#This Row],[Goals]]+Table13[[#This Row],[Asissts]])/(Table13[[#This Row],['#minuten]]/90),2)</f>
        <v>0</v>
      </c>
    </row>
    <row r="206" spans="1:24" x14ac:dyDescent="0.2">
      <c r="A206" s="6" t="s">
        <v>385</v>
      </c>
      <c r="B206" s="51" t="s">
        <v>51</v>
      </c>
      <c r="C206" s="52">
        <v>1000000</v>
      </c>
      <c r="D206" s="53" t="s">
        <v>203</v>
      </c>
      <c r="E206" s="53">
        <v>26</v>
      </c>
      <c r="F206" s="53" t="s">
        <v>381</v>
      </c>
      <c r="G206" s="54">
        <v>378</v>
      </c>
      <c r="H206" s="55">
        <v>-12</v>
      </c>
      <c r="I206" s="55">
        <f>ROUND((Table13[[#This Row],[laatste 5 wed.]]/Table13[[#This Row],['#punten]])*100,1)</f>
        <v>-3.2</v>
      </c>
      <c r="J206" s="53">
        <v>13</v>
      </c>
      <c r="K206" s="53">
        <v>12</v>
      </c>
      <c r="L206" s="53">
        <v>975</v>
      </c>
      <c r="M206" s="53">
        <v>241</v>
      </c>
      <c r="N206" s="53">
        <f>ROUND(Table13[[#This Row],[Min laatste 5]]/Table13[[#This Row],['#minuten]]*100,1)</f>
        <v>24.7</v>
      </c>
      <c r="O206" s="53">
        <v>3</v>
      </c>
      <c r="P206" s="53">
        <v>0</v>
      </c>
      <c r="Q206" s="85">
        <v>1</v>
      </c>
      <c r="R206" s="53">
        <v>1</v>
      </c>
      <c r="S206" s="53">
        <v>0</v>
      </c>
      <c r="T206" s="56">
        <f>ROUND(Table13[[#This Row],['#punten]]/Table13[[#This Row],['#Wed]],2)</f>
        <v>29.08</v>
      </c>
      <c r="U206" s="54">
        <f>ROUND(Table13[[#This Row],['#punten]]/Table13[[#This Row],['#minuten]],2)</f>
        <v>0.39</v>
      </c>
      <c r="V206" s="53">
        <f>Table13[[#This Row],[Pt/minuut]]*90</f>
        <v>35.1</v>
      </c>
      <c r="W206" s="53">
        <f>ROUND(Table13[[#This Row],[Prijs]]/Table13[[#This Row],['#punten]],0)</f>
        <v>2646</v>
      </c>
      <c r="X206" s="57">
        <f>ROUND((Table13[[#This Row],[Goals]]+Table13[[#This Row],[Asissts]])/(Table13[[#This Row],['#minuten]]/90),2)</f>
        <v>0.28000000000000003</v>
      </c>
    </row>
    <row r="207" spans="1:24" x14ac:dyDescent="0.2">
      <c r="A207" s="6" t="s">
        <v>347</v>
      </c>
      <c r="B207" s="51" t="s">
        <v>51</v>
      </c>
      <c r="C207" s="52">
        <v>1000000</v>
      </c>
      <c r="D207" s="53" t="s">
        <v>203</v>
      </c>
      <c r="E207" s="53">
        <v>27</v>
      </c>
      <c r="F207" s="53" t="s">
        <v>141</v>
      </c>
      <c r="G207" s="54">
        <v>354</v>
      </c>
      <c r="H207" s="55">
        <v>54</v>
      </c>
      <c r="I207" s="55">
        <f>ROUND((Table13[[#This Row],[laatste 5 wed.]]/Table13[[#This Row],['#punten]])*100,1)</f>
        <v>15.3</v>
      </c>
      <c r="J207" s="53">
        <v>16</v>
      </c>
      <c r="K207" s="53">
        <v>16</v>
      </c>
      <c r="L207" s="53">
        <v>1397</v>
      </c>
      <c r="M207" s="53">
        <v>354</v>
      </c>
      <c r="N207" s="53">
        <f>ROUND(Table13[[#This Row],[Min laatste 5]]/Table13[[#This Row],['#minuten]]*100,1)</f>
        <v>25.3</v>
      </c>
      <c r="O207" s="53">
        <v>0</v>
      </c>
      <c r="P207" s="53">
        <v>1</v>
      </c>
      <c r="Q207" s="85">
        <v>0</v>
      </c>
      <c r="R207" s="53">
        <v>0</v>
      </c>
      <c r="S207" s="53">
        <v>1</v>
      </c>
      <c r="T207" s="56">
        <f>ROUND(Table13[[#This Row],['#punten]]/Table13[[#This Row],['#Wed]],2)</f>
        <v>22.13</v>
      </c>
      <c r="U207" s="54">
        <f>ROUND(Table13[[#This Row],['#punten]]/Table13[[#This Row],['#minuten]],2)</f>
        <v>0.25</v>
      </c>
      <c r="V207" s="53">
        <f>Table13[[#This Row],[Pt/minuut]]*90</f>
        <v>22.5</v>
      </c>
      <c r="W207" s="53">
        <f>ROUND(Table13[[#This Row],[Prijs]]/Table13[[#This Row],['#punten]],0)</f>
        <v>2825</v>
      </c>
      <c r="X207" s="57">
        <f>ROUND((Table13[[#This Row],[Goals]]+Table13[[#This Row],[Asissts]])/(Table13[[#This Row],['#minuten]]/90),2)</f>
        <v>0.06</v>
      </c>
    </row>
  </sheetData>
  <phoneticPr fontId="28" type="noConversion"/>
  <pageMargins left="0.7" right="0.7" top="0.75" bottom="0.75" header="0.3" footer="0.3"/>
  <ignoredErrors>
    <ignoredError sqref="I208:Z208 Z203 Z204:Z207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93B9-4CDD-844A-BAC3-66A69C52532A}">
  <dimension ref="A1:R218"/>
  <sheetViews>
    <sheetView zoomScale="87" workbookViewId="0">
      <selection activeCell="I146" sqref="I146"/>
    </sheetView>
  </sheetViews>
  <sheetFormatPr baseColWidth="10" defaultRowHeight="16" x14ac:dyDescent="0.2"/>
  <cols>
    <col min="8" max="8" width="10.83203125" style="1"/>
    <col min="9" max="9" width="27.83203125" style="19" customWidth="1"/>
    <col min="11" max="11" width="12.33203125" bestFit="1" customWidth="1"/>
    <col min="18" max="18" width="14.83203125" bestFit="1" customWidth="1"/>
  </cols>
  <sheetData>
    <row r="1" spans="1:18" x14ac:dyDescent="0.2">
      <c r="A1" t="s">
        <v>0</v>
      </c>
      <c r="B1" t="s">
        <v>52</v>
      </c>
      <c r="C1" t="s">
        <v>54</v>
      </c>
      <c r="D1" s="5" t="s">
        <v>57</v>
      </c>
      <c r="E1" t="s">
        <v>562</v>
      </c>
      <c r="F1" t="s">
        <v>563</v>
      </c>
      <c r="G1" t="s">
        <v>564</v>
      </c>
      <c r="H1" s="1" t="s">
        <v>565</v>
      </c>
      <c r="I1" s="19" t="s">
        <v>566</v>
      </c>
      <c r="L1" t="s">
        <v>567</v>
      </c>
      <c r="M1" s="105" t="s">
        <v>574</v>
      </c>
      <c r="N1" s="105"/>
      <c r="O1" t="s">
        <v>575</v>
      </c>
      <c r="P1" t="s">
        <v>576</v>
      </c>
      <c r="Q1" t="s">
        <v>577</v>
      </c>
      <c r="R1" t="s">
        <v>578</v>
      </c>
    </row>
    <row r="2" spans="1:18" x14ac:dyDescent="0.2">
      <c r="A2" s="11" t="s">
        <v>137</v>
      </c>
      <c r="B2" s="21" t="s">
        <v>43</v>
      </c>
      <c r="C2" s="23" t="s">
        <v>135</v>
      </c>
      <c r="D2" s="24">
        <v>684</v>
      </c>
      <c r="E2">
        <v>0</v>
      </c>
      <c r="F2">
        <v>0</v>
      </c>
      <c r="G2">
        <v>0</v>
      </c>
      <c r="H2" s="1">
        <f>SUM(Table135[[#This Row],[17]:[19]])</f>
        <v>0</v>
      </c>
      <c r="I2" s="19">
        <f>SUM(Table135[[#This Row],['#punten]:[19]])</f>
        <v>684</v>
      </c>
      <c r="M2" t="s">
        <v>572</v>
      </c>
      <c r="N2" t="s">
        <v>573</v>
      </c>
    </row>
    <row r="3" spans="1:18" x14ac:dyDescent="0.2">
      <c r="A3" s="39" t="s">
        <v>590</v>
      </c>
      <c r="B3" s="28" t="s">
        <v>43</v>
      </c>
      <c r="C3" s="30" t="s">
        <v>140</v>
      </c>
      <c r="D3" s="31">
        <v>0</v>
      </c>
      <c r="E3">
        <v>0</v>
      </c>
      <c r="F3">
        <v>0</v>
      </c>
      <c r="G3">
        <v>0</v>
      </c>
      <c r="H3" s="1">
        <f>SUM(Table135[[#This Row],[17]:[19]])</f>
        <v>0</v>
      </c>
      <c r="I3" s="19">
        <f>SUM(Table135[[#This Row],['#punten]:[19]])</f>
        <v>0</v>
      </c>
      <c r="K3" t="s">
        <v>568</v>
      </c>
      <c r="L3">
        <v>36</v>
      </c>
      <c r="M3">
        <v>18</v>
      </c>
      <c r="N3">
        <v>6</v>
      </c>
      <c r="O3">
        <v>128</v>
      </c>
      <c r="P3">
        <v>64</v>
      </c>
      <c r="Q3">
        <v>64</v>
      </c>
      <c r="R3">
        <v>-24</v>
      </c>
    </row>
    <row r="4" spans="1:18" x14ac:dyDescent="0.2">
      <c r="A4" s="39" t="s">
        <v>145</v>
      </c>
      <c r="B4" s="51" t="s">
        <v>43</v>
      </c>
      <c r="C4" s="53" t="s">
        <v>140</v>
      </c>
      <c r="D4" s="54">
        <v>506</v>
      </c>
      <c r="E4">
        <v>0</v>
      </c>
      <c r="F4">
        <v>0</v>
      </c>
      <c r="G4">
        <v>0</v>
      </c>
      <c r="H4" s="1">
        <f>SUM(Table135[[#This Row],[17]:[19]])</f>
        <v>0</v>
      </c>
      <c r="I4" s="19">
        <f>SUM(Table135[[#This Row],['#punten]:[19]])</f>
        <v>506</v>
      </c>
      <c r="K4" t="s">
        <v>569</v>
      </c>
      <c r="L4">
        <v>36</v>
      </c>
      <c r="M4">
        <v>18</v>
      </c>
      <c r="N4">
        <v>6</v>
      </c>
      <c r="O4">
        <v>96</v>
      </c>
      <c r="P4">
        <v>48</v>
      </c>
      <c r="Q4">
        <v>48</v>
      </c>
      <c r="R4">
        <v>-24</v>
      </c>
    </row>
    <row r="5" spans="1:18" x14ac:dyDescent="0.2">
      <c r="A5" s="6" t="s">
        <v>152</v>
      </c>
      <c r="B5" s="28" t="s">
        <v>43</v>
      </c>
      <c r="C5" s="30" t="s">
        <v>203</v>
      </c>
      <c r="D5" s="31">
        <v>396</v>
      </c>
      <c r="E5">
        <v>30</v>
      </c>
      <c r="F5">
        <v>0</v>
      </c>
      <c r="G5">
        <v>0</v>
      </c>
      <c r="H5" s="1">
        <f>SUM(Table135[[#This Row],[17]:[19]])</f>
        <v>30</v>
      </c>
      <c r="I5" s="19">
        <f>SUM(Table135[[#This Row],['#punten]:[19]])</f>
        <v>426</v>
      </c>
      <c r="K5" t="s">
        <v>570</v>
      </c>
      <c r="L5">
        <v>28</v>
      </c>
      <c r="M5">
        <v>18</v>
      </c>
      <c r="N5">
        <v>6</v>
      </c>
      <c r="O5">
        <v>80</v>
      </c>
      <c r="P5">
        <v>40</v>
      </c>
      <c r="Q5">
        <v>24</v>
      </c>
      <c r="R5">
        <v>-12</v>
      </c>
    </row>
    <row r="6" spans="1:18" x14ac:dyDescent="0.2">
      <c r="A6" s="6" t="s">
        <v>357</v>
      </c>
      <c r="B6" s="28" t="s">
        <v>43</v>
      </c>
      <c r="C6" s="30" t="s">
        <v>203</v>
      </c>
      <c r="D6" s="31">
        <v>144</v>
      </c>
      <c r="E6">
        <v>30</v>
      </c>
      <c r="F6">
        <v>0</v>
      </c>
      <c r="G6">
        <v>0</v>
      </c>
      <c r="H6" s="1">
        <f>SUM(Table135[[#This Row],[17]:[19]])</f>
        <v>30</v>
      </c>
      <c r="I6" s="19">
        <f>SUM(Table135[[#This Row],['#punten]:[19]])</f>
        <v>174</v>
      </c>
      <c r="K6" t="s">
        <v>571</v>
      </c>
      <c r="L6">
        <v>28</v>
      </c>
      <c r="M6">
        <v>18</v>
      </c>
      <c r="N6">
        <v>6</v>
      </c>
      <c r="O6">
        <v>64</v>
      </c>
      <c r="P6">
        <v>32</v>
      </c>
      <c r="Q6">
        <v>0</v>
      </c>
      <c r="R6">
        <v>0</v>
      </c>
    </row>
    <row r="7" spans="1:18" x14ac:dyDescent="0.2">
      <c r="A7" s="2" t="s">
        <v>500</v>
      </c>
      <c r="B7" s="28" t="s">
        <v>43</v>
      </c>
      <c r="C7" s="30" t="s">
        <v>149</v>
      </c>
      <c r="D7" s="31">
        <v>422</v>
      </c>
      <c r="E7">
        <v>30</v>
      </c>
      <c r="F7">
        <v>54</v>
      </c>
      <c r="G7">
        <v>30</v>
      </c>
      <c r="H7" s="1">
        <f>SUM(Table135[[#This Row],[17]:[19]])</f>
        <v>114</v>
      </c>
      <c r="I7" s="19">
        <f>SUM(Table135[[#This Row],['#punten]:[19]])</f>
        <v>536</v>
      </c>
    </row>
    <row r="8" spans="1:18" x14ac:dyDescent="0.2">
      <c r="A8" s="39" t="s">
        <v>146</v>
      </c>
      <c r="B8" s="51" t="s">
        <v>43</v>
      </c>
      <c r="C8" s="53" t="s">
        <v>140</v>
      </c>
      <c r="D8" s="54">
        <v>582</v>
      </c>
      <c r="E8">
        <v>34</v>
      </c>
      <c r="F8">
        <v>86</v>
      </c>
      <c r="G8">
        <v>10</v>
      </c>
      <c r="H8" s="1">
        <f>SUM(Table135[[#This Row],[17]:[19]])</f>
        <v>130</v>
      </c>
      <c r="I8" s="19">
        <f>SUM(Table135[[#This Row],['#punten]:[19]])</f>
        <v>712</v>
      </c>
    </row>
    <row r="9" spans="1:18" x14ac:dyDescent="0.2">
      <c r="A9" s="11" t="s">
        <v>132</v>
      </c>
      <c r="B9" s="21" t="s">
        <v>43</v>
      </c>
      <c r="C9" s="23" t="s">
        <v>135</v>
      </c>
      <c r="D9" s="24">
        <v>918</v>
      </c>
      <c r="E9">
        <v>78</v>
      </c>
      <c r="F9">
        <v>78</v>
      </c>
      <c r="G9">
        <v>0</v>
      </c>
      <c r="H9" s="1">
        <f>SUM(Table135[[#This Row],[17]:[19]])</f>
        <v>156</v>
      </c>
      <c r="I9" s="19">
        <f>SUM(Table135[[#This Row],['#punten]:[19]])</f>
        <v>1074</v>
      </c>
    </row>
    <row r="10" spans="1:18" x14ac:dyDescent="0.2">
      <c r="A10" s="6" t="s">
        <v>151</v>
      </c>
      <c r="B10" s="28" t="s">
        <v>43</v>
      </c>
      <c r="C10" s="30" t="s">
        <v>203</v>
      </c>
      <c r="D10" s="31">
        <v>678</v>
      </c>
      <c r="E10">
        <f>708-678</f>
        <v>30</v>
      </c>
      <c r="F10">
        <v>54</v>
      </c>
      <c r="G10">
        <v>78</v>
      </c>
      <c r="H10" s="1">
        <f>SUM(Table135[[#This Row],[17]:[19]])</f>
        <v>162</v>
      </c>
      <c r="I10" s="19">
        <f>SUM(Table135[[#This Row],['#punten]:[19]])</f>
        <v>840</v>
      </c>
    </row>
    <row r="11" spans="1:18" x14ac:dyDescent="0.2">
      <c r="A11" s="39" t="s">
        <v>147</v>
      </c>
      <c r="B11" s="28" t="s">
        <v>43</v>
      </c>
      <c r="C11" s="30" t="s">
        <v>140</v>
      </c>
      <c r="D11" s="31">
        <v>464</v>
      </c>
      <c r="E11">
        <v>114</v>
      </c>
      <c r="F11">
        <v>22</v>
      </c>
      <c r="G11">
        <v>74</v>
      </c>
      <c r="H11" s="1">
        <f>SUM(Table135[[#This Row],[17]:[19]])</f>
        <v>210</v>
      </c>
      <c r="I11" s="19">
        <f>SUM(Table135[[#This Row],['#punten]:[19]])</f>
        <v>674</v>
      </c>
    </row>
    <row r="12" spans="1:18" x14ac:dyDescent="0.2">
      <c r="A12" s="6" t="s">
        <v>150</v>
      </c>
      <c r="B12" s="21" t="s">
        <v>43</v>
      </c>
      <c r="C12" s="23" t="s">
        <v>203</v>
      </c>
      <c r="D12" s="24">
        <v>498</v>
      </c>
      <c r="E12">
        <v>126</v>
      </c>
      <c r="F12">
        <v>54</v>
      </c>
      <c r="G12">
        <v>78</v>
      </c>
      <c r="H12" s="1">
        <f>SUM(Table135[[#This Row],[17]:[19]])</f>
        <v>258</v>
      </c>
      <c r="I12" s="19">
        <f>SUM(Table135[[#This Row],['#punten]:[19]])</f>
        <v>756</v>
      </c>
    </row>
    <row r="13" spans="1:18" x14ac:dyDescent="0.2">
      <c r="A13" s="39" t="s">
        <v>529</v>
      </c>
      <c r="B13" s="89" t="s">
        <v>43</v>
      </c>
      <c r="C13" s="38" t="s">
        <v>140</v>
      </c>
      <c r="D13" s="90">
        <v>0</v>
      </c>
      <c r="E13">
        <v>10</v>
      </c>
      <c r="F13">
        <v>126</v>
      </c>
      <c r="G13">
        <v>154</v>
      </c>
      <c r="H13" s="1">
        <f>SUM(Table135[[#This Row],[17]:[19]])</f>
        <v>290</v>
      </c>
      <c r="I13" s="19">
        <f>SUM(Table135[[#This Row],['#punten]:[19]])</f>
        <v>290</v>
      </c>
    </row>
    <row r="14" spans="1:18" x14ac:dyDescent="0.2">
      <c r="A14" s="11" t="s">
        <v>139</v>
      </c>
      <c r="B14" s="21" t="s">
        <v>43</v>
      </c>
      <c r="C14" s="23" t="s">
        <v>135</v>
      </c>
      <c r="D14" s="24">
        <v>676</v>
      </c>
      <c r="E14">
        <v>110</v>
      </c>
      <c r="F14">
        <v>110</v>
      </c>
      <c r="G14">
        <v>110</v>
      </c>
      <c r="H14" s="1">
        <f>SUM(Table135[[#This Row],[17]:[19]])</f>
        <v>330</v>
      </c>
      <c r="I14" s="19">
        <f>SUM(Table135[[#This Row],['#punten]:[19]])</f>
        <v>1006</v>
      </c>
    </row>
    <row r="15" spans="1:18" x14ac:dyDescent="0.2">
      <c r="A15" s="11" t="s">
        <v>136</v>
      </c>
      <c r="B15" s="21" t="s">
        <v>43</v>
      </c>
      <c r="C15" s="23" t="s">
        <v>135</v>
      </c>
      <c r="D15" s="24">
        <v>1120</v>
      </c>
      <c r="E15">
        <v>110</v>
      </c>
      <c r="F15">
        <v>110</v>
      </c>
      <c r="G15">
        <v>174</v>
      </c>
      <c r="H15" s="1">
        <f>SUM(Table135[[#This Row],[17]:[19]])</f>
        <v>394</v>
      </c>
      <c r="I15" s="19">
        <f>SUM(Table135[[#This Row],['#punten]:[19]])</f>
        <v>1514</v>
      </c>
    </row>
    <row r="16" spans="1:18" x14ac:dyDescent="0.2">
      <c r="A16" s="39" t="s">
        <v>163</v>
      </c>
      <c r="B16" s="21" t="s">
        <v>159</v>
      </c>
      <c r="C16" s="23" t="s">
        <v>140</v>
      </c>
      <c r="D16" s="24">
        <v>208</v>
      </c>
      <c r="E16">
        <v>0</v>
      </c>
      <c r="F16">
        <v>0</v>
      </c>
      <c r="G16">
        <v>-8</v>
      </c>
      <c r="H16" s="1">
        <f>SUM(Table135[[#This Row],[17]:[19]])</f>
        <v>-8</v>
      </c>
      <c r="I16" s="19">
        <f>SUM(Table135[[#This Row],['#punten]:[19]])</f>
        <v>200</v>
      </c>
    </row>
    <row r="17" spans="1:9" x14ac:dyDescent="0.2">
      <c r="A17" s="11" t="s">
        <v>530</v>
      </c>
      <c r="B17" s="28" t="s">
        <v>159</v>
      </c>
      <c r="C17" s="30" t="s">
        <v>135</v>
      </c>
      <c r="D17" s="31">
        <v>0</v>
      </c>
      <c r="E17">
        <v>0</v>
      </c>
      <c r="F17">
        <v>0</v>
      </c>
      <c r="G17">
        <v>0</v>
      </c>
      <c r="H17" s="1">
        <f>SUM(Table135[[#This Row],[17]:[19]])</f>
        <v>0</v>
      </c>
      <c r="I17" s="19">
        <f>SUM(Table135[[#This Row],['#punten]:[19]])</f>
        <v>0</v>
      </c>
    </row>
    <row r="18" spans="1:9" x14ac:dyDescent="0.2">
      <c r="A18" s="39" t="s">
        <v>162</v>
      </c>
      <c r="B18" s="28" t="s">
        <v>159</v>
      </c>
      <c r="C18" s="30" t="s">
        <v>140</v>
      </c>
      <c r="D18" s="31">
        <v>124</v>
      </c>
      <c r="E18">
        <v>0</v>
      </c>
      <c r="F18">
        <v>0</v>
      </c>
      <c r="G18">
        <v>0</v>
      </c>
      <c r="H18" s="1">
        <f>SUM(Table135[[#This Row],[17]:[19]])</f>
        <v>0</v>
      </c>
      <c r="I18" s="19">
        <f>SUM(Table135[[#This Row],['#punten]:[19]])</f>
        <v>124</v>
      </c>
    </row>
    <row r="19" spans="1:9" x14ac:dyDescent="0.2">
      <c r="A19" s="6" t="s">
        <v>512</v>
      </c>
      <c r="B19" s="51" t="s">
        <v>159</v>
      </c>
      <c r="C19" s="53" t="s">
        <v>203</v>
      </c>
      <c r="D19" s="54">
        <v>582</v>
      </c>
      <c r="E19">
        <v>0</v>
      </c>
      <c r="F19">
        <v>0</v>
      </c>
      <c r="G19">
        <v>12</v>
      </c>
      <c r="H19" s="1">
        <f>SUM(Table135[[#This Row],[17]:[19]])</f>
        <v>12</v>
      </c>
      <c r="I19" s="19">
        <f>SUM(Table135[[#This Row],['#punten]:[19]])</f>
        <v>594</v>
      </c>
    </row>
    <row r="20" spans="1:9" x14ac:dyDescent="0.2">
      <c r="A20" s="39" t="s">
        <v>358</v>
      </c>
      <c r="B20" s="21" t="s">
        <v>159</v>
      </c>
      <c r="C20" s="23" t="s">
        <v>140</v>
      </c>
      <c r="D20" s="24">
        <v>584</v>
      </c>
      <c r="E20">
        <v>0</v>
      </c>
      <c r="F20">
        <v>0</v>
      </c>
      <c r="G20">
        <v>16</v>
      </c>
      <c r="H20" s="1">
        <f>SUM(Table135[[#This Row],[17]:[19]])</f>
        <v>16</v>
      </c>
      <c r="I20" s="19">
        <f>SUM(Table135[[#This Row],['#punten]:[19]])</f>
        <v>600</v>
      </c>
    </row>
    <row r="21" spans="1:9" x14ac:dyDescent="0.2">
      <c r="A21" s="11" t="s">
        <v>511</v>
      </c>
      <c r="B21" s="21" t="s">
        <v>159</v>
      </c>
      <c r="C21" s="23" t="s">
        <v>135</v>
      </c>
      <c r="D21" s="24">
        <v>224</v>
      </c>
      <c r="E21">
        <v>78</v>
      </c>
      <c r="F21">
        <v>34</v>
      </c>
      <c r="G21">
        <v>28</v>
      </c>
      <c r="H21" s="1">
        <f>SUM(Table135[[#This Row],[17]:[19]])</f>
        <v>140</v>
      </c>
      <c r="I21" s="19">
        <f>SUM(Table135[[#This Row],['#punten]:[19]])</f>
        <v>364</v>
      </c>
    </row>
    <row r="22" spans="1:9" x14ac:dyDescent="0.2">
      <c r="A22" s="39" t="s">
        <v>359</v>
      </c>
      <c r="B22" s="21" t="s">
        <v>159</v>
      </c>
      <c r="C22" s="23" t="s">
        <v>140</v>
      </c>
      <c r="D22" s="24">
        <v>368</v>
      </c>
      <c r="E22">
        <v>70</v>
      </c>
      <c r="F22">
        <v>58</v>
      </c>
      <c r="G22">
        <v>16</v>
      </c>
      <c r="H22" s="1">
        <f>SUM(Table135[[#This Row],[17]:[19]])</f>
        <v>144</v>
      </c>
      <c r="I22" s="19">
        <f>SUM(Table135[[#This Row],['#punten]:[19]])</f>
        <v>512</v>
      </c>
    </row>
    <row r="23" spans="1:9" x14ac:dyDescent="0.2">
      <c r="A23" s="39" t="s">
        <v>30</v>
      </c>
      <c r="B23" s="21" t="s">
        <v>159</v>
      </c>
      <c r="C23" s="23" t="s">
        <v>140</v>
      </c>
      <c r="D23" s="24">
        <v>508</v>
      </c>
      <c r="E23">
        <v>70</v>
      </c>
      <c r="F23">
        <v>58</v>
      </c>
      <c r="G23">
        <v>16</v>
      </c>
      <c r="H23" s="1">
        <f>SUM(Table135[[#This Row],[17]:[19]])</f>
        <v>144</v>
      </c>
      <c r="I23" s="19">
        <f>SUM(Table135[[#This Row],['#punten]:[19]])</f>
        <v>652</v>
      </c>
    </row>
    <row r="24" spans="1:9" x14ac:dyDescent="0.2">
      <c r="A24" s="6" t="s">
        <v>585</v>
      </c>
      <c r="B24" s="62" t="s">
        <v>159</v>
      </c>
      <c r="C24" s="60" t="s">
        <v>203</v>
      </c>
      <c r="D24" s="58">
        <f>402-78</f>
        <v>324</v>
      </c>
      <c r="E24">
        <v>78</v>
      </c>
      <c r="F24">
        <v>90</v>
      </c>
      <c r="G24">
        <v>-12</v>
      </c>
      <c r="H24" s="1">
        <f>SUM(Table135[[#This Row],[17]:[19]])</f>
        <v>156</v>
      </c>
      <c r="I24" s="19">
        <f>SUM(Table135[[#This Row],['#punten]:[19]])</f>
        <v>480</v>
      </c>
    </row>
    <row r="25" spans="1:9" x14ac:dyDescent="0.2">
      <c r="A25" s="11" t="s">
        <v>165</v>
      </c>
      <c r="B25" s="51" t="s">
        <v>159</v>
      </c>
      <c r="C25" s="53" t="s">
        <v>135</v>
      </c>
      <c r="D25" s="54">
        <v>912</v>
      </c>
      <c r="E25">
        <v>110</v>
      </c>
      <c r="F25">
        <v>34</v>
      </c>
      <c r="G25">
        <v>28</v>
      </c>
      <c r="H25" s="1">
        <f>SUM(Table135[[#This Row],[17]:[19]])</f>
        <v>172</v>
      </c>
      <c r="I25" s="19">
        <f>SUM(Table135[[#This Row],['#punten]:[19]])</f>
        <v>1084</v>
      </c>
    </row>
    <row r="26" spans="1:9" x14ac:dyDescent="0.2">
      <c r="A26" s="6" t="s">
        <v>586</v>
      </c>
      <c r="B26" s="62" t="s">
        <v>159</v>
      </c>
      <c r="C26" s="60" t="s">
        <v>203</v>
      </c>
      <c r="D26" s="58">
        <f>498-102</f>
        <v>396</v>
      </c>
      <c r="E26">
        <v>102</v>
      </c>
      <c r="F26">
        <v>90</v>
      </c>
      <c r="G26">
        <v>12</v>
      </c>
      <c r="H26" s="1">
        <f>SUM(Table135[[#This Row],[17]:[19]])</f>
        <v>204</v>
      </c>
      <c r="I26" s="19">
        <f>SUM(Table135[[#This Row],['#punten]:[19]])</f>
        <v>600</v>
      </c>
    </row>
    <row r="27" spans="1:9" x14ac:dyDescent="0.2">
      <c r="A27" s="2" t="s">
        <v>161</v>
      </c>
      <c r="B27" s="28" t="s">
        <v>159</v>
      </c>
      <c r="C27" s="30" t="s">
        <v>149</v>
      </c>
      <c r="D27" s="31">
        <v>632</v>
      </c>
      <c r="E27">
        <v>118</v>
      </c>
      <c r="F27">
        <v>106</v>
      </c>
      <c r="G27">
        <v>12</v>
      </c>
      <c r="H27" s="1">
        <f>SUM(Table135[[#This Row],[17]:[19]])</f>
        <v>236</v>
      </c>
      <c r="I27" s="19">
        <f>SUM(Table135[[#This Row],['#punten]:[19]])</f>
        <v>868</v>
      </c>
    </row>
    <row r="28" spans="1:9" x14ac:dyDescent="0.2">
      <c r="A28" s="39" t="s">
        <v>589</v>
      </c>
      <c r="B28" s="28" t="s">
        <v>6</v>
      </c>
      <c r="C28" s="30" t="s">
        <v>140</v>
      </c>
      <c r="D28" s="31">
        <v>0</v>
      </c>
      <c r="E28">
        <v>0</v>
      </c>
      <c r="F28">
        <v>-2</v>
      </c>
      <c r="G28">
        <v>0</v>
      </c>
      <c r="H28" s="1">
        <f>SUM(Table135[[#This Row],[17]:[19]])</f>
        <v>-2</v>
      </c>
      <c r="I28" s="19">
        <f>SUM(Table135[[#This Row],['#punten]:[19]])</f>
        <v>-2</v>
      </c>
    </row>
    <row r="29" spans="1:9" x14ac:dyDescent="0.2">
      <c r="A29" s="11" t="s">
        <v>171</v>
      </c>
      <c r="B29" s="51" t="s">
        <v>6</v>
      </c>
      <c r="C29" s="53" t="s">
        <v>135</v>
      </c>
      <c r="D29" s="54">
        <v>438</v>
      </c>
      <c r="E29">
        <v>0</v>
      </c>
      <c r="F29">
        <v>0</v>
      </c>
      <c r="G29">
        <v>0</v>
      </c>
      <c r="H29" s="1">
        <f>SUM(Table135[[#This Row],[17]:[19]])</f>
        <v>0</v>
      </c>
      <c r="I29" s="19">
        <f>SUM(Table135[[#This Row],['#punten]:[19]])</f>
        <v>438</v>
      </c>
    </row>
    <row r="30" spans="1:9" x14ac:dyDescent="0.2">
      <c r="A30" s="2" t="s">
        <v>181</v>
      </c>
      <c r="B30" s="21" t="s">
        <v>6</v>
      </c>
      <c r="C30" s="23" t="s">
        <v>149</v>
      </c>
      <c r="D30" s="24">
        <v>1098</v>
      </c>
      <c r="E30">
        <v>0</v>
      </c>
      <c r="F30">
        <v>0</v>
      </c>
      <c r="G30">
        <v>0</v>
      </c>
      <c r="H30" s="1">
        <f>SUM(Table135[[#This Row],[17]:[19]])</f>
        <v>0</v>
      </c>
      <c r="I30" s="19">
        <f>SUM(Table135[[#This Row],['#punten]:[19]])</f>
        <v>1098</v>
      </c>
    </row>
    <row r="31" spans="1:9" x14ac:dyDescent="0.2">
      <c r="A31" s="6" t="s">
        <v>126</v>
      </c>
      <c r="B31" s="51" t="s">
        <v>6</v>
      </c>
      <c r="C31" s="53" t="s">
        <v>203</v>
      </c>
      <c r="D31" s="54">
        <v>1182</v>
      </c>
      <c r="E31">
        <v>0</v>
      </c>
      <c r="F31">
        <v>0</v>
      </c>
      <c r="G31">
        <v>0</v>
      </c>
      <c r="H31" s="1">
        <f>SUM(Table135[[#This Row],[17]:[19]])</f>
        <v>0</v>
      </c>
      <c r="I31" s="19">
        <f>SUM(Table135[[#This Row],['#punten]:[19]])</f>
        <v>1182</v>
      </c>
    </row>
    <row r="32" spans="1:9" x14ac:dyDescent="0.2">
      <c r="A32" s="6" t="s">
        <v>533</v>
      </c>
      <c r="B32" s="21" t="s">
        <v>6</v>
      </c>
      <c r="C32" s="23" t="s">
        <v>203</v>
      </c>
      <c r="D32" s="24">
        <v>0</v>
      </c>
      <c r="E32">
        <v>0</v>
      </c>
      <c r="F32">
        <v>0</v>
      </c>
      <c r="G32">
        <v>0</v>
      </c>
      <c r="H32" s="1">
        <f>SUM(Table135[[#This Row],[17]:[19]])</f>
        <v>0</v>
      </c>
      <c r="I32" s="19">
        <f>SUM(Table135[[#This Row],['#punten]:[19]])</f>
        <v>0</v>
      </c>
    </row>
    <row r="33" spans="1:18" x14ac:dyDescent="0.2">
      <c r="A33" s="39" t="s">
        <v>176</v>
      </c>
      <c r="B33" s="28" t="s">
        <v>6</v>
      </c>
      <c r="C33" s="30" t="s">
        <v>140</v>
      </c>
      <c r="D33" s="31">
        <v>964</v>
      </c>
      <c r="E33">
        <v>16</v>
      </c>
      <c r="F33">
        <v>-2</v>
      </c>
      <c r="G33">
        <v>-10</v>
      </c>
      <c r="H33" s="1">
        <f>SUM(Table135[[#This Row],[17]:[19]])</f>
        <v>4</v>
      </c>
      <c r="I33" s="19">
        <f>SUM(Table135[[#This Row],['#punten]:[19]])</f>
        <v>968</v>
      </c>
    </row>
    <row r="34" spans="1:18" x14ac:dyDescent="0.2">
      <c r="A34" s="6" t="s">
        <v>180</v>
      </c>
      <c r="B34" s="51" t="s">
        <v>6</v>
      </c>
      <c r="C34" s="53" t="s">
        <v>203</v>
      </c>
      <c r="D34" s="54">
        <v>728</v>
      </c>
      <c r="E34">
        <v>-24</v>
      </c>
      <c r="F34">
        <v>18</v>
      </c>
      <c r="G34">
        <v>18</v>
      </c>
      <c r="H34" s="1">
        <f>SUM(Table135[[#This Row],[17]:[19]])</f>
        <v>12</v>
      </c>
      <c r="I34" s="19">
        <f>SUM(Table135[[#This Row],['#punten]:[19]])</f>
        <v>740</v>
      </c>
    </row>
    <row r="35" spans="1:18" x14ac:dyDescent="0.2">
      <c r="A35" s="6" t="s">
        <v>178</v>
      </c>
      <c r="B35" s="28" t="s">
        <v>6</v>
      </c>
      <c r="C35" s="30" t="s">
        <v>203</v>
      </c>
      <c r="D35" s="31">
        <v>1086</v>
      </c>
      <c r="E35">
        <v>12</v>
      </c>
      <c r="F35">
        <v>0</v>
      </c>
      <c r="G35">
        <v>18</v>
      </c>
      <c r="H35" s="1">
        <f>SUM(Table135[[#This Row],[17]:[19]])</f>
        <v>30</v>
      </c>
      <c r="I35" s="19">
        <f>SUM(Table135[[#This Row],['#punten]:[19]])</f>
        <v>1116</v>
      </c>
    </row>
    <row r="36" spans="1:18" x14ac:dyDescent="0.2">
      <c r="A36" s="39" t="s">
        <v>31</v>
      </c>
      <c r="B36" s="21" t="s">
        <v>6</v>
      </c>
      <c r="C36" s="23" t="s">
        <v>140</v>
      </c>
      <c r="D36" s="24">
        <v>1132</v>
      </c>
      <c r="E36">
        <v>16</v>
      </c>
      <c r="F36">
        <v>22</v>
      </c>
      <c r="G36">
        <v>-2</v>
      </c>
      <c r="H36" s="1">
        <f>SUM(Table135[[#This Row],[17]:[19]])</f>
        <v>36</v>
      </c>
      <c r="I36" s="19">
        <f>SUM(Table135[[#This Row],['#punten]:[19]])</f>
        <v>1168</v>
      </c>
    </row>
    <row r="37" spans="1:18" x14ac:dyDescent="0.2">
      <c r="A37" s="2" t="s">
        <v>531</v>
      </c>
      <c r="B37" s="28" t="s">
        <v>6</v>
      </c>
      <c r="C37" s="30" t="s">
        <v>149</v>
      </c>
      <c r="D37" s="31">
        <v>0</v>
      </c>
      <c r="E37">
        <v>12</v>
      </c>
      <c r="F37">
        <v>18</v>
      </c>
      <c r="G37">
        <v>18</v>
      </c>
      <c r="H37" s="1">
        <f>SUM(Table135[[#This Row],[17]:[19]])</f>
        <v>48</v>
      </c>
      <c r="I37" s="19">
        <f>SUM(Table135[[#This Row],['#punten]:[19]])</f>
        <v>48</v>
      </c>
    </row>
    <row r="38" spans="1:18" x14ac:dyDescent="0.2">
      <c r="A38" s="6" t="s">
        <v>360</v>
      </c>
      <c r="B38" s="28" t="s">
        <v>6</v>
      </c>
      <c r="C38" s="30" t="s">
        <v>203</v>
      </c>
      <c r="D38" s="31">
        <v>762</v>
      </c>
      <c r="E38">
        <v>12</v>
      </c>
      <c r="F38">
        <v>18</v>
      </c>
      <c r="G38">
        <v>18</v>
      </c>
      <c r="H38" s="1">
        <f>SUM(Table135[[#This Row],[17]:[19]])</f>
        <v>48</v>
      </c>
      <c r="I38" s="19">
        <f>SUM(Table135[[#This Row],['#punten]:[19]])</f>
        <v>810</v>
      </c>
      <c r="L38" t="s">
        <v>567</v>
      </c>
      <c r="M38" s="105" t="s">
        <v>574</v>
      </c>
      <c r="N38" s="105"/>
      <c r="O38" t="s">
        <v>575</v>
      </c>
      <c r="P38" t="s">
        <v>576</v>
      </c>
      <c r="Q38" t="s">
        <v>577</v>
      </c>
      <c r="R38" t="s">
        <v>578</v>
      </c>
    </row>
    <row r="39" spans="1:18" x14ac:dyDescent="0.2">
      <c r="A39" s="6" t="s">
        <v>502</v>
      </c>
      <c r="B39" s="28" t="s">
        <v>6</v>
      </c>
      <c r="C39" s="30" t="s">
        <v>203</v>
      </c>
      <c r="D39" s="31">
        <v>318</v>
      </c>
      <c r="E39">
        <f>12-24</f>
        <v>-12</v>
      </c>
      <c r="F39">
        <v>66</v>
      </c>
      <c r="G39">
        <v>0</v>
      </c>
      <c r="H39" s="1">
        <f>SUM(Table135[[#This Row],[17]:[19]])</f>
        <v>54</v>
      </c>
      <c r="I39" s="19">
        <f>SUM(Table135[[#This Row],['#punten]:[19]])</f>
        <v>372</v>
      </c>
      <c r="M39" t="s">
        <v>572</v>
      </c>
      <c r="N39" t="s">
        <v>573</v>
      </c>
    </row>
    <row r="40" spans="1:18" x14ac:dyDescent="0.2">
      <c r="A40" s="11" t="s">
        <v>501</v>
      </c>
      <c r="B40" s="28" t="s">
        <v>6</v>
      </c>
      <c r="C40" s="30" t="s">
        <v>135</v>
      </c>
      <c r="D40" s="31">
        <v>722</v>
      </c>
      <c r="E40">
        <v>60</v>
      </c>
      <c r="F40">
        <v>34</v>
      </c>
      <c r="G40">
        <v>34</v>
      </c>
      <c r="H40" s="1">
        <f>SUM(Table135[[#This Row],[17]:[19]])</f>
        <v>128</v>
      </c>
      <c r="I40" s="19">
        <f>SUM(Table135[[#This Row],['#punten]:[19]])</f>
        <v>850</v>
      </c>
      <c r="K40" t="s">
        <v>568</v>
      </c>
      <c r="L40">
        <v>36</v>
      </c>
      <c r="M40">
        <v>18</v>
      </c>
      <c r="N40">
        <v>6</v>
      </c>
      <c r="O40">
        <v>128</v>
      </c>
      <c r="P40">
        <v>64</v>
      </c>
      <c r="Q40">
        <v>64</v>
      </c>
      <c r="R40">
        <v>-24</v>
      </c>
    </row>
    <row r="41" spans="1:18" x14ac:dyDescent="0.2">
      <c r="A41" s="39" t="s">
        <v>173</v>
      </c>
      <c r="B41" s="51" t="s">
        <v>6</v>
      </c>
      <c r="C41" s="53" t="s">
        <v>140</v>
      </c>
      <c r="D41" s="54">
        <v>720</v>
      </c>
      <c r="E41">
        <v>0</v>
      </c>
      <c r="F41">
        <v>160</v>
      </c>
      <c r="G41">
        <v>-2</v>
      </c>
      <c r="H41" s="1">
        <f>SUM(Table135[[#This Row],[17]:[19]])</f>
        <v>158</v>
      </c>
      <c r="I41" s="19">
        <f>SUM(Table135[[#This Row],['#punten]:[19]])</f>
        <v>878</v>
      </c>
      <c r="K41" t="s">
        <v>569</v>
      </c>
      <c r="L41">
        <v>36</v>
      </c>
      <c r="M41">
        <v>18</v>
      </c>
      <c r="N41">
        <v>6</v>
      </c>
      <c r="O41">
        <v>96</v>
      </c>
      <c r="P41">
        <v>48</v>
      </c>
      <c r="Q41">
        <v>48</v>
      </c>
      <c r="R41">
        <v>-24</v>
      </c>
    </row>
    <row r="42" spans="1:18" x14ac:dyDescent="0.2">
      <c r="A42" s="11" t="s">
        <v>168</v>
      </c>
      <c r="B42" s="21" t="s">
        <v>6</v>
      </c>
      <c r="C42" s="23" t="s">
        <v>135</v>
      </c>
      <c r="D42" s="24">
        <v>1894</v>
      </c>
      <c r="E42">
        <v>28</v>
      </c>
      <c r="F42">
        <v>98</v>
      </c>
      <c r="G42">
        <v>98</v>
      </c>
      <c r="H42" s="1">
        <f>SUM(Table135[[#This Row],[17]:[19]])</f>
        <v>224</v>
      </c>
      <c r="I42" s="19">
        <f>SUM(Table135[[#This Row],['#punten]:[19]])</f>
        <v>2118</v>
      </c>
      <c r="K42" t="s">
        <v>570</v>
      </c>
      <c r="L42">
        <v>28</v>
      </c>
      <c r="M42">
        <v>18</v>
      </c>
      <c r="N42">
        <v>6</v>
      </c>
      <c r="O42">
        <v>80</v>
      </c>
      <c r="P42">
        <v>40</v>
      </c>
      <c r="Q42">
        <v>24</v>
      </c>
      <c r="R42">
        <v>-12</v>
      </c>
    </row>
    <row r="43" spans="1:18" x14ac:dyDescent="0.2">
      <c r="A43" s="11" t="s">
        <v>190</v>
      </c>
      <c r="B43" s="28" t="s">
        <v>44</v>
      </c>
      <c r="C43" s="30" t="s">
        <v>135</v>
      </c>
      <c r="D43" s="31">
        <v>682</v>
      </c>
      <c r="E43">
        <v>64</v>
      </c>
      <c r="F43">
        <v>0</v>
      </c>
      <c r="G43">
        <v>0</v>
      </c>
      <c r="H43" s="1">
        <f>SUM(Table135[[#This Row],[17]:[19]])</f>
        <v>64</v>
      </c>
      <c r="I43" s="19">
        <f>SUM(Table135[[#This Row],['#punten]:[19]])</f>
        <v>746</v>
      </c>
      <c r="K43" t="s">
        <v>571</v>
      </c>
      <c r="L43">
        <v>28</v>
      </c>
      <c r="M43">
        <v>18</v>
      </c>
      <c r="N43">
        <v>6</v>
      </c>
      <c r="O43">
        <v>64</v>
      </c>
      <c r="P43">
        <v>32</v>
      </c>
      <c r="Q43">
        <v>0</v>
      </c>
      <c r="R43">
        <v>0</v>
      </c>
    </row>
    <row r="44" spans="1:18" x14ac:dyDescent="0.2">
      <c r="A44" s="11" t="s">
        <v>191</v>
      </c>
      <c r="B44" s="51" t="s">
        <v>44</v>
      </c>
      <c r="C44" s="53" t="s">
        <v>135</v>
      </c>
      <c r="D44" s="54">
        <v>550</v>
      </c>
      <c r="E44">
        <v>28</v>
      </c>
      <c r="F44">
        <v>86</v>
      </c>
      <c r="G44">
        <v>0</v>
      </c>
      <c r="H44" s="1">
        <f>SUM(Table135[[#This Row],[17]:[19]])</f>
        <v>114</v>
      </c>
      <c r="I44" s="19">
        <f>SUM(Table135[[#This Row],['#punten]:[19]])</f>
        <v>664</v>
      </c>
    </row>
    <row r="45" spans="1:18" x14ac:dyDescent="0.2">
      <c r="A45" s="39" t="s">
        <v>579</v>
      </c>
      <c r="B45" s="62" t="s">
        <v>44</v>
      </c>
      <c r="C45" s="60" t="s">
        <v>140</v>
      </c>
      <c r="D45" s="58">
        <v>42</v>
      </c>
      <c r="E45">
        <v>16</v>
      </c>
      <c r="F45">
        <v>70</v>
      </c>
      <c r="G45">
        <v>34</v>
      </c>
      <c r="H45" s="1">
        <f>SUM(Table135[[#This Row],[17]:[19]])</f>
        <v>120</v>
      </c>
      <c r="I45" s="19">
        <f>SUM(Table135[[#This Row],['#punten]:[19]])</f>
        <v>162</v>
      </c>
    </row>
    <row r="46" spans="1:18" x14ac:dyDescent="0.2">
      <c r="A46" s="39" t="s">
        <v>189</v>
      </c>
      <c r="B46" s="21" t="s">
        <v>44</v>
      </c>
      <c r="C46" s="23" t="s">
        <v>140</v>
      </c>
      <c r="D46" s="24">
        <v>570</v>
      </c>
      <c r="E46">
        <v>16</v>
      </c>
      <c r="F46">
        <v>70</v>
      </c>
      <c r="G46">
        <v>34</v>
      </c>
      <c r="H46" s="1">
        <f>SUM(Table135[[#This Row],[17]:[19]])</f>
        <v>120</v>
      </c>
      <c r="I46" s="19">
        <f>SUM(Table135[[#This Row],['#punten]:[19]])</f>
        <v>690</v>
      </c>
    </row>
    <row r="47" spans="1:18" x14ac:dyDescent="0.2">
      <c r="A47" s="6" t="s">
        <v>186</v>
      </c>
      <c r="B47" s="28" t="s">
        <v>44</v>
      </c>
      <c r="C47" s="30" t="s">
        <v>203</v>
      </c>
      <c r="D47" s="31">
        <v>606</v>
      </c>
      <c r="E47">
        <v>0</v>
      </c>
      <c r="F47">
        <v>102</v>
      </c>
      <c r="G47">
        <v>42</v>
      </c>
      <c r="H47" s="1">
        <f>SUM(Table135[[#This Row],[17]:[19]])</f>
        <v>144</v>
      </c>
      <c r="I47" s="19">
        <f>SUM(Table135[[#This Row],['#punten]:[19]])</f>
        <v>750</v>
      </c>
    </row>
    <row r="48" spans="1:18" x14ac:dyDescent="0.2">
      <c r="A48" s="6" t="s">
        <v>184</v>
      </c>
      <c r="B48" s="62" t="s">
        <v>44</v>
      </c>
      <c r="C48" s="60" t="s">
        <v>203</v>
      </c>
      <c r="D48" s="58">
        <v>576</v>
      </c>
      <c r="E48">
        <v>12</v>
      </c>
      <c r="F48">
        <v>102</v>
      </c>
      <c r="G48">
        <v>42</v>
      </c>
      <c r="H48" s="1">
        <f>SUM(Table135[[#This Row],[17]:[19]])</f>
        <v>156</v>
      </c>
      <c r="I48" s="19">
        <f>SUM(Table135[[#This Row],['#punten]:[19]])</f>
        <v>732</v>
      </c>
    </row>
    <row r="49" spans="1:9" x14ac:dyDescent="0.2">
      <c r="A49" s="6" t="s">
        <v>362</v>
      </c>
      <c r="B49" s="21" t="s">
        <v>44</v>
      </c>
      <c r="C49" s="23" t="s">
        <v>203</v>
      </c>
      <c r="D49" s="24">
        <v>558</v>
      </c>
      <c r="E49">
        <v>12</v>
      </c>
      <c r="F49">
        <v>102</v>
      </c>
      <c r="G49">
        <v>42</v>
      </c>
      <c r="H49" s="1">
        <f>SUM(Table135[[#This Row],[17]:[19]])</f>
        <v>156</v>
      </c>
      <c r="I49" s="19">
        <f>SUM(Table135[[#This Row],['#punten]:[19]])</f>
        <v>714</v>
      </c>
    </row>
    <row r="50" spans="1:9" x14ac:dyDescent="0.2">
      <c r="A50" s="39" t="s">
        <v>29</v>
      </c>
      <c r="B50" s="28" t="s">
        <v>44</v>
      </c>
      <c r="C50" s="30" t="s">
        <v>140</v>
      </c>
      <c r="D50" s="31">
        <v>58</v>
      </c>
      <c r="E50">
        <v>16</v>
      </c>
      <c r="F50">
        <v>110</v>
      </c>
      <c r="G50">
        <v>34</v>
      </c>
      <c r="H50" s="1">
        <f>SUM(Table135[[#This Row],[17]:[19]])</f>
        <v>160</v>
      </c>
      <c r="I50" s="19">
        <f>SUM(Table135[[#This Row],['#punten]:[19]])</f>
        <v>218</v>
      </c>
    </row>
    <row r="51" spans="1:9" x14ac:dyDescent="0.2">
      <c r="A51" s="2" t="s">
        <v>183</v>
      </c>
      <c r="B51" s="21" t="s">
        <v>44</v>
      </c>
      <c r="C51" s="23" t="s">
        <v>149</v>
      </c>
      <c r="D51" s="24">
        <v>558</v>
      </c>
      <c r="E51">
        <v>12</v>
      </c>
      <c r="F51">
        <v>118</v>
      </c>
      <c r="G51">
        <v>42</v>
      </c>
      <c r="H51" s="1">
        <f>SUM(Table135[[#This Row],[17]:[19]])</f>
        <v>172</v>
      </c>
      <c r="I51" s="19">
        <f>SUM(Table135[[#This Row],['#punten]:[19]])</f>
        <v>730</v>
      </c>
    </row>
    <row r="52" spans="1:9" x14ac:dyDescent="0.2">
      <c r="A52" s="11" t="s">
        <v>515</v>
      </c>
      <c r="B52" s="28" t="s">
        <v>44</v>
      </c>
      <c r="C52" s="30" t="s">
        <v>135</v>
      </c>
      <c r="D52" s="31">
        <v>696</v>
      </c>
      <c r="E52">
        <v>28</v>
      </c>
      <c r="F52">
        <v>86</v>
      </c>
      <c r="G52">
        <v>66</v>
      </c>
      <c r="H52" s="1">
        <f>SUM(Table135[[#This Row],[17]:[19]])</f>
        <v>180</v>
      </c>
      <c r="I52" s="19">
        <f>SUM(Table135[[#This Row],['#punten]:[19]])</f>
        <v>876</v>
      </c>
    </row>
    <row r="53" spans="1:9" x14ac:dyDescent="0.2">
      <c r="A53" s="11" t="s">
        <v>513</v>
      </c>
      <c r="B53" s="28" t="s">
        <v>44</v>
      </c>
      <c r="C53" s="30" t="s">
        <v>135</v>
      </c>
      <c r="D53" s="31">
        <v>720</v>
      </c>
      <c r="E53">
        <v>28</v>
      </c>
      <c r="F53">
        <v>142</v>
      </c>
      <c r="G53">
        <v>34</v>
      </c>
      <c r="H53" s="1">
        <f>SUM(Table135[[#This Row],[17]:[19]])</f>
        <v>204</v>
      </c>
      <c r="I53" s="19">
        <f>SUM(Table135[[#This Row],['#punten]:[19]])</f>
        <v>924</v>
      </c>
    </row>
    <row r="54" spans="1:9" x14ac:dyDescent="0.2">
      <c r="A54" s="6" t="s">
        <v>361</v>
      </c>
      <c r="B54" s="21" t="s">
        <v>44</v>
      </c>
      <c r="C54" s="23" t="s">
        <v>203</v>
      </c>
      <c r="D54" s="24">
        <v>630</v>
      </c>
      <c r="E54">
        <v>12</v>
      </c>
      <c r="F54">
        <v>102</v>
      </c>
      <c r="G54">
        <v>138</v>
      </c>
      <c r="H54" s="1">
        <f>SUM(Table135[[#This Row],[17]:[19]])</f>
        <v>252</v>
      </c>
      <c r="I54" s="19">
        <f>SUM(Table135[[#This Row],['#punten]:[19]])</f>
        <v>882</v>
      </c>
    </row>
    <row r="55" spans="1:9" x14ac:dyDescent="0.2">
      <c r="A55" s="11" t="s">
        <v>197</v>
      </c>
      <c r="B55" s="21" t="s">
        <v>45</v>
      </c>
      <c r="C55" s="23" t="s">
        <v>135</v>
      </c>
      <c r="D55" s="24">
        <v>724</v>
      </c>
      <c r="E55">
        <v>0</v>
      </c>
      <c r="F55">
        <v>0</v>
      </c>
      <c r="G55">
        <v>0</v>
      </c>
      <c r="H55" s="1">
        <f>SUM(Table135[[#This Row],[17]:[19]])</f>
        <v>0</v>
      </c>
      <c r="I55" s="19">
        <f>SUM(Table135[[#This Row],['#punten]:[19]])</f>
        <v>724</v>
      </c>
    </row>
    <row r="56" spans="1:9" x14ac:dyDescent="0.2">
      <c r="A56" s="11" t="s">
        <v>194</v>
      </c>
      <c r="B56" s="28" t="s">
        <v>45</v>
      </c>
      <c r="C56" s="30" t="s">
        <v>135</v>
      </c>
      <c r="D56" s="31">
        <v>428</v>
      </c>
      <c r="E56">
        <v>0</v>
      </c>
      <c r="F56">
        <v>0</v>
      </c>
      <c r="G56">
        <v>0</v>
      </c>
      <c r="H56" s="1">
        <f>SUM(Table135[[#This Row],[17]:[19]])</f>
        <v>0</v>
      </c>
      <c r="I56" s="19">
        <f>SUM(Table135[[#This Row],['#punten]:[19]])</f>
        <v>428</v>
      </c>
    </row>
    <row r="57" spans="1:9" x14ac:dyDescent="0.2">
      <c r="A57" s="2" t="s">
        <v>199</v>
      </c>
      <c r="B57" s="28" t="s">
        <v>45</v>
      </c>
      <c r="C57" s="30" t="s">
        <v>149</v>
      </c>
      <c r="D57" s="31">
        <v>446</v>
      </c>
      <c r="E57">
        <v>0</v>
      </c>
      <c r="F57">
        <v>0</v>
      </c>
      <c r="G57">
        <v>0</v>
      </c>
      <c r="H57" s="1">
        <f>SUM(Table135[[#This Row],[17]:[19]])</f>
        <v>0</v>
      </c>
      <c r="I57" s="19">
        <f>SUM(Table135[[#This Row],['#punten]:[19]])</f>
        <v>446</v>
      </c>
    </row>
    <row r="58" spans="1:9" x14ac:dyDescent="0.2">
      <c r="A58" s="39" t="s">
        <v>201</v>
      </c>
      <c r="B58" s="21" t="s">
        <v>45</v>
      </c>
      <c r="C58" s="23" t="s">
        <v>140</v>
      </c>
      <c r="D58" s="24">
        <v>1468</v>
      </c>
      <c r="E58">
        <v>-2</v>
      </c>
      <c r="F58">
        <v>46</v>
      </c>
      <c r="G58">
        <v>58</v>
      </c>
      <c r="H58" s="1">
        <f>SUM(Table135[[#This Row],[17]:[19]])</f>
        <v>102</v>
      </c>
      <c r="I58" s="19">
        <f>SUM(Table135[[#This Row],['#punten]:[19]])</f>
        <v>1570</v>
      </c>
    </row>
    <row r="59" spans="1:9" x14ac:dyDescent="0.2">
      <c r="A59" s="39" t="s">
        <v>121</v>
      </c>
      <c r="B59" s="21" t="s">
        <v>45</v>
      </c>
      <c r="C59" s="23" t="s">
        <v>140</v>
      </c>
      <c r="D59" s="24">
        <v>1406</v>
      </c>
      <c r="E59">
        <v>62</v>
      </c>
      <c r="F59">
        <v>46</v>
      </c>
      <c r="G59">
        <v>0</v>
      </c>
      <c r="H59" s="1">
        <f>SUM(Table135[[#This Row],[17]:[19]])</f>
        <v>108</v>
      </c>
      <c r="I59" s="19">
        <f>SUM(Table135[[#This Row],['#punten]:[19]])</f>
        <v>1514</v>
      </c>
    </row>
    <row r="60" spans="1:9" x14ac:dyDescent="0.2">
      <c r="A60" s="6" t="s">
        <v>202</v>
      </c>
      <c r="B60" s="28" t="s">
        <v>45</v>
      </c>
      <c r="C60" s="30" t="s">
        <v>203</v>
      </c>
      <c r="D60" s="31">
        <v>1086</v>
      </c>
      <c r="E60">
        <v>18</v>
      </c>
      <c r="F60">
        <v>0</v>
      </c>
      <c r="G60">
        <v>90</v>
      </c>
      <c r="H60" s="1">
        <f>SUM(Table135[[#This Row],[17]:[19]])</f>
        <v>108</v>
      </c>
      <c r="I60" s="19">
        <f>SUM(Table135[[#This Row],['#punten]:[19]])</f>
        <v>1194</v>
      </c>
    </row>
    <row r="61" spans="1:9" x14ac:dyDescent="0.2">
      <c r="A61" s="11" t="s">
        <v>33</v>
      </c>
      <c r="B61" s="21" t="s">
        <v>45</v>
      </c>
      <c r="C61" s="23" t="s">
        <v>135</v>
      </c>
      <c r="D61" s="24">
        <v>1972</v>
      </c>
      <c r="E61">
        <v>98</v>
      </c>
      <c r="F61">
        <v>46</v>
      </c>
      <c r="G61">
        <v>-30</v>
      </c>
      <c r="H61" s="1">
        <f>SUM(Table135[[#This Row],[17]:[19]])</f>
        <v>114</v>
      </c>
      <c r="I61" s="19">
        <f>SUM(Table135[[#This Row],['#punten]:[19]])</f>
        <v>2086</v>
      </c>
    </row>
    <row r="62" spans="1:9" x14ac:dyDescent="0.2">
      <c r="A62" s="11" t="s">
        <v>195</v>
      </c>
      <c r="B62" s="28" t="s">
        <v>45</v>
      </c>
      <c r="C62" s="30" t="s">
        <v>135</v>
      </c>
      <c r="D62" s="31">
        <v>868</v>
      </c>
      <c r="E62">
        <v>34</v>
      </c>
      <c r="F62">
        <v>46</v>
      </c>
      <c r="G62">
        <v>34</v>
      </c>
      <c r="H62" s="1">
        <f>SUM(Table135[[#This Row],[17]:[19]])</f>
        <v>114</v>
      </c>
      <c r="I62" s="19">
        <f>SUM(Table135[[#This Row],['#punten]:[19]])</f>
        <v>982</v>
      </c>
    </row>
    <row r="63" spans="1:9" x14ac:dyDescent="0.2">
      <c r="A63" s="39" t="s">
        <v>32</v>
      </c>
      <c r="B63" s="28" t="s">
        <v>45</v>
      </c>
      <c r="C63" s="30" t="s">
        <v>140</v>
      </c>
      <c r="D63" s="31">
        <v>926</v>
      </c>
      <c r="E63">
        <f>62-24</f>
        <v>38</v>
      </c>
      <c r="F63">
        <v>22</v>
      </c>
      <c r="G63">
        <v>58</v>
      </c>
      <c r="H63" s="1">
        <f>SUM(Table135[[#This Row],[17]:[19]])</f>
        <v>118</v>
      </c>
      <c r="I63" s="19">
        <f>SUM(Table135[[#This Row],['#punten]:[19]])</f>
        <v>1044</v>
      </c>
    </row>
    <row r="64" spans="1:9" x14ac:dyDescent="0.2">
      <c r="A64" s="2" t="s">
        <v>18</v>
      </c>
      <c r="B64" s="28" t="s">
        <v>45</v>
      </c>
      <c r="C64" s="30" t="s">
        <v>149</v>
      </c>
      <c r="D64" s="31">
        <v>622</v>
      </c>
      <c r="E64">
        <f>36-24+6</f>
        <v>18</v>
      </c>
      <c r="F64">
        <v>30</v>
      </c>
      <c r="G64">
        <v>106</v>
      </c>
      <c r="H64" s="1">
        <f>SUM(Table135[[#This Row],[17]:[19]])</f>
        <v>154</v>
      </c>
      <c r="I64" s="19">
        <f>SUM(Table135[[#This Row],['#punten]:[19]])</f>
        <v>776</v>
      </c>
    </row>
    <row r="65" spans="1:18" x14ac:dyDescent="0.2">
      <c r="A65" s="6" t="s">
        <v>21</v>
      </c>
      <c r="B65" s="28" t="s">
        <v>45</v>
      </c>
      <c r="C65" s="30" t="s">
        <v>203</v>
      </c>
      <c r="D65" s="31">
        <v>1068</v>
      </c>
      <c r="E65">
        <v>18</v>
      </c>
      <c r="F65">
        <v>54</v>
      </c>
      <c r="G65">
        <v>90</v>
      </c>
      <c r="H65" s="1">
        <f>SUM(Table135[[#This Row],[17]:[19]])</f>
        <v>162</v>
      </c>
      <c r="I65" s="19">
        <f>SUM(Table135[[#This Row],['#punten]:[19]])</f>
        <v>1230</v>
      </c>
    </row>
    <row r="66" spans="1:18" x14ac:dyDescent="0.2">
      <c r="A66" s="6" t="s">
        <v>207</v>
      </c>
      <c r="B66" s="21" t="s">
        <v>45</v>
      </c>
      <c r="C66" s="23" t="s">
        <v>203</v>
      </c>
      <c r="D66" s="24">
        <v>654</v>
      </c>
      <c r="E66">
        <v>18</v>
      </c>
      <c r="F66">
        <v>78</v>
      </c>
      <c r="G66">
        <v>90</v>
      </c>
      <c r="H66" s="1">
        <f>SUM(Table135[[#This Row],[17]:[19]])</f>
        <v>186</v>
      </c>
      <c r="I66" s="19">
        <f>SUM(Table135[[#This Row],['#punten]:[19]])</f>
        <v>840</v>
      </c>
    </row>
    <row r="67" spans="1:18" x14ac:dyDescent="0.2">
      <c r="A67" s="6" t="s">
        <v>204</v>
      </c>
      <c r="B67" s="28" t="s">
        <v>45</v>
      </c>
      <c r="C67" s="30" t="s">
        <v>203</v>
      </c>
      <c r="D67" s="31">
        <v>1476</v>
      </c>
      <c r="E67">
        <v>18</v>
      </c>
      <c r="F67">
        <v>150</v>
      </c>
      <c r="G67">
        <v>90</v>
      </c>
      <c r="H67" s="1">
        <f>SUM(Table135[[#This Row],[17]:[19]])</f>
        <v>258</v>
      </c>
      <c r="I67" s="19">
        <f>SUM(Table135[[#This Row],['#punten]:[19]])</f>
        <v>1734</v>
      </c>
    </row>
    <row r="68" spans="1:18" x14ac:dyDescent="0.2">
      <c r="A68" s="39" t="s">
        <v>213</v>
      </c>
      <c r="B68" s="28" t="s">
        <v>46</v>
      </c>
      <c r="C68" s="30" t="s">
        <v>140</v>
      </c>
      <c r="D68" s="31">
        <v>546</v>
      </c>
      <c r="E68">
        <v>0</v>
      </c>
      <c r="F68">
        <v>0</v>
      </c>
      <c r="G68">
        <v>0</v>
      </c>
      <c r="H68" s="1">
        <f>SUM(Table135[[#This Row],[17]:[19]])</f>
        <v>0</v>
      </c>
      <c r="I68" s="19">
        <f>SUM(Table135[[#This Row],['#punten]:[19]])</f>
        <v>546</v>
      </c>
    </row>
    <row r="69" spans="1:18" x14ac:dyDescent="0.2">
      <c r="A69" s="6" t="s">
        <v>505</v>
      </c>
      <c r="B69" s="28" t="s">
        <v>46</v>
      </c>
      <c r="C69" s="30" t="s">
        <v>203</v>
      </c>
      <c r="D69" s="31">
        <v>144</v>
      </c>
      <c r="E69">
        <v>0</v>
      </c>
      <c r="F69">
        <v>0</v>
      </c>
      <c r="G69">
        <v>0</v>
      </c>
      <c r="H69" s="1">
        <f>SUM(Table135[[#This Row],[17]:[19]])</f>
        <v>0</v>
      </c>
      <c r="I69" s="19">
        <f>SUM(Table135[[#This Row],['#punten]:[19]])</f>
        <v>144</v>
      </c>
    </row>
    <row r="70" spans="1:18" x14ac:dyDescent="0.2">
      <c r="A70" s="11" t="s">
        <v>351</v>
      </c>
      <c r="B70" s="28" t="s">
        <v>46</v>
      </c>
      <c r="C70" s="30" t="s">
        <v>135</v>
      </c>
      <c r="D70" s="31">
        <v>690</v>
      </c>
      <c r="E70">
        <v>28</v>
      </c>
      <c r="F70">
        <v>34</v>
      </c>
      <c r="G70">
        <v>46</v>
      </c>
      <c r="H70" s="1">
        <f>SUM(Table135[[#This Row],[17]:[19]])</f>
        <v>108</v>
      </c>
      <c r="I70" s="19">
        <f>SUM(Table135[[#This Row],['#punten]:[19]])</f>
        <v>798</v>
      </c>
    </row>
    <row r="71" spans="1:18" x14ac:dyDescent="0.2">
      <c r="A71" s="2" t="s">
        <v>588</v>
      </c>
      <c r="B71" s="21" t="s">
        <v>46</v>
      </c>
      <c r="C71" s="23" t="s">
        <v>149</v>
      </c>
      <c r="D71" s="24">
        <v>0</v>
      </c>
      <c r="E71">
        <v>0</v>
      </c>
      <c r="F71">
        <v>0</v>
      </c>
      <c r="G71">
        <v>118</v>
      </c>
      <c r="H71" s="1">
        <f>SUM(Table135[[#This Row],[17]:[19]])</f>
        <v>118</v>
      </c>
      <c r="I71" s="19">
        <f>SUM(Table135[[#This Row],['#punten]:[19]])</f>
        <v>118</v>
      </c>
    </row>
    <row r="72" spans="1:18" x14ac:dyDescent="0.2">
      <c r="A72" s="39" t="s">
        <v>214</v>
      </c>
      <c r="B72" s="28" t="s">
        <v>46</v>
      </c>
      <c r="C72" s="30" t="s">
        <v>140</v>
      </c>
      <c r="D72" s="31">
        <v>406</v>
      </c>
      <c r="E72">
        <f>28-24-12</f>
        <v>-8</v>
      </c>
      <c r="F72">
        <v>58</v>
      </c>
      <c r="G72">
        <v>70</v>
      </c>
      <c r="H72" s="1">
        <f>SUM(Table135[[#This Row],[17]:[19]])</f>
        <v>120</v>
      </c>
      <c r="I72" s="19">
        <f>SUM(Table135[[#This Row],['#punten]:[19]])</f>
        <v>526</v>
      </c>
      <c r="L72" t="s">
        <v>567</v>
      </c>
      <c r="M72" s="105" t="s">
        <v>574</v>
      </c>
      <c r="N72" s="105"/>
      <c r="O72" t="s">
        <v>575</v>
      </c>
      <c r="P72" t="s">
        <v>576</v>
      </c>
      <c r="Q72" t="s">
        <v>577</v>
      </c>
      <c r="R72" t="s">
        <v>578</v>
      </c>
    </row>
    <row r="73" spans="1:18" x14ac:dyDescent="0.2">
      <c r="A73" s="39" t="s">
        <v>212</v>
      </c>
      <c r="B73" s="28" t="s">
        <v>46</v>
      </c>
      <c r="C73" s="30" t="s">
        <v>140</v>
      </c>
      <c r="D73" s="31">
        <v>698</v>
      </c>
      <c r="E73">
        <v>-8</v>
      </c>
      <c r="F73">
        <v>58</v>
      </c>
      <c r="G73">
        <v>70</v>
      </c>
      <c r="H73" s="1">
        <f>SUM(Table135[[#This Row],[17]:[19]])</f>
        <v>120</v>
      </c>
      <c r="I73" s="19">
        <f>SUM(Table135[[#This Row],['#punten]:[19]])</f>
        <v>818</v>
      </c>
      <c r="M73" t="s">
        <v>572</v>
      </c>
      <c r="N73" t="s">
        <v>573</v>
      </c>
    </row>
    <row r="74" spans="1:18" x14ac:dyDescent="0.2">
      <c r="A74" s="11" t="s">
        <v>215</v>
      </c>
      <c r="B74" s="28" t="s">
        <v>46</v>
      </c>
      <c r="C74" s="30" t="s">
        <v>135</v>
      </c>
      <c r="D74" s="31">
        <v>540</v>
      </c>
      <c r="E74">
        <v>28</v>
      </c>
      <c r="F74">
        <v>34</v>
      </c>
      <c r="G74">
        <v>86</v>
      </c>
      <c r="H74" s="1">
        <f>SUM(Table135[[#This Row],[17]:[19]])</f>
        <v>148</v>
      </c>
      <c r="I74" s="19">
        <f>SUM(Table135[[#This Row],['#punten]:[19]])</f>
        <v>688</v>
      </c>
      <c r="K74" t="s">
        <v>568</v>
      </c>
      <c r="L74">
        <v>36</v>
      </c>
      <c r="M74">
        <v>18</v>
      </c>
      <c r="N74">
        <v>6</v>
      </c>
      <c r="O74">
        <v>128</v>
      </c>
      <c r="P74">
        <v>64</v>
      </c>
      <c r="Q74">
        <v>64</v>
      </c>
      <c r="R74">
        <v>-24</v>
      </c>
    </row>
    <row r="75" spans="1:18" x14ac:dyDescent="0.2">
      <c r="A75" s="6" t="s">
        <v>211</v>
      </c>
      <c r="B75" s="28" t="s">
        <v>46</v>
      </c>
      <c r="C75" s="30" t="s">
        <v>203</v>
      </c>
      <c r="D75" s="31">
        <v>394</v>
      </c>
      <c r="E75">
        <v>12</v>
      </c>
      <c r="F75">
        <v>66</v>
      </c>
      <c r="G75">
        <v>102</v>
      </c>
      <c r="H75" s="1">
        <f>SUM(Table135[[#This Row],[17]:[19]])</f>
        <v>180</v>
      </c>
      <c r="I75" s="19">
        <f>SUM(Table135[[#This Row],['#punten]:[19]])</f>
        <v>574</v>
      </c>
      <c r="K75" t="s">
        <v>569</v>
      </c>
      <c r="L75">
        <v>36</v>
      </c>
      <c r="M75">
        <v>18</v>
      </c>
      <c r="N75">
        <v>6</v>
      </c>
      <c r="O75">
        <v>96</v>
      </c>
      <c r="P75">
        <v>48</v>
      </c>
      <c r="Q75">
        <v>48</v>
      </c>
      <c r="R75">
        <v>-24</v>
      </c>
    </row>
    <row r="76" spans="1:18" x14ac:dyDescent="0.2">
      <c r="A76" s="6" t="s">
        <v>127</v>
      </c>
      <c r="B76" s="21" t="s">
        <v>46</v>
      </c>
      <c r="C76" s="23" t="s">
        <v>203</v>
      </c>
      <c r="D76" s="24">
        <v>540</v>
      </c>
      <c r="E76">
        <f>36-24</f>
        <v>12</v>
      </c>
      <c r="F76">
        <v>90</v>
      </c>
      <c r="G76">
        <v>102</v>
      </c>
      <c r="H76" s="1">
        <f>SUM(Table135[[#This Row],[17]:[19]])</f>
        <v>204</v>
      </c>
      <c r="I76" s="19">
        <f>SUM(Table135[[#This Row],['#punten]:[19]])</f>
        <v>744</v>
      </c>
      <c r="K76" t="s">
        <v>570</v>
      </c>
      <c r="L76">
        <v>28</v>
      </c>
      <c r="M76">
        <v>18</v>
      </c>
      <c r="N76">
        <v>6</v>
      </c>
      <c r="O76">
        <v>80</v>
      </c>
      <c r="P76">
        <v>40</v>
      </c>
      <c r="Q76">
        <v>24</v>
      </c>
      <c r="R76">
        <v>-12</v>
      </c>
    </row>
    <row r="77" spans="1:18" x14ac:dyDescent="0.2">
      <c r="A77" s="6" t="s">
        <v>363</v>
      </c>
      <c r="B77" s="51" t="s">
        <v>46</v>
      </c>
      <c r="C77" s="53" t="s">
        <v>203</v>
      </c>
      <c r="D77" s="54">
        <v>348</v>
      </c>
      <c r="E77">
        <v>12</v>
      </c>
      <c r="F77">
        <v>90</v>
      </c>
      <c r="G77">
        <v>102</v>
      </c>
      <c r="H77" s="1">
        <f>SUM(Table135[[#This Row],[17]:[19]])</f>
        <v>204</v>
      </c>
      <c r="I77" s="19">
        <f>SUM(Table135[[#This Row],['#punten]:[19]])</f>
        <v>552</v>
      </c>
      <c r="K77" t="s">
        <v>571</v>
      </c>
      <c r="L77">
        <v>28</v>
      </c>
      <c r="M77">
        <v>18</v>
      </c>
      <c r="N77">
        <v>6</v>
      </c>
      <c r="O77">
        <v>64</v>
      </c>
      <c r="P77">
        <v>32</v>
      </c>
      <c r="Q77">
        <v>0</v>
      </c>
      <c r="R77">
        <v>0</v>
      </c>
    </row>
    <row r="78" spans="1:18" x14ac:dyDescent="0.2">
      <c r="A78" s="6" t="s">
        <v>209</v>
      </c>
      <c r="B78" s="21" t="s">
        <v>46</v>
      </c>
      <c r="C78" s="23" t="s">
        <v>203</v>
      </c>
      <c r="D78" s="24">
        <v>738</v>
      </c>
      <c r="E78">
        <v>12</v>
      </c>
      <c r="F78">
        <v>90</v>
      </c>
      <c r="G78">
        <v>102</v>
      </c>
      <c r="H78" s="1">
        <f>SUM(Table135[[#This Row],[17]:[19]])</f>
        <v>204</v>
      </c>
      <c r="I78" s="19">
        <f>SUM(Table135[[#This Row],['#punten]:[19]])</f>
        <v>942</v>
      </c>
    </row>
    <row r="79" spans="1:18" x14ac:dyDescent="0.2">
      <c r="A79" s="11" t="s">
        <v>518</v>
      </c>
      <c r="B79" s="21" t="s">
        <v>39</v>
      </c>
      <c r="C79" s="23" t="s">
        <v>135</v>
      </c>
      <c r="D79" s="24">
        <v>734</v>
      </c>
      <c r="E79">
        <v>0</v>
      </c>
      <c r="F79">
        <v>0</v>
      </c>
      <c r="G79">
        <v>0</v>
      </c>
      <c r="H79" s="1">
        <f>SUM(Table135[[#This Row],[17]:[19]])</f>
        <v>0</v>
      </c>
      <c r="I79" s="19">
        <f>SUM(Table135[[#This Row],['#punten]:[19]])</f>
        <v>734</v>
      </c>
    </row>
    <row r="80" spans="1:18" x14ac:dyDescent="0.2">
      <c r="A80" s="39" t="s">
        <v>219</v>
      </c>
      <c r="B80" s="62" t="s">
        <v>39</v>
      </c>
      <c r="C80" s="60" t="s">
        <v>140</v>
      </c>
      <c r="D80" s="58">
        <v>1078</v>
      </c>
      <c r="E80">
        <v>16</v>
      </c>
      <c r="F80">
        <v>0</v>
      </c>
      <c r="G80">
        <v>0</v>
      </c>
      <c r="H80" s="1">
        <f>SUM(Table135[[#This Row],[17]:[19]])</f>
        <v>16</v>
      </c>
      <c r="I80" s="19">
        <f>SUM(Table135[[#This Row],['#punten]:[19]])</f>
        <v>1094</v>
      </c>
    </row>
    <row r="81" spans="1:9" x14ac:dyDescent="0.2">
      <c r="A81" s="11" t="s">
        <v>364</v>
      </c>
      <c r="B81" s="21" t="s">
        <v>39</v>
      </c>
      <c r="C81" s="23" t="s">
        <v>135</v>
      </c>
      <c r="D81" s="24">
        <v>842</v>
      </c>
      <c r="E81">
        <v>28</v>
      </c>
      <c r="F81">
        <v>0</v>
      </c>
      <c r="G81">
        <v>34</v>
      </c>
      <c r="H81" s="1">
        <f>SUM(Table135[[#This Row],[17]:[19]])</f>
        <v>62</v>
      </c>
      <c r="I81" s="19">
        <f>SUM(Table135[[#This Row],['#punten]:[19]])</f>
        <v>904</v>
      </c>
    </row>
    <row r="82" spans="1:9" x14ac:dyDescent="0.2">
      <c r="A82" s="6" t="s">
        <v>222</v>
      </c>
      <c r="B82" s="28" t="s">
        <v>39</v>
      </c>
      <c r="C82" s="30" t="s">
        <v>203</v>
      </c>
      <c r="D82" s="31">
        <v>570</v>
      </c>
      <c r="E82">
        <v>12</v>
      </c>
      <c r="F82">
        <v>78</v>
      </c>
      <c r="G82">
        <v>0</v>
      </c>
      <c r="H82" s="1">
        <f>SUM(Table135[[#This Row],[17]:[19]])</f>
        <v>90</v>
      </c>
      <c r="I82" s="19">
        <f>SUM(Table135[[#This Row],['#punten]:[19]])</f>
        <v>660</v>
      </c>
    </row>
    <row r="83" spans="1:9" x14ac:dyDescent="0.2">
      <c r="A83" s="6" t="s">
        <v>220</v>
      </c>
      <c r="B83" s="21" t="s">
        <v>39</v>
      </c>
      <c r="C83" s="23" t="s">
        <v>203</v>
      </c>
      <c r="D83" s="24">
        <v>834</v>
      </c>
      <c r="E83">
        <v>12</v>
      </c>
      <c r="F83">
        <v>102</v>
      </c>
      <c r="G83">
        <v>18</v>
      </c>
      <c r="H83" s="1">
        <f>SUM(Table135[[#This Row],[17]:[19]])</f>
        <v>132</v>
      </c>
      <c r="I83" s="19">
        <f>SUM(Table135[[#This Row],['#punten]:[19]])</f>
        <v>966</v>
      </c>
    </row>
    <row r="84" spans="1:9" x14ac:dyDescent="0.2">
      <c r="A84" s="2" t="s">
        <v>223</v>
      </c>
      <c r="B84" s="21" t="s">
        <v>39</v>
      </c>
      <c r="C84" s="23" t="s">
        <v>149</v>
      </c>
      <c r="D84" s="24">
        <v>866</v>
      </c>
      <c r="E84">
        <v>12</v>
      </c>
      <c r="F84">
        <v>118</v>
      </c>
      <c r="G84">
        <v>18</v>
      </c>
      <c r="H84" s="1">
        <f>SUM(Table135[[#This Row],[17]:[19]])</f>
        <v>148</v>
      </c>
      <c r="I84" s="19">
        <f>SUM(Table135[[#This Row],['#punten]:[19]])</f>
        <v>1014</v>
      </c>
    </row>
    <row r="85" spans="1:9" x14ac:dyDescent="0.2">
      <c r="A85" s="6" t="s">
        <v>517</v>
      </c>
      <c r="B85" s="21" t="s">
        <v>39</v>
      </c>
      <c r="C85" s="23" t="s">
        <v>203</v>
      </c>
      <c r="D85" s="24">
        <v>732</v>
      </c>
      <c r="E85">
        <v>102</v>
      </c>
      <c r="F85">
        <v>102</v>
      </c>
      <c r="G85">
        <v>-6</v>
      </c>
      <c r="H85" s="1">
        <f>SUM(Table135[[#This Row],[17]:[19]])</f>
        <v>198</v>
      </c>
      <c r="I85" s="19">
        <f>SUM(Table135[[#This Row],['#punten]:[19]])</f>
        <v>930</v>
      </c>
    </row>
    <row r="86" spans="1:9" x14ac:dyDescent="0.2">
      <c r="A86" s="39" t="s">
        <v>217</v>
      </c>
      <c r="B86" s="21" t="s">
        <v>39</v>
      </c>
      <c r="C86" s="23" t="s">
        <v>140</v>
      </c>
      <c r="D86" s="24">
        <v>1038</v>
      </c>
      <c r="E86">
        <f>1094-1038</f>
        <v>56</v>
      </c>
      <c r="F86">
        <v>150</v>
      </c>
      <c r="G86">
        <v>22</v>
      </c>
      <c r="H86" s="1">
        <f>SUM(Table135[[#This Row],[17]:[19]])</f>
        <v>228</v>
      </c>
      <c r="I86" s="19">
        <f>SUM(Table135[[#This Row],['#punten]:[19]])</f>
        <v>1266</v>
      </c>
    </row>
    <row r="87" spans="1:9" x14ac:dyDescent="0.2">
      <c r="A87" s="6" t="s">
        <v>221</v>
      </c>
      <c r="B87" s="51" t="s">
        <v>39</v>
      </c>
      <c r="C87" s="53" t="s">
        <v>203</v>
      </c>
      <c r="D87" s="54">
        <v>1098</v>
      </c>
      <c r="E87">
        <v>60</v>
      </c>
      <c r="F87">
        <v>78</v>
      </c>
      <c r="G87">
        <v>90</v>
      </c>
      <c r="H87" s="1">
        <f>SUM(Table135[[#This Row],[17]:[19]])</f>
        <v>228</v>
      </c>
      <c r="I87" s="19">
        <f>SUM(Table135[[#This Row],['#punten]:[19]])</f>
        <v>1326</v>
      </c>
    </row>
    <row r="88" spans="1:9" x14ac:dyDescent="0.2">
      <c r="A88" s="11" t="s">
        <v>365</v>
      </c>
      <c r="B88" s="21" t="s">
        <v>39</v>
      </c>
      <c r="C88" s="23" t="s">
        <v>135</v>
      </c>
      <c r="D88" s="24">
        <v>632</v>
      </c>
      <c r="E88">
        <f>724-632</f>
        <v>92</v>
      </c>
      <c r="F88">
        <v>110</v>
      </c>
      <c r="G88">
        <v>98</v>
      </c>
      <c r="H88" s="1">
        <f>SUM(Table135[[#This Row],[17]:[19]])</f>
        <v>300</v>
      </c>
      <c r="I88" s="19">
        <f>SUM(Table135[[#This Row],['#punten]:[19]])</f>
        <v>932</v>
      </c>
    </row>
    <row r="89" spans="1:9" x14ac:dyDescent="0.2">
      <c r="A89" s="11" t="s">
        <v>236</v>
      </c>
      <c r="B89" s="28" t="s">
        <v>48</v>
      </c>
      <c r="C89" s="30" t="s">
        <v>135</v>
      </c>
      <c r="D89" s="31">
        <v>652</v>
      </c>
      <c r="E89">
        <v>0</v>
      </c>
      <c r="F89">
        <v>0</v>
      </c>
      <c r="G89">
        <v>0</v>
      </c>
      <c r="H89" s="1">
        <f>SUM(Table135[[#This Row],[17]:[19]])</f>
        <v>0</v>
      </c>
      <c r="I89" s="19">
        <f>SUM(Table135[[#This Row],['#punten]:[19]])</f>
        <v>652</v>
      </c>
    </row>
    <row r="90" spans="1:9" x14ac:dyDescent="0.2">
      <c r="A90" s="39" t="s">
        <v>232</v>
      </c>
      <c r="B90" s="51" t="s">
        <v>48</v>
      </c>
      <c r="C90" s="53" t="s">
        <v>140</v>
      </c>
      <c r="D90" s="54">
        <v>622</v>
      </c>
      <c r="E90">
        <v>22</v>
      </c>
      <c r="F90">
        <v>-8</v>
      </c>
      <c r="G90">
        <v>0</v>
      </c>
      <c r="H90" s="1">
        <f>SUM(Table135[[#This Row],[17]:[19]])</f>
        <v>14</v>
      </c>
      <c r="I90" s="19">
        <f>SUM(Table135[[#This Row],['#punten]:[19]])</f>
        <v>636</v>
      </c>
    </row>
    <row r="91" spans="1:9" x14ac:dyDescent="0.2">
      <c r="A91" s="6" t="s">
        <v>225</v>
      </c>
      <c r="B91" s="21" t="s">
        <v>48</v>
      </c>
      <c r="C91" s="23" t="s">
        <v>203</v>
      </c>
      <c r="D91" s="24">
        <v>654</v>
      </c>
      <c r="E91">
        <v>18</v>
      </c>
      <c r="F91">
        <v>12</v>
      </c>
      <c r="G91">
        <v>-14</v>
      </c>
      <c r="H91" s="1">
        <f>SUM(Table135[[#This Row],[17]:[19]])</f>
        <v>16</v>
      </c>
      <c r="I91" s="19">
        <f>SUM(Table135[[#This Row],['#punten]:[19]])</f>
        <v>670</v>
      </c>
    </row>
    <row r="92" spans="1:9" x14ac:dyDescent="0.2">
      <c r="A92" s="6" t="s">
        <v>228</v>
      </c>
      <c r="B92" s="28" t="s">
        <v>48</v>
      </c>
      <c r="C92" s="30" t="s">
        <v>203</v>
      </c>
      <c r="D92" s="31">
        <v>408</v>
      </c>
      <c r="E92">
        <v>0</v>
      </c>
      <c r="F92">
        <v>0</v>
      </c>
      <c r="G92">
        <v>18</v>
      </c>
      <c r="H92" s="1">
        <f>SUM(Table135[[#This Row],[17]:[19]])</f>
        <v>18</v>
      </c>
      <c r="I92" s="19">
        <f>SUM(Table135[[#This Row],['#punten]:[19]])</f>
        <v>426</v>
      </c>
    </row>
    <row r="93" spans="1:9" x14ac:dyDescent="0.2">
      <c r="A93" s="39" t="s">
        <v>234</v>
      </c>
      <c r="B93" s="28" t="s">
        <v>48</v>
      </c>
      <c r="C93" s="30" t="s">
        <v>140</v>
      </c>
      <c r="D93" s="31">
        <v>594</v>
      </c>
      <c r="E93">
        <v>22</v>
      </c>
      <c r="F93">
        <v>16</v>
      </c>
      <c r="G93">
        <v>-2</v>
      </c>
      <c r="H93" s="1">
        <f>SUM(Table135[[#This Row],[17]:[19]])</f>
        <v>36</v>
      </c>
      <c r="I93" s="19">
        <f>SUM(Table135[[#This Row],['#punten]:[19]])</f>
        <v>630</v>
      </c>
    </row>
    <row r="94" spans="1:9" x14ac:dyDescent="0.2">
      <c r="A94" s="6" t="s">
        <v>227</v>
      </c>
      <c r="B94" s="28" t="s">
        <v>48</v>
      </c>
      <c r="C94" s="30" t="s">
        <v>203</v>
      </c>
      <c r="D94" s="31">
        <v>642</v>
      </c>
      <c r="E94">
        <f>36+6-24</f>
        <v>18</v>
      </c>
      <c r="F94">
        <v>0</v>
      </c>
      <c r="G94">
        <v>18</v>
      </c>
      <c r="H94" s="1">
        <f>SUM(Table135[[#This Row],[17]:[19]])</f>
        <v>36</v>
      </c>
      <c r="I94" s="19">
        <f>SUM(Table135[[#This Row],['#punten]:[19]])</f>
        <v>678</v>
      </c>
    </row>
    <row r="95" spans="1:9" x14ac:dyDescent="0.2">
      <c r="A95" s="2" t="s">
        <v>224</v>
      </c>
      <c r="B95" s="28" t="s">
        <v>48</v>
      </c>
      <c r="C95" s="30" t="s">
        <v>149</v>
      </c>
      <c r="D95" s="31">
        <v>682</v>
      </c>
      <c r="E95">
        <v>18</v>
      </c>
      <c r="F95">
        <v>12</v>
      </c>
      <c r="G95">
        <v>18</v>
      </c>
      <c r="H95" s="1">
        <f>SUM(Table135[[#This Row],[17]:[19]])</f>
        <v>48</v>
      </c>
      <c r="I95" s="19">
        <f>SUM(Table135[[#This Row],['#punten]:[19]])</f>
        <v>730</v>
      </c>
    </row>
    <row r="96" spans="1:9" x14ac:dyDescent="0.2">
      <c r="A96" s="6" t="s">
        <v>584</v>
      </c>
      <c r="B96" s="51" t="s">
        <v>48</v>
      </c>
      <c r="C96" s="53" t="s">
        <v>203</v>
      </c>
      <c r="D96" s="54">
        <f>414-18</f>
        <v>396</v>
      </c>
      <c r="E96">
        <v>18</v>
      </c>
      <c r="F96">
        <v>12</v>
      </c>
      <c r="G96">
        <v>18</v>
      </c>
      <c r="H96" s="1">
        <f>SUM(Table135[[#This Row],[17]:[19]])</f>
        <v>48</v>
      </c>
      <c r="I96" s="19">
        <f>SUM(Table135[[#This Row],['#punten]:[19]])</f>
        <v>444</v>
      </c>
    </row>
    <row r="97" spans="1:18" x14ac:dyDescent="0.2">
      <c r="A97" s="6" t="s">
        <v>519</v>
      </c>
      <c r="B97" s="28" t="s">
        <v>48</v>
      </c>
      <c r="C97" s="30" t="s">
        <v>203</v>
      </c>
      <c r="D97" s="31">
        <v>510</v>
      </c>
      <c r="E97">
        <v>18</v>
      </c>
      <c r="F97">
        <v>12</v>
      </c>
      <c r="G97">
        <v>18</v>
      </c>
      <c r="H97" s="1">
        <f>SUM(Table135[[#This Row],[17]:[19]])</f>
        <v>48</v>
      </c>
      <c r="I97" s="19">
        <f>SUM(Table135[[#This Row],['#punten]:[19]])</f>
        <v>558</v>
      </c>
    </row>
    <row r="98" spans="1:18" x14ac:dyDescent="0.2">
      <c r="A98" s="39" t="s">
        <v>235</v>
      </c>
      <c r="B98" s="21" t="s">
        <v>48</v>
      </c>
      <c r="C98" s="23" t="s">
        <v>140</v>
      </c>
      <c r="D98" s="24">
        <v>678</v>
      </c>
      <c r="E98">
        <v>22</v>
      </c>
      <c r="F98">
        <v>16</v>
      </c>
      <c r="G98">
        <v>22</v>
      </c>
      <c r="H98" s="1">
        <f>SUM(Table135[[#This Row],[17]:[19]])</f>
        <v>60</v>
      </c>
      <c r="I98" s="19">
        <f>SUM(Table135[[#This Row],['#punten]:[19]])</f>
        <v>738</v>
      </c>
    </row>
    <row r="99" spans="1:18" x14ac:dyDescent="0.2">
      <c r="A99" s="11" t="s">
        <v>583</v>
      </c>
      <c r="B99" s="28" t="s">
        <v>48</v>
      </c>
      <c r="C99" s="30" t="s">
        <v>135</v>
      </c>
      <c r="D99" s="24">
        <f>250-34</f>
        <v>216</v>
      </c>
      <c r="E99">
        <v>34</v>
      </c>
      <c r="F99">
        <v>0</v>
      </c>
      <c r="G99">
        <v>34</v>
      </c>
      <c r="H99" s="1">
        <f>SUM(Table135[[#This Row],[17]:[19]])</f>
        <v>68</v>
      </c>
      <c r="I99" s="19">
        <f>SUM(Table135[[#This Row],['#punten]:[19]])</f>
        <v>284</v>
      </c>
    </row>
    <row r="100" spans="1:18" x14ac:dyDescent="0.2">
      <c r="A100" s="39" t="s">
        <v>231</v>
      </c>
      <c r="B100" s="21" t="s">
        <v>48</v>
      </c>
      <c r="C100" s="23" t="s">
        <v>140</v>
      </c>
      <c r="D100" s="24">
        <f>454-78</f>
        <v>376</v>
      </c>
      <c r="E100">
        <v>78</v>
      </c>
      <c r="F100">
        <v>0</v>
      </c>
      <c r="G100">
        <v>0</v>
      </c>
      <c r="H100" s="1">
        <f>SUM(Table135[[#This Row],[17]:[19]])</f>
        <v>78</v>
      </c>
      <c r="I100" s="19">
        <f>SUM(Table135[[#This Row],['#punten]:[19]])</f>
        <v>454</v>
      </c>
    </row>
    <row r="101" spans="1:18" x14ac:dyDescent="0.2">
      <c r="A101" s="11" t="s">
        <v>133</v>
      </c>
      <c r="B101" s="51" t="s">
        <v>48</v>
      </c>
      <c r="C101" s="53" t="s">
        <v>135</v>
      </c>
      <c r="D101" s="58">
        <v>794</v>
      </c>
      <c r="E101">
        <v>0</v>
      </c>
      <c r="F101">
        <v>28</v>
      </c>
      <c r="G101">
        <v>66</v>
      </c>
      <c r="H101" s="1">
        <f>SUM(Table135[[#This Row],[17]:[19]])</f>
        <v>94</v>
      </c>
      <c r="I101" s="19">
        <f>SUM(Table135[[#This Row],['#punten]:[19]])</f>
        <v>888</v>
      </c>
    </row>
    <row r="102" spans="1:18" x14ac:dyDescent="0.2">
      <c r="A102" s="39" t="s">
        <v>233</v>
      </c>
      <c r="B102" s="51" t="s">
        <v>48</v>
      </c>
      <c r="C102" s="53" t="s">
        <v>140</v>
      </c>
      <c r="D102" s="54">
        <v>626</v>
      </c>
      <c r="E102">
        <f>28+6-12</f>
        <v>22</v>
      </c>
      <c r="F102">
        <v>16</v>
      </c>
      <c r="G102">
        <v>78</v>
      </c>
      <c r="H102" s="1">
        <f>SUM(Table135[[#This Row],[17]:[19]])</f>
        <v>116</v>
      </c>
      <c r="I102" s="19">
        <f>SUM(Table135[[#This Row],['#punten]:[19]])</f>
        <v>742</v>
      </c>
    </row>
    <row r="103" spans="1:18" x14ac:dyDescent="0.2">
      <c r="A103" s="11" t="s">
        <v>238</v>
      </c>
      <c r="B103" s="21" t="s">
        <v>48</v>
      </c>
      <c r="C103" s="23" t="s">
        <v>135</v>
      </c>
      <c r="D103" s="24">
        <v>458</v>
      </c>
      <c r="E103">
        <v>128</v>
      </c>
      <c r="F103">
        <v>28</v>
      </c>
      <c r="G103">
        <v>0</v>
      </c>
      <c r="H103" s="1">
        <f>SUM(Table135[[#This Row],[17]:[19]])</f>
        <v>156</v>
      </c>
      <c r="I103" s="19">
        <f>SUM(Table135[[#This Row],['#punten]:[19]])</f>
        <v>614</v>
      </c>
    </row>
    <row r="104" spans="1:18" x14ac:dyDescent="0.2">
      <c r="A104" s="39" t="s">
        <v>243</v>
      </c>
      <c r="B104" s="28" t="s">
        <v>239</v>
      </c>
      <c r="C104" s="30" t="s">
        <v>140</v>
      </c>
      <c r="D104" s="31">
        <v>474</v>
      </c>
      <c r="E104">
        <v>0</v>
      </c>
      <c r="F104">
        <v>0</v>
      </c>
      <c r="G104">
        <v>0</v>
      </c>
      <c r="H104" s="1">
        <f>SUM(Table135[[#This Row],[17]:[19]])</f>
        <v>0</v>
      </c>
      <c r="I104" s="19">
        <f>SUM(Table135[[#This Row],['#punten]:[19]])</f>
        <v>474</v>
      </c>
    </row>
    <row r="105" spans="1:18" x14ac:dyDescent="0.2">
      <c r="A105" s="11" t="s">
        <v>366</v>
      </c>
      <c r="B105" s="21" t="s">
        <v>239</v>
      </c>
      <c r="C105" s="23" t="s">
        <v>135</v>
      </c>
      <c r="D105" s="24">
        <v>356</v>
      </c>
      <c r="E105">
        <f>28+18</f>
        <v>46</v>
      </c>
      <c r="F105">
        <v>0</v>
      </c>
      <c r="G105">
        <v>0</v>
      </c>
      <c r="H105" s="1">
        <f>SUM(Table135[[#This Row],[17]:[19]])</f>
        <v>46</v>
      </c>
      <c r="I105" s="19">
        <f>SUM(Table135[[#This Row],['#punten]:[19]])</f>
        <v>402</v>
      </c>
    </row>
    <row r="106" spans="1:18" x14ac:dyDescent="0.2">
      <c r="A106" s="11" t="s">
        <v>520</v>
      </c>
      <c r="B106" s="21" t="s">
        <v>239</v>
      </c>
      <c r="C106" s="23" t="s">
        <v>135</v>
      </c>
      <c r="D106" s="24">
        <v>656</v>
      </c>
      <c r="E106">
        <f>46-24</f>
        <v>22</v>
      </c>
      <c r="F106">
        <v>34</v>
      </c>
      <c r="G106">
        <v>0</v>
      </c>
      <c r="H106" s="1">
        <f>SUM(Table135[[#This Row],[17]:[19]])</f>
        <v>56</v>
      </c>
      <c r="I106" s="19">
        <f>SUM(Table135[[#This Row],['#punten]:[19]])</f>
        <v>712</v>
      </c>
    </row>
    <row r="107" spans="1:18" x14ac:dyDescent="0.2">
      <c r="A107" s="39" t="s">
        <v>244</v>
      </c>
      <c r="B107" s="28" t="s">
        <v>239</v>
      </c>
      <c r="C107" s="30" t="s">
        <v>140</v>
      </c>
      <c r="D107" s="31">
        <v>482</v>
      </c>
      <c r="E107">
        <f>28+18</f>
        <v>46</v>
      </c>
      <c r="F107">
        <v>34</v>
      </c>
      <c r="G107">
        <v>-20</v>
      </c>
      <c r="H107" s="1">
        <f>SUM(Table135[[#This Row],[17]:[19]])</f>
        <v>60</v>
      </c>
      <c r="I107" s="19">
        <f>SUM(Table135[[#This Row],['#punten]:[19]])</f>
        <v>542</v>
      </c>
      <c r="L107" t="s">
        <v>567</v>
      </c>
      <c r="M107" s="105" t="s">
        <v>574</v>
      </c>
      <c r="N107" s="105"/>
      <c r="O107" t="s">
        <v>575</v>
      </c>
      <c r="P107" t="s">
        <v>576</v>
      </c>
      <c r="Q107" t="s">
        <v>577</v>
      </c>
      <c r="R107" t="s">
        <v>578</v>
      </c>
    </row>
    <row r="108" spans="1:18" x14ac:dyDescent="0.2">
      <c r="A108" s="6" t="s">
        <v>247</v>
      </c>
      <c r="B108" s="28" t="s">
        <v>239</v>
      </c>
      <c r="C108" s="30" t="s">
        <v>203</v>
      </c>
      <c r="D108" s="31">
        <v>372</v>
      </c>
      <c r="E108">
        <f>54</f>
        <v>54</v>
      </c>
      <c r="F108">
        <v>42</v>
      </c>
      <c r="G108">
        <v>-12</v>
      </c>
      <c r="H108" s="1">
        <f>SUM(Table135[[#This Row],[17]:[19]])</f>
        <v>84</v>
      </c>
      <c r="I108" s="19">
        <f>SUM(Table135[[#This Row],['#punten]:[19]])</f>
        <v>456</v>
      </c>
      <c r="M108" t="s">
        <v>572</v>
      </c>
      <c r="N108" t="s">
        <v>573</v>
      </c>
    </row>
    <row r="109" spans="1:18" x14ac:dyDescent="0.2">
      <c r="A109" s="2" t="s">
        <v>248</v>
      </c>
      <c r="B109" s="28" t="s">
        <v>239</v>
      </c>
      <c r="C109" s="30" t="s">
        <v>149</v>
      </c>
      <c r="D109" s="31">
        <v>346</v>
      </c>
      <c r="E109">
        <v>54</v>
      </c>
      <c r="F109">
        <v>42</v>
      </c>
      <c r="G109">
        <v>52</v>
      </c>
      <c r="H109" s="1">
        <f>SUM(Table135[[#This Row],[17]:[19]])</f>
        <v>148</v>
      </c>
      <c r="I109" s="19">
        <f>SUM(Table135[[#This Row],['#punten]:[19]])</f>
        <v>494</v>
      </c>
      <c r="K109" t="s">
        <v>568</v>
      </c>
      <c r="L109">
        <v>36</v>
      </c>
      <c r="M109">
        <v>18</v>
      </c>
      <c r="N109">
        <v>6</v>
      </c>
      <c r="O109">
        <v>128</v>
      </c>
      <c r="P109">
        <v>64</v>
      </c>
      <c r="Q109">
        <v>64</v>
      </c>
      <c r="R109">
        <v>-24</v>
      </c>
    </row>
    <row r="110" spans="1:18" x14ac:dyDescent="0.2">
      <c r="A110" s="11" t="s">
        <v>241</v>
      </c>
      <c r="B110" s="28" t="s">
        <v>239</v>
      </c>
      <c r="C110" s="30" t="s">
        <v>135</v>
      </c>
      <c r="D110" s="31">
        <v>746</v>
      </c>
      <c r="E110">
        <f>888-746</f>
        <v>142</v>
      </c>
      <c r="F110">
        <v>34</v>
      </c>
      <c r="G110">
        <v>28</v>
      </c>
      <c r="H110" s="1">
        <f>SUM(Table135[[#This Row],[17]:[19]])</f>
        <v>204</v>
      </c>
      <c r="I110" s="19">
        <f>SUM(Table135[[#This Row],['#punten]:[19]])</f>
        <v>950</v>
      </c>
      <c r="K110" t="s">
        <v>569</v>
      </c>
      <c r="L110">
        <v>36</v>
      </c>
      <c r="M110">
        <v>18</v>
      </c>
      <c r="N110">
        <v>6</v>
      </c>
      <c r="O110">
        <v>96</v>
      </c>
      <c r="P110">
        <v>48</v>
      </c>
      <c r="Q110">
        <v>48</v>
      </c>
      <c r="R110">
        <v>-24</v>
      </c>
    </row>
    <row r="111" spans="1:18" x14ac:dyDescent="0.2">
      <c r="A111" s="11" t="s">
        <v>242</v>
      </c>
      <c r="B111" s="21" t="s">
        <v>239</v>
      </c>
      <c r="C111" s="23" t="s">
        <v>135</v>
      </c>
      <c r="D111" s="24">
        <v>594</v>
      </c>
      <c r="E111">
        <f>704-594</f>
        <v>110</v>
      </c>
      <c r="F111">
        <v>34</v>
      </c>
      <c r="G111">
        <v>128</v>
      </c>
      <c r="H111" s="1">
        <f>SUM(Table135[[#This Row],[17]:[19]])</f>
        <v>272</v>
      </c>
      <c r="I111" s="19">
        <f>SUM(Table135[[#This Row],['#punten]:[19]])</f>
        <v>866</v>
      </c>
      <c r="K111" t="s">
        <v>570</v>
      </c>
      <c r="L111">
        <v>28</v>
      </c>
      <c r="M111">
        <v>18</v>
      </c>
      <c r="N111">
        <v>6</v>
      </c>
      <c r="O111">
        <v>80</v>
      </c>
      <c r="P111">
        <v>40</v>
      </c>
      <c r="Q111">
        <v>24</v>
      </c>
      <c r="R111">
        <v>-12</v>
      </c>
    </row>
    <row r="112" spans="1:18" x14ac:dyDescent="0.2">
      <c r="A112" s="39" t="s">
        <v>254</v>
      </c>
      <c r="B112" s="28" t="s">
        <v>10</v>
      </c>
      <c r="C112" s="30" t="s">
        <v>140</v>
      </c>
      <c r="D112" s="31">
        <v>322</v>
      </c>
      <c r="E112">
        <v>0</v>
      </c>
      <c r="F112">
        <v>0</v>
      </c>
      <c r="G112">
        <v>0</v>
      </c>
      <c r="H112" s="1">
        <f>SUM(Table135[[#This Row],[17]:[19]])</f>
        <v>0</v>
      </c>
      <c r="I112" s="19">
        <f>SUM(Table135[[#This Row],['#punten]:[19]])</f>
        <v>322</v>
      </c>
      <c r="K112" t="s">
        <v>571</v>
      </c>
      <c r="L112">
        <v>28</v>
      </c>
      <c r="M112">
        <v>18</v>
      </c>
      <c r="N112">
        <v>6</v>
      </c>
      <c r="O112">
        <v>64</v>
      </c>
      <c r="P112">
        <v>32</v>
      </c>
      <c r="Q112">
        <v>0</v>
      </c>
      <c r="R112">
        <v>0</v>
      </c>
    </row>
    <row r="113" spans="1:14" x14ac:dyDescent="0.2">
      <c r="A113" s="39" t="s">
        <v>587</v>
      </c>
      <c r="B113" s="28" t="s">
        <v>10</v>
      </c>
      <c r="C113" s="30" t="s">
        <v>140</v>
      </c>
      <c r="D113" s="31">
        <f>390-22</f>
        <v>368</v>
      </c>
      <c r="E113">
        <v>22</v>
      </c>
      <c r="F113">
        <v>0</v>
      </c>
      <c r="G113">
        <v>0</v>
      </c>
      <c r="H113" s="1">
        <f>SUM(Table135[[#This Row],[17]:[19]])</f>
        <v>22</v>
      </c>
      <c r="I113" s="19">
        <f>SUM(Table135[[#This Row],['#punten]:[19]])</f>
        <v>390</v>
      </c>
      <c r="M113" s="105"/>
      <c r="N113" s="105"/>
    </row>
    <row r="114" spans="1:14" x14ac:dyDescent="0.2">
      <c r="A114" s="6" t="s">
        <v>250</v>
      </c>
      <c r="B114" s="21" t="s">
        <v>10</v>
      </c>
      <c r="C114" s="23" t="s">
        <v>203</v>
      </c>
      <c r="D114" s="24">
        <v>492</v>
      </c>
      <c r="E114">
        <f>36+6+48-24</f>
        <v>66</v>
      </c>
      <c r="F114">
        <v>0</v>
      </c>
      <c r="G114">
        <v>0</v>
      </c>
      <c r="H114" s="1">
        <f>SUM(Table135[[#This Row],[17]:[19]])</f>
        <v>66</v>
      </c>
      <c r="I114" s="19">
        <f>SUM(Table135[[#This Row],['#punten]:[19]])</f>
        <v>558</v>
      </c>
    </row>
    <row r="115" spans="1:14" x14ac:dyDescent="0.2">
      <c r="A115" s="6" t="s">
        <v>22</v>
      </c>
      <c r="B115" s="28" t="s">
        <v>10</v>
      </c>
      <c r="C115" s="30" t="s">
        <v>203</v>
      </c>
      <c r="D115" s="31">
        <v>600</v>
      </c>
      <c r="E115">
        <v>-24</v>
      </c>
      <c r="F115">
        <v>102</v>
      </c>
      <c r="G115">
        <v>-6</v>
      </c>
      <c r="H115" s="1">
        <f>SUM(Table135[[#This Row],[17]:[19]])</f>
        <v>72</v>
      </c>
      <c r="I115" s="19">
        <f>SUM(Table135[[#This Row],['#punten]:[19]])</f>
        <v>672</v>
      </c>
    </row>
    <row r="116" spans="1:14" x14ac:dyDescent="0.2">
      <c r="A116" s="11" t="s">
        <v>258</v>
      </c>
      <c r="B116" s="51" t="s">
        <v>10</v>
      </c>
      <c r="C116" s="53" t="s">
        <v>135</v>
      </c>
      <c r="D116" s="54">
        <v>676</v>
      </c>
      <c r="E116">
        <v>34</v>
      </c>
      <c r="F116">
        <v>46</v>
      </c>
      <c r="G116">
        <v>34</v>
      </c>
      <c r="H116" s="1">
        <f>SUM(Table135[[#This Row],[17]:[19]])</f>
        <v>114</v>
      </c>
      <c r="I116" s="19">
        <f>SUM(Table135[[#This Row],['#punten]:[19]])</f>
        <v>790</v>
      </c>
    </row>
    <row r="117" spans="1:14" x14ac:dyDescent="0.2">
      <c r="A117" s="6" t="s">
        <v>368</v>
      </c>
      <c r="B117" s="28" t="s">
        <v>10</v>
      </c>
      <c r="C117" s="30" t="s">
        <v>203</v>
      </c>
      <c r="D117" s="31">
        <v>360</v>
      </c>
      <c r="E117">
        <v>18</v>
      </c>
      <c r="F117">
        <v>102</v>
      </c>
      <c r="G117">
        <v>-6</v>
      </c>
      <c r="H117" s="1">
        <f>SUM(Table135[[#This Row],[17]:[19]])</f>
        <v>114</v>
      </c>
      <c r="I117" s="19">
        <f>SUM(Table135[[#This Row],['#punten]:[19]])</f>
        <v>474</v>
      </c>
    </row>
    <row r="118" spans="1:14" x14ac:dyDescent="0.2">
      <c r="A118" s="2" t="s">
        <v>249</v>
      </c>
      <c r="B118" s="28" t="s">
        <v>10</v>
      </c>
      <c r="C118" s="30" t="s">
        <v>149</v>
      </c>
      <c r="D118" s="31">
        <v>400</v>
      </c>
      <c r="E118">
        <f>36-24+6</f>
        <v>18</v>
      </c>
      <c r="F118">
        <v>118</v>
      </c>
      <c r="G118">
        <v>-6</v>
      </c>
      <c r="H118" s="1">
        <f>SUM(Table135[[#This Row],[17]:[19]])</f>
        <v>130</v>
      </c>
      <c r="I118" s="19">
        <f>SUM(Table135[[#This Row],['#punten]:[19]])</f>
        <v>530</v>
      </c>
    </row>
    <row r="119" spans="1:14" x14ac:dyDescent="0.2">
      <c r="A119" s="6" t="s">
        <v>251</v>
      </c>
      <c r="B119" s="28" t="s">
        <v>10</v>
      </c>
      <c r="C119" s="30" t="s">
        <v>203</v>
      </c>
      <c r="D119" s="31">
        <v>516</v>
      </c>
      <c r="E119">
        <v>18</v>
      </c>
      <c r="F119">
        <v>102</v>
      </c>
      <c r="G119">
        <v>18</v>
      </c>
      <c r="H119" s="1">
        <f>SUM(Table135[[#This Row],[17]:[19]])</f>
        <v>138</v>
      </c>
      <c r="I119" s="19">
        <f>SUM(Table135[[#This Row],['#punten]:[19]])</f>
        <v>654</v>
      </c>
    </row>
    <row r="120" spans="1:14" x14ac:dyDescent="0.2">
      <c r="A120" s="11" t="s">
        <v>255</v>
      </c>
      <c r="B120" s="21" t="s">
        <v>10</v>
      </c>
      <c r="C120" s="23" t="s">
        <v>135</v>
      </c>
      <c r="D120" s="24">
        <v>682</v>
      </c>
      <c r="E120">
        <v>66</v>
      </c>
      <c r="F120">
        <v>46</v>
      </c>
      <c r="G120">
        <v>34</v>
      </c>
      <c r="H120" s="1">
        <f>SUM(Table135[[#This Row],[17]:[19]])</f>
        <v>146</v>
      </c>
      <c r="I120" s="19">
        <f>SUM(Table135[[#This Row],['#punten]:[19]])</f>
        <v>828</v>
      </c>
    </row>
    <row r="121" spans="1:14" x14ac:dyDescent="0.2">
      <c r="A121" s="39" t="s">
        <v>253</v>
      </c>
      <c r="B121" s="28" t="s">
        <v>10</v>
      </c>
      <c r="C121" s="30" t="s">
        <v>140</v>
      </c>
      <c r="D121" s="31">
        <v>702</v>
      </c>
      <c r="E121">
        <v>102</v>
      </c>
      <c r="F121">
        <v>70</v>
      </c>
      <c r="G121">
        <v>22</v>
      </c>
      <c r="H121" s="1">
        <f>SUM(Table135[[#This Row],[17]:[19]])</f>
        <v>194</v>
      </c>
      <c r="I121" s="19">
        <f>SUM(Table135[[#This Row],['#punten]:[19]])</f>
        <v>896</v>
      </c>
    </row>
    <row r="122" spans="1:14" x14ac:dyDescent="0.2">
      <c r="A122" s="6" t="s">
        <v>252</v>
      </c>
      <c r="B122" s="21" t="s">
        <v>10</v>
      </c>
      <c r="C122" s="23" t="s">
        <v>203</v>
      </c>
      <c r="D122" s="24">
        <v>630</v>
      </c>
      <c r="E122">
        <f>36-24+6</f>
        <v>18</v>
      </c>
      <c r="F122">
        <v>198</v>
      </c>
      <c r="G122">
        <v>-6</v>
      </c>
      <c r="H122" s="1">
        <f>SUM(Table135[[#This Row],[17]:[19]])</f>
        <v>210</v>
      </c>
      <c r="I122" s="19">
        <f>SUM(Table135[[#This Row],['#punten]:[19]])</f>
        <v>840</v>
      </c>
    </row>
    <row r="123" spans="1:14" x14ac:dyDescent="0.2">
      <c r="A123" s="39" t="s">
        <v>257</v>
      </c>
      <c r="B123" s="21" t="s">
        <v>10</v>
      </c>
      <c r="C123" s="23" t="s">
        <v>140</v>
      </c>
      <c r="D123" s="24">
        <v>1254</v>
      </c>
      <c r="E123">
        <f>1356-1254</f>
        <v>102</v>
      </c>
      <c r="F123">
        <v>70</v>
      </c>
      <c r="G123">
        <v>102</v>
      </c>
      <c r="H123" s="1">
        <f>SUM(Table135[[#This Row],[17]:[19]])</f>
        <v>274</v>
      </c>
      <c r="I123" s="19">
        <f>SUM(Table135[[#This Row],['#punten]:[19]])</f>
        <v>1528</v>
      </c>
    </row>
    <row r="124" spans="1:14" x14ac:dyDescent="0.2">
      <c r="A124" s="39" t="s">
        <v>263</v>
      </c>
      <c r="B124" s="21" t="s">
        <v>260</v>
      </c>
      <c r="C124" s="23" t="s">
        <v>140</v>
      </c>
      <c r="D124" s="24">
        <v>536</v>
      </c>
      <c r="E124">
        <v>0</v>
      </c>
      <c r="F124">
        <v>0</v>
      </c>
      <c r="G124">
        <v>0</v>
      </c>
      <c r="H124" s="1">
        <f>SUM(Table135[[#This Row],[17]:[19]])</f>
        <v>0</v>
      </c>
      <c r="I124" s="19">
        <f>SUM(Table135[[#This Row],['#punten]:[19]])</f>
        <v>536</v>
      </c>
    </row>
    <row r="125" spans="1:14" x14ac:dyDescent="0.2">
      <c r="A125" s="11" t="s">
        <v>259</v>
      </c>
      <c r="B125" s="21" t="s">
        <v>260</v>
      </c>
      <c r="C125" s="23" t="s">
        <v>135</v>
      </c>
      <c r="D125" s="24">
        <v>988</v>
      </c>
      <c r="E125">
        <v>48</v>
      </c>
      <c r="F125">
        <v>0</v>
      </c>
      <c r="G125">
        <v>0</v>
      </c>
      <c r="H125" s="1">
        <f>SUM(Table135[[#This Row],[17]:[19]])</f>
        <v>48</v>
      </c>
      <c r="I125" s="19">
        <f>SUM(Table135[[#This Row],['#punten]:[19]])</f>
        <v>1036</v>
      </c>
    </row>
    <row r="126" spans="1:14" x14ac:dyDescent="0.2">
      <c r="A126" s="39" t="s">
        <v>262</v>
      </c>
      <c r="B126" s="28" t="s">
        <v>260</v>
      </c>
      <c r="C126" s="30" t="s">
        <v>140</v>
      </c>
      <c r="D126" s="31">
        <v>680</v>
      </c>
      <c r="E126">
        <v>22</v>
      </c>
      <c r="F126">
        <v>11</v>
      </c>
      <c r="G126">
        <v>70</v>
      </c>
      <c r="H126" s="1">
        <f>SUM(Table135[[#This Row],[17]:[19]])</f>
        <v>103</v>
      </c>
      <c r="I126" s="19">
        <f>SUM(Table135[[#This Row],['#punten]:[19]])</f>
        <v>783</v>
      </c>
    </row>
    <row r="127" spans="1:14" x14ac:dyDescent="0.2">
      <c r="A127" s="6" t="s">
        <v>370</v>
      </c>
      <c r="B127" s="21" t="s">
        <v>260</v>
      </c>
      <c r="C127" s="23" t="s">
        <v>203</v>
      </c>
      <c r="D127" s="24">
        <v>532</v>
      </c>
      <c r="E127">
        <f>18-24</f>
        <v>-6</v>
      </c>
      <c r="F127">
        <v>18</v>
      </c>
      <c r="G127">
        <v>102</v>
      </c>
      <c r="H127" s="1">
        <f>SUM(Table135[[#This Row],[17]:[19]])</f>
        <v>114</v>
      </c>
      <c r="I127" s="19">
        <f>SUM(Table135[[#This Row],['#punten]:[19]])</f>
        <v>646</v>
      </c>
    </row>
    <row r="128" spans="1:14" x14ac:dyDescent="0.2">
      <c r="A128" s="6" t="s">
        <v>265</v>
      </c>
      <c r="B128" s="21" t="s">
        <v>260</v>
      </c>
      <c r="C128" s="23" t="s">
        <v>203</v>
      </c>
      <c r="D128" s="24">
        <v>492</v>
      </c>
      <c r="E128">
        <v>18</v>
      </c>
      <c r="F128">
        <v>18</v>
      </c>
      <c r="G128">
        <v>78</v>
      </c>
      <c r="H128" s="1">
        <f>SUM(Table135[[#This Row],[17]:[19]])</f>
        <v>114</v>
      </c>
      <c r="I128" s="19">
        <f>SUM(Table135[[#This Row],['#punten]:[19]])</f>
        <v>606</v>
      </c>
    </row>
    <row r="129" spans="1:18" x14ac:dyDescent="0.2">
      <c r="A129" s="6" t="s">
        <v>266</v>
      </c>
      <c r="B129" s="51" t="s">
        <v>260</v>
      </c>
      <c r="C129" s="53" t="s">
        <v>203</v>
      </c>
      <c r="D129" s="54">
        <v>420</v>
      </c>
      <c r="E129">
        <f>36+6-24</f>
        <v>18</v>
      </c>
      <c r="F129">
        <v>18</v>
      </c>
      <c r="G129">
        <v>102</v>
      </c>
      <c r="H129" s="1">
        <f>SUM(Table135[[#This Row],[17]:[19]])</f>
        <v>138</v>
      </c>
      <c r="I129" s="19">
        <f>SUM(Table135[[#This Row],['#punten]:[19]])</f>
        <v>558</v>
      </c>
    </row>
    <row r="130" spans="1:18" x14ac:dyDescent="0.2">
      <c r="A130" s="2" t="s">
        <v>268</v>
      </c>
      <c r="B130" s="28" t="s">
        <v>260</v>
      </c>
      <c r="C130" s="30" t="s">
        <v>149</v>
      </c>
      <c r="D130" s="31">
        <v>580</v>
      </c>
      <c r="E130">
        <f>36-24+6</f>
        <v>18</v>
      </c>
      <c r="F130">
        <v>18</v>
      </c>
      <c r="G130">
        <v>118</v>
      </c>
      <c r="H130" s="1">
        <f>SUM(Table135[[#This Row],[17]:[19]])</f>
        <v>154</v>
      </c>
      <c r="I130" s="19">
        <f>SUM(Table135[[#This Row],['#punten]:[19]])</f>
        <v>734</v>
      </c>
    </row>
    <row r="131" spans="1:18" x14ac:dyDescent="0.2">
      <c r="A131" s="39" t="s">
        <v>581</v>
      </c>
      <c r="B131" s="28" t="s">
        <v>260</v>
      </c>
      <c r="C131" s="30" t="s">
        <v>140</v>
      </c>
      <c r="D131" s="31">
        <f>622-22</f>
        <v>600</v>
      </c>
      <c r="E131">
        <v>22</v>
      </c>
      <c r="F131">
        <v>102</v>
      </c>
      <c r="G131">
        <v>70</v>
      </c>
      <c r="H131" s="1">
        <f>SUM(Table135[[#This Row],[17]:[19]])</f>
        <v>194</v>
      </c>
      <c r="I131" s="19">
        <f>SUM(Table135[[#This Row],['#punten]:[19]])</f>
        <v>794</v>
      </c>
    </row>
    <row r="132" spans="1:18" x14ac:dyDescent="0.2">
      <c r="A132" s="39" t="s">
        <v>264</v>
      </c>
      <c r="B132" s="21" t="s">
        <v>260</v>
      </c>
      <c r="C132" s="23" t="s">
        <v>140</v>
      </c>
      <c r="D132" s="24">
        <v>540</v>
      </c>
      <c r="E132">
        <f>28+6-12</f>
        <v>22</v>
      </c>
      <c r="F132">
        <v>22</v>
      </c>
      <c r="G132">
        <v>150</v>
      </c>
      <c r="H132" s="1">
        <f>SUM(Table135[[#This Row],[17]:[19]])</f>
        <v>194</v>
      </c>
      <c r="I132" s="19">
        <f>SUM(Table135[[#This Row],['#punten]:[19]])</f>
        <v>734</v>
      </c>
    </row>
    <row r="133" spans="1:18" x14ac:dyDescent="0.2">
      <c r="A133" s="11" t="s">
        <v>261</v>
      </c>
      <c r="B133" s="28" t="s">
        <v>260</v>
      </c>
      <c r="C133" s="30" t="s">
        <v>135</v>
      </c>
      <c r="D133" s="31">
        <v>938</v>
      </c>
      <c r="E133">
        <f>49*2</f>
        <v>98</v>
      </c>
      <c r="F133">
        <v>98</v>
      </c>
      <c r="G133">
        <v>46</v>
      </c>
      <c r="H133" s="1">
        <f>SUM(Table135[[#This Row],[17]:[19]])</f>
        <v>242</v>
      </c>
      <c r="I133" s="19">
        <f>SUM(Table135[[#This Row],['#punten]:[19]])</f>
        <v>1180</v>
      </c>
    </row>
    <row r="134" spans="1:18" x14ac:dyDescent="0.2">
      <c r="A134" s="39" t="s">
        <v>122</v>
      </c>
      <c r="B134" s="21" t="s">
        <v>260</v>
      </c>
      <c r="C134" s="23" t="s">
        <v>140</v>
      </c>
      <c r="D134" s="24">
        <v>744</v>
      </c>
      <c r="E134">
        <v>142</v>
      </c>
      <c r="F134">
        <v>22</v>
      </c>
      <c r="G134">
        <v>110</v>
      </c>
      <c r="H134" s="1">
        <f>SUM(Table135[[#This Row],[17]:[19]])</f>
        <v>274</v>
      </c>
      <c r="I134" s="19">
        <f>SUM(Table135[[#This Row],['#punten]:[19]])</f>
        <v>1018</v>
      </c>
    </row>
    <row r="135" spans="1:18" x14ac:dyDescent="0.2">
      <c r="A135" s="11" t="s">
        <v>510</v>
      </c>
      <c r="B135" s="28" t="s">
        <v>11</v>
      </c>
      <c r="C135" s="30" t="s">
        <v>135</v>
      </c>
      <c r="D135" s="31">
        <v>528</v>
      </c>
      <c r="E135">
        <v>0</v>
      </c>
      <c r="F135">
        <v>0</v>
      </c>
      <c r="G135">
        <v>0</v>
      </c>
      <c r="H135" s="1">
        <f>SUM(Table135[[#This Row],[17]:[19]])</f>
        <v>0</v>
      </c>
      <c r="I135" s="19">
        <f>SUM(Table135[[#This Row],['#punten]:[19]])</f>
        <v>528</v>
      </c>
    </row>
    <row r="136" spans="1:18" x14ac:dyDescent="0.2">
      <c r="A136" s="39" t="s">
        <v>273</v>
      </c>
      <c r="B136" s="28" t="s">
        <v>11</v>
      </c>
      <c r="C136" s="30" t="s">
        <v>140</v>
      </c>
      <c r="D136" s="31">
        <v>968</v>
      </c>
      <c r="E136">
        <v>0</v>
      </c>
      <c r="F136">
        <v>0</v>
      </c>
      <c r="G136">
        <v>0</v>
      </c>
      <c r="H136" s="1">
        <f>SUM(Table135[[#This Row],[17]:[19]])</f>
        <v>0</v>
      </c>
      <c r="I136" s="19">
        <f>SUM(Table135[[#This Row],['#punten]:[19]])</f>
        <v>968</v>
      </c>
    </row>
    <row r="137" spans="1:18" x14ac:dyDescent="0.2">
      <c r="A137" s="6" t="s">
        <v>282</v>
      </c>
      <c r="B137" s="28" t="s">
        <v>11</v>
      </c>
      <c r="C137" s="30" t="s">
        <v>203</v>
      </c>
      <c r="D137" s="31">
        <v>876</v>
      </c>
      <c r="E137">
        <v>0</v>
      </c>
      <c r="F137">
        <v>0</v>
      </c>
      <c r="G137">
        <v>0</v>
      </c>
      <c r="H137" s="1">
        <f>SUM(Table135[[#This Row],[17]:[19]])</f>
        <v>0</v>
      </c>
      <c r="I137" s="19">
        <f>SUM(Table135[[#This Row],['#punten]:[19]])</f>
        <v>876</v>
      </c>
    </row>
    <row r="138" spans="1:18" x14ac:dyDescent="0.2">
      <c r="A138" s="11" t="s">
        <v>371</v>
      </c>
      <c r="B138" s="51" t="s">
        <v>11</v>
      </c>
      <c r="C138" s="53" t="s">
        <v>135</v>
      </c>
      <c r="D138" s="54">
        <v>476</v>
      </c>
      <c r="E138">
        <v>0</v>
      </c>
      <c r="F138">
        <v>34</v>
      </c>
      <c r="G138">
        <v>0</v>
      </c>
      <c r="H138" s="1">
        <f>SUM(Table135[[#This Row],[17]:[19]])</f>
        <v>34</v>
      </c>
      <c r="I138" s="19">
        <f>SUM(Table135[[#This Row],['#punten]:[19]])</f>
        <v>510</v>
      </c>
    </row>
    <row r="139" spans="1:18" x14ac:dyDescent="0.2">
      <c r="A139" s="11" t="s">
        <v>34</v>
      </c>
      <c r="B139" s="51" t="s">
        <v>11</v>
      </c>
      <c r="C139" s="53" t="s">
        <v>135</v>
      </c>
      <c r="D139" s="54">
        <v>564</v>
      </c>
      <c r="E139">
        <v>0</v>
      </c>
      <c r="F139">
        <v>0</v>
      </c>
      <c r="G139">
        <v>46</v>
      </c>
      <c r="H139" s="1">
        <f>SUM(Table135[[#This Row],[17]:[19]])</f>
        <v>46</v>
      </c>
      <c r="I139" s="19">
        <f>SUM(Table135[[#This Row],['#punten]:[19]])</f>
        <v>610</v>
      </c>
    </row>
    <row r="140" spans="1:18" x14ac:dyDescent="0.2">
      <c r="A140" s="11" t="s">
        <v>352</v>
      </c>
      <c r="B140" s="51" t="s">
        <v>11</v>
      </c>
      <c r="C140" s="53" t="s">
        <v>135</v>
      </c>
      <c r="D140" s="54">
        <v>770</v>
      </c>
      <c r="E140">
        <v>0</v>
      </c>
      <c r="F140">
        <v>0</v>
      </c>
      <c r="G140">
        <v>46</v>
      </c>
      <c r="H140" s="1">
        <f>SUM(Table135[[#This Row],[17]:[19]])</f>
        <v>46</v>
      </c>
      <c r="I140" s="19">
        <f>SUM(Table135[[#This Row],['#punten]:[19]])</f>
        <v>816</v>
      </c>
    </row>
    <row r="141" spans="1:18" x14ac:dyDescent="0.2">
      <c r="A141" s="39" t="s">
        <v>120</v>
      </c>
      <c r="B141" s="51" t="s">
        <v>11</v>
      </c>
      <c r="C141" s="53" t="s">
        <v>140</v>
      </c>
      <c r="D141" s="54">
        <v>1588</v>
      </c>
      <c r="E141">
        <v>46</v>
      </c>
      <c r="F141">
        <v>0</v>
      </c>
      <c r="G141">
        <v>0</v>
      </c>
      <c r="H141" s="1">
        <f>SUM(Table135[[#This Row],[17]:[19]])</f>
        <v>46</v>
      </c>
      <c r="I141" s="19">
        <f>SUM(Table135[[#This Row],['#punten]:[19]])</f>
        <v>1634</v>
      </c>
    </row>
    <row r="142" spans="1:18" x14ac:dyDescent="0.2">
      <c r="A142" s="39" t="s">
        <v>271</v>
      </c>
      <c r="B142" s="51" t="s">
        <v>11</v>
      </c>
      <c r="C142" s="53" t="s">
        <v>140</v>
      </c>
      <c r="D142" s="54">
        <v>1090</v>
      </c>
      <c r="E142">
        <v>46</v>
      </c>
      <c r="F142">
        <v>34</v>
      </c>
      <c r="G142">
        <v>0</v>
      </c>
      <c r="H142" s="1">
        <f>SUM(Table135[[#This Row],[17]:[19]])</f>
        <v>80</v>
      </c>
      <c r="I142" s="19">
        <f>SUM(Table135[[#This Row],['#punten]:[19]])</f>
        <v>1170</v>
      </c>
      <c r="L142" t="s">
        <v>567</v>
      </c>
      <c r="M142" s="105" t="s">
        <v>574</v>
      </c>
      <c r="N142" s="105"/>
      <c r="O142" t="s">
        <v>575</v>
      </c>
      <c r="P142" t="s">
        <v>576</v>
      </c>
      <c r="Q142" t="s">
        <v>577</v>
      </c>
      <c r="R142" t="s">
        <v>578</v>
      </c>
    </row>
    <row r="143" spans="1:18" x14ac:dyDescent="0.2">
      <c r="A143" s="39" t="s">
        <v>272</v>
      </c>
      <c r="B143" s="51" t="s">
        <v>11</v>
      </c>
      <c r="C143" s="53" t="s">
        <v>140</v>
      </c>
      <c r="D143" s="54">
        <v>1458</v>
      </c>
      <c r="E143">
        <v>46</v>
      </c>
      <c r="F143">
        <v>34</v>
      </c>
      <c r="G143">
        <v>70</v>
      </c>
      <c r="H143" s="1">
        <f>SUM(Table135[[#This Row],[17]:[19]])</f>
        <v>150</v>
      </c>
      <c r="I143" s="19">
        <f>SUM(Table135[[#This Row],['#punten]:[19]])</f>
        <v>1608</v>
      </c>
      <c r="M143" t="s">
        <v>572</v>
      </c>
      <c r="N143" t="s">
        <v>573</v>
      </c>
    </row>
    <row r="144" spans="1:18" x14ac:dyDescent="0.2">
      <c r="A144" s="39" t="s">
        <v>275</v>
      </c>
      <c r="B144" s="51" t="s">
        <v>11</v>
      </c>
      <c r="C144" s="53" t="s">
        <v>140</v>
      </c>
      <c r="D144" s="54">
        <v>764</v>
      </c>
      <c r="E144">
        <v>46</v>
      </c>
      <c r="F144">
        <v>34</v>
      </c>
      <c r="G144">
        <v>70</v>
      </c>
      <c r="H144" s="1">
        <f>SUM(Table135[[#This Row],[17]:[19]])</f>
        <v>150</v>
      </c>
      <c r="I144" s="19">
        <f>SUM(Table135[[#This Row],['#punten]:[19]])</f>
        <v>914</v>
      </c>
      <c r="K144" t="s">
        <v>568</v>
      </c>
      <c r="L144">
        <v>36</v>
      </c>
      <c r="M144">
        <v>18</v>
      </c>
      <c r="N144">
        <v>6</v>
      </c>
      <c r="O144">
        <v>128</v>
      </c>
      <c r="P144">
        <v>64</v>
      </c>
      <c r="Q144">
        <v>64</v>
      </c>
      <c r="R144">
        <v>-24</v>
      </c>
    </row>
    <row r="145" spans="1:18" x14ac:dyDescent="0.2">
      <c r="A145" s="11" t="s">
        <v>270</v>
      </c>
      <c r="B145" s="28" t="s">
        <v>11</v>
      </c>
      <c r="C145" s="30" t="s">
        <v>135</v>
      </c>
      <c r="D145" s="31">
        <v>1068</v>
      </c>
      <c r="E145">
        <v>46</v>
      </c>
      <c r="F145">
        <v>98</v>
      </c>
      <c r="G145">
        <v>46</v>
      </c>
      <c r="H145" s="1">
        <f>SUM(Table135[[#This Row],[17]:[19]])</f>
        <v>190</v>
      </c>
      <c r="I145" s="19">
        <f>SUM(Table135[[#This Row],['#punten]:[19]])</f>
        <v>1258</v>
      </c>
      <c r="K145" t="s">
        <v>569</v>
      </c>
      <c r="L145">
        <v>36</v>
      </c>
      <c r="M145">
        <v>18</v>
      </c>
      <c r="N145">
        <v>6</v>
      </c>
      <c r="O145">
        <v>96</v>
      </c>
      <c r="P145">
        <v>48</v>
      </c>
      <c r="Q145">
        <v>48</v>
      </c>
      <c r="R145">
        <v>-24</v>
      </c>
    </row>
    <row r="146" spans="1:18" x14ac:dyDescent="0.2">
      <c r="A146" s="6" t="s">
        <v>280</v>
      </c>
      <c r="B146" s="51" t="s">
        <v>11</v>
      </c>
      <c r="C146" s="53" t="s">
        <v>203</v>
      </c>
      <c r="D146" s="54">
        <v>1026</v>
      </c>
      <c r="E146">
        <v>54</v>
      </c>
      <c r="F146">
        <v>42</v>
      </c>
      <c r="G146">
        <v>102</v>
      </c>
      <c r="H146" s="1">
        <f>SUM(Table135[[#This Row],[17]:[19]])</f>
        <v>198</v>
      </c>
      <c r="I146" s="19">
        <f>SUM(Table135[[#This Row],['#punten]:[19]])</f>
        <v>1224</v>
      </c>
      <c r="K146" t="s">
        <v>570</v>
      </c>
      <c r="L146">
        <v>28</v>
      </c>
      <c r="M146">
        <v>18</v>
      </c>
      <c r="N146">
        <v>6</v>
      </c>
      <c r="O146">
        <v>80</v>
      </c>
      <c r="P146">
        <v>40</v>
      </c>
      <c r="Q146">
        <v>24</v>
      </c>
      <c r="R146">
        <v>-12</v>
      </c>
    </row>
    <row r="147" spans="1:18" x14ac:dyDescent="0.2">
      <c r="A147" s="6" t="s">
        <v>279</v>
      </c>
      <c r="B147" s="51" t="s">
        <v>11</v>
      </c>
      <c r="C147" s="53" t="s">
        <v>203</v>
      </c>
      <c r="D147" s="54">
        <v>1260</v>
      </c>
      <c r="E147">
        <v>54</v>
      </c>
      <c r="F147">
        <v>42</v>
      </c>
      <c r="G147">
        <v>102</v>
      </c>
      <c r="H147" s="1">
        <f>SUM(Table135[[#This Row],[17]:[19]])</f>
        <v>198</v>
      </c>
      <c r="I147" s="19">
        <f>SUM(Table135[[#This Row],['#punten]:[19]])</f>
        <v>1458</v>
      </c>
      <c r="K147" t="s">
        <v>571</v>
      </c>
      <c r="L147">
        <v>28</v>
      </c>
      <c r="M147">
        <v>18</v>
      </c>
      <c r="N147">
        <v>6</v>
      </c>
      <c r="O147">
        <v>64</v>
      </c>
      <c r="P147">
        <v>32</v>
      </c>
      <c r="Q147">
        <v>0</v>
      </c>
      <c r="R147">
        <v>0</v>
      </c>
    </row>
    <row r="148" spans="1:18" x14ac:dyDescent="0.2">
      <c r="A148" s="2" t="s">
        <v>283</v>
      </c>
      <c r="B148" s="62" t="s">
        <v>11</v>
      </c>
      <c r="C148" s="60" t="s">
        <v>149</v>
      </c>
      <c r="D148" s="58">
        <v>1520</v>
      </c>
      <c r="E148">
        <v>54</v>
      </c>
      <c r="F148">
        <v>42</v>
      </c>
      <c r="G148">
        <v>118</v>
      </c>
      <c r="H148" s="1">
        <f>SUM(Table135[[#This Row],[17]:[19]])</f>
        <v>214</v>
      </c>
      <c r="I148" s="19">
        <f>SUM(Table135[[#This Row],['#punten]:[19]])</f>
        <v>1734</v>
      </c>
    </row>
    <row r="149" spans="1:18" x14ac:dyDescent="0.2">
      <c r="A149" s="6" t="s">
        <v>276</v>
      </c>
      <c r="B149" s="51" t="s">
        <v>11</v>
      </c>
      <c r="C149" s="53" t="s">
        <v>203</v>
      </c>
      <c r="D149" s="54">
        <v>1302</v>
      </c>
      <c r="E149">
        <v>102</v>
      </c>
      <c r="F149">
        <v>42</v>
      </c>
      <c r="G149">
        <v>102</v>
      </c>
      <c r="H149" s="1">
        <f>SUM(Table135[[#This Row],[17]:[19]])</f>
        <v>246</v>
      </c>
      <c r="I149" s="19">
        <f>SUM(Table135[[#This Row],['#punten]:[19]])</f>
        <v>1548</v>
      </c>
    </row>
    <row r="150" spans="1:18" x14ac:dyDescent="0.2">
      <c r="A150" s="6" t="s">
        <v>281</v>
      </c>
      <c r="B150" s="51" t="s">
        <v>11</v>
      </c>
      <c r="C150" s="53" t="s">
        <v>203</v>
      </c>
      <c r="D150" s="54">
        <v>1122</v>
      </c>
      <c r="E150">
        <v>102</v>
      </c>
      <c r="F150">
        <v>90</v>
      </c>
      <c r="G150">
        <v>150</v>
      </c>
      <c r="H150" s="1">
        <f>SUM(Table135[[#This Row],[17]:[19]])</f>
        <v>342</v>
      </c>
      <c r="I150" s="19">
        <f>SUM(Table135[[#This Row],['#punten]:[19]])</f>
        <v>1464</v>
      </c>
      <c r="M150" s="105"/>
      <c r="N150" s="105"/>
    </row>
    <row r="151" spans="1:18" x14ac:dyDescent="0.2">
      <c r="A151" s="11" t="s">
        <v>269</v>
      </c>
      <c r="B151" s="51" t="s">
        <v>11</v>
      </c>
      <c r="C151" s="53" t="s">
        <v>135</v>
      </c>
      <c r="D151" s="54">
        <v>1640</v>
      </c>
      <c r="E151">
        <v>302</v>
      </c>
      <c r="F151">
        <v>10</v>
      </c>
      <c r="G151">
        <v>174</v>
      </c>
      <c r="H151" s="1">
        <f>SUM(Table135[[#This Row],[17]:[19]])</f>
        <v>486</v>
      </c>
      <c r="I151" s="19">
        <f>SUM(Table135[[#This Row],['#punten]:[19]])</f>
        <v>2126</v>
      </c>
    </row>
    <row r="152" spans="1:18" x14ac:dyDescent="0.2">
      <c r="A152" s="6" t="s">
        <v>286</v>
      </c>
      <c r="B152" s="51" t="s">
        <v>40</v>
      </c>
      <c r="C152" s="53" t="s">
        <v>203</v>
      </c>
      <c r="D152" s="54">
        <v>472</v>
      </c>
      <c r="E152">
        <f>12-24</f>
        <v>-12</v>
      </c>
      <c r="F152">
        <v>-12</v>
      </c>
      <c r="G152">
        <v>18</v>
      </c>
      <c r="H152" s="1">
        <f>SUM(Table135[[#This Row],[17]:[19]])</f>
        <v>-6</v>
      </c>
      <c r="I152" s="19">
        <f>SUM(Table135[[#This Row],['#punten]:[19]])</f>
        <v>466</v>
      </c>
    </row>
    <row r="153" spans="1:18" x14ac:dyDescent="0.2">
      <c r="A153" s="11" t="s">
        <v>294</v>
      </c>
      <c r="B153" s="51" t="s">
        <v>40</v>
      </c>
      <c r="C153" s="53" t="s">
        <v>135</v>
      </c>
      <c r="D153" s="54">
        <v>254</v>
      </c>
      <c r="E153">
        <v>0</v>
      </c>
      <c r="F153">
        <v>0</v>
      </c>
      <c r="G153">
        <v>0</v>
      </c>
      <c r="H153" s="1">
        <f>SUM(Table135[[#This Row],[17]:[19]])</f>
        <v>0</v>
      </c>
      <c r="I153" s="19">
        <f>SUM(Table135[[#This Row],['#punten]:[19]])</f>
        <v>254</v>
      </c>
    </row>
    <row r="154" spans="1:18" x14ac:dyDescent="0.2">
      <c r="A154" s="11" t="s">
        <v>292</v>
      </c>
      <c r="B154" s="51" t="s">
        <v>40</v>
      </c>
      <c r="C154" s="53" t="s">
        <v>135</v>
      </c>
      <c r="D154" s="54">
        <v>288</v>
      </c>
      <c r="E154">
        <v>0</v>
      </c>
      <c r="F154">
        <v>0</v>
      </c>
      <c r="G154">
        <v>0</v>
      </c>
      <c r="H154" s="1">
        <f>SUM(Table135[[#This Row],[17]:[19]])</f>
        <v>0</v>
      </c>
      <c r="I154" s="19">
        <f>SUM(Table135[[#This Row],['#punten]:[19]])</f>
        <v>288</v>
      </c>
    </row>
    <row r="155" spans="1:18" x14ac:dyDescent="0.2">
      <c r="A155" s="39" t="s">
        <v>303</v>
      </c>
      <c r="B155" s="51" t="s">
        <v>40</v>
      </c>
      <c r="C155" s="53" t="s">
        <v>140</v>
      </c>
      <c r="D155" s="54">
        <v>190</v>
      </c>
      <c r="E155">
        <f>28-12</f>
        <v>16</v>
      </c>
      <c r="F155">
        <v>0</v>
      </c>
      <c r="G155">
        <v>0</v>
      </c>
      <c r="H155" s="1">
        <f>SUM(Table135[[#This Row],[17]:[19]])</f>
        <v>16</v>
      </c>
      <c r="I155" s="19">
        <f>SUM(Table135[[#This Row],['#punten]:[19]])</f>
        <v>206</v>
      </c>
    </row>
    <row r="156" spans="1:18" x14ac:dyDescent="0.2">
      <c r="A156" s="6" t="s">
        <v>521</v>
      </c>
      <c r="B156" s="51" t="s">
        <v>40</v>
      </c>
      <c r="C156" s="53" t="s">
        <v>203</v>
      </c>
      <c r="D156" s="54">
        <v>612</v>
      </c>
      <c r="E156">
        <v>12</v>
      </c>
      <c r="F156">
        <v>-12</v>
      </c>
      <c r="G156">
        <v>18</v>
      </c>
      <c r="H156" s="1">
        <f>SUM(Table135[[#This Row],[17]:[19]])</f>
        <v>18</v>
      </c>
      <c r="I156" s="19">
        <f>SUM(Table135[[#This Row],['#punten]:[19]])</f>
        <v>630</v>
      </c>
    </row>
    <row r="157" spans="1:18" x14ac:dyDescent="0.2">
      <c r="A157" s="39" t="s">
        <v>290</v>
      </c>
      <c r="B157" s="51" t="s">
        <v>40</v>
      </c>
      <c r="C157" s="53" t="s">
        <v>140</v>
      </c>
      <c r="D157" s="54">
        <v>736</v>
      </c>
      <c r="E157">
        <v>0</v>
      </c>
      <c r="F157">
        <v>4</v>
      </c>
      <c r="G157">
        <v>34</v>
      </c>
      <c r="H157" s="1">
        <f>SUM(Table135[[#This Row],[17]:[19]])</f>
        <v>38</v>
      </c>
      <c r="I157" s="19">
        <f>SUM(Table135[[#This Row],['#punten]:[19]])</f>
        <v>774</v>
      </c>
    </row>
    <row r="158" spans="1:18" x14ac:dyDescent="0.2">
      <c r="A158" s="6" t="s">
        <v>522</v>
      </c>
      <c r="B158" s="51" t="s">
        <v>40</v>
      </c>
      <c r="C158" s="53" t="s">
        <v>203</v>
      </c>
      <c r="D158" s="54">
        <v>420</v>
      </c>
      <c r="E158">
        <f>36-24</f>
        <v>12</v>
      </c>
      <c r="F158">
        <v>-12</v>
      </c>
      <c r="G158">
        <v>42</v>
      </c>
      <c r="H158" s="1">
        <f>SUM(Table135[[#This Row],[17]:[19]])</f>
        <v>42</v>
      </c>
      <c r="I158" s="19">
        <f>SUM(Table135[[#This Row],['#punten]:[19]])</f>
        <v>462</v>
      </c>
    </row>
    <row r="159" spans="1:18" x14ac:dyDescent="0.2">
      <c r="A159" s="6" t="s">
        <v>288</v>
      </c>
      <c r="B159" s="28" t="s">
        <v>40</v>
      </c>
      <c r="C159" s="30" t="s">
        <v>203</v>
      </c>
      <c r="D159" s="31">
        <v>576</v>
      </c>
      <c r="E159">
        <v>12</v>
      </c>
      <c r="F159">
        <v>-12</v>
      </c>
      <c r="G159">
        <v>42</v>
      </c>
      <c r="H159" s="1">
        <f>SUM(Table135[[#This Row],[17]:[19]])</f>
        <v>42</v>
      </c>
      <c r="I159" s="19">
        <f>SUM(Table135[[#This Row],['#punten]:[19]])</f>
        <v>618</v>
      </c>
    </row>
    <row r="160" spans="1:18" x14ac:dyDescent="0.2">
      <c r="A160" s="11" t="s">
        <v>318</v>
      </c>
      <c r="B160" s="51" t="s">
        <v>40</v>
      </c>
      <c r="C160" s="53" t="s">
        <v>135</v>
      </c>
      <c r="D160" s="54">
        <v>422</v>
      </c>
      <c r="E160">
        <v>0</v>
      </c>
      <c r="F160">
        <v>28</v>
      </c>
      <c r="G160">
        <v>34</v>
      </c>
      <c r="H160" s="1">
        <f>SUM(Table135[[#This Row],[17]:[19]])</f>
        <v>62</v>
      </c>
      <c r="I160" s="19">
        <f>SUM(Table135[[#This Row],['#punten]:[19]])</f>
        <v>484</v>
      </c>
    </row>
    <row r="161" spans="1:9" x14ac:dyDescent="0.2">
      <c r="A161" s="2" t="s">
        <v>27</v>
      </c>
      <c r="B161" s="51" t="s">
        <v>40</v>
      </c>
      <c r="C161" s="53" t="s">
        <v>149</v>
      </c>
      <c r="D161" s="54">
        <v>434</v>
      </c>
      <c r="E161">
        <v>12</v>
      </c>
      <c r="F161">
        <v>52</v>
      </c>
      <c r="G161">
        <v>18</v>
      </c>
      <c r="H161" s="1">
        <f>SUM(Table135[[#This Row],[17]:[19]])</f>
        <v>82</v>
      </c>
      <c r="I161" s="19">
        <f>SUM(Table135[[#This Row],['#punten]:[19]])</f>
        <v>516</v>
      </c>
    </row>
    <row r="162" spans="1:9" x14ac:dyDescent="0.2">
      <c r="A162" s="11" t="s">
        <v>293</v>
      </c>
      <c r="B162" s="51" t="s">
        <v>40</v>
      </c>
      <c r="C162" s="53" t="s">
        <v>135</v>
      </c>
      <c r="D162" s="54">
        <v>618</v>
      </c>
      <c r="E162">
        <f>28</f>
        <v>28</v>
      </c>
      <c r="F162">
        <v>28</v>
      </c>
      <c r="G162">
        <v>34</v>
      </c>
      <c r="H162" s="1">
        <f>SUM(Table135[[#This Row],[17]:[19]])</f>
        <v>90</v>
      </c>
      <c r="I162" s="19">
        <f>SUM(Table135[[#This Row],['#punten]:[19]])</f>
        <v>708</v>
      </c>
    </row>
    <row r="163" spans="1:9" x14ac:dyDescent="0.2">
      <c r="A163" s="11" t="s">
        <v>291</v>
      </c>
      <c r="B163" s="51" t="s">
        <v>40</v>
      </c>
      <c r="C163" s="53" t="s">
        <v>135</v>
      </c>
      <c r="D163" s="54">
        <v>716</v>
      </c>
      <c r="E163">
        <v>92</v>
      </c>
      <c r="F163">
        <v>92</v>
      </c>
      <c r="G163">
        <v>10</v>
      </c>
      <c r="H163" s="1">
        <f>SUM(Table135[[#This Row],[17]:[19]])</f>
        <v>194</v>
      </c>
      <c r="I163" s="19">
        <f>SUM(Table135[[#This Row],['#punten]:[19]])</f>
        <v>910</v>
      </c>
    </row>
    <row r="164" spans="1:9" x14ac:dyDescent="0.2">
      <c r="A164" s="11" t="s">
        <v>297</v>
      </c>
      <c r="B164" s="51" t="s">
        <v>47</v>
      </c>
      <c r="C164" s="53" t="s">
        <v>135</v>
      </c>
      <c r="D164" s="54">
        <v>348</v>
      </c>
      <c r="E164">
        <v>0</v>
      </c>
      <c r="F164">
        <v>0</v>
      </c>
      <c r="G164">
        <v>0</v>
      </c>
      <c r="H164" s="1">
        <f>SUM(Table135[[#This Row],[17]:[19]])</f>
        <v>0</v>
      </c>
      <c r="I164" s="19">
        <f>SUM(Table135[[#This Row],['#punten]:[19]])</f>
        <v>348</v>
      </c>
    </row>
    <row r="165" spans="1:9" x14ac:dyDescent="0.2">
      <c r="A165" s="39" t="s">
        <v>479</v>
      </c>
      <c r="B165" s="51" t="s">
        <v>47</v>
      </c>
      <c r="C165" s="53" t="s">
        <v>140</v>
      </c>
      <c r="D165" s="54">
        <v>488</v>
      </c>
      <c r="E165">
        <v>0</v>
      </c>
      <c r="F165">
        <v>0</v>
      </c>
      <c r="G165">
        <v>0</v>
      </c>
      <c r="H165" s="1">
        <f>SUM(Table135[[#This Row],[17]:[19]])</f>
        <v>0</v>
      </c>
      <c r="I165" s="19">
        <f>SUM(Table135[[#This Row],['#punten]:[19]])</f>
        <v>488</v>
      </c>
    </row>
    <row r="166" spans="1:9" x14ac:dyDescent="0.2">
      <c r="A166" s="6" t="s">
        <v>119</v>
      </c>
      <c r="B166" s="51" t="s">
        <v>47</v>
      </c>
      <c r="C166" s="53" t="s">
        <v>203</v>
      </c>
      <c r="D166" s="54">
        <v>780</v>
      </c>
      <c r="E166">
        <v>0</v>
      </c>
      <c r="F166">
        <v>0</v>
      </c>
      <c r="G166">
        <v>42</v>
      </c>
      <c r="H166" s="1">
        <f>SUM(Table135[[#This Row],[17]:[19]])</f>
        <v>42</v>
      </c>
      <c r="I166" s="19">
        <f>SUM(Table135[[#This Row],['#punten]:[19]])</f>
        <v>822</v>
      </c>
    </row>
    <row r="167" spans="1:9" x14ac:dyDescent="0.2">
      <c r="A167" s="6" t="s">
        <v>305</v>
      </c>
      <c r="B167" s="51" t="s">
        <v>47</v>
      </c>
      <c r="C167" s="53" t="s">
        <v>203</v>
      </c>
      <c r="D167" s="54">
        <v>564</v>
      </c>
      <c r="E167">
        <v>0</v>
      </c>
      <c r="F167">
        <v>12</v>
      </c>
      <c r="G167">
        <v>42</v>
      </c>
      <c r="H167" s="1">
        <f>SUM(Table135[[#This Row],[17]:[19]])</f>
        <v>54</v>
      </c>
      <c r="I167" s="19">
        <f>SUM(Table135[[#This Row],['#punten]:[19]])</f>
        <v>618</v>
      </c>
    </row>
    <row r="168" spans="1:9" x14ac:dyDescent="0.2">
      <c r="A168" s="39" t="s">
        <v>300</v>
      </c>
      <c r="B168" s="51" t="s">
        <v>47</v>
      </c>
      <c r="C168" s="53" t="s">
        <v>140</v>
      </c>
      <c r="D168" s="54">
        <v>690</v>
      </c>
      <c r="E168">
        <v>70</v>
      </c>
      <c r="F168">
        <v>16</v>
      </c>
      <c r="G168">
        <v>-22</v>
      </c>
      <c r="H168" s="1">
        <f>SUM(Table135[[#This Row],[17]:[19]])</f>
        <v>64</v>
      </c>
      <c r="I168" s="19">
        <f>SUM(Table135[[#This Row],['#punten]:[19]])</f>
        <v>754</v>
      </c>
    </row>
    <row r="169" spans="1:9" x14ac:dyDescent="0.2">
      <c r="A169" s="39" t="s">
        <v>302</v>
      </c>
      <c r="B169" s="51" t="s">
        <v>47</v>
      </c>
      <c r="C169" s="53" t="s">
        <v>140</v>
      </c>
      <c r="D169" s="54">
        <v>592</v>
      </c>
      <c r="E169">
        <v>70</v>
      </c>
      <c r="F169">
        <v>16</v>
      </c>
      <c r="G169">
        <v>0</v>
      </c>
      <c r="H169" s="1">
        <f>SUM(Table135[[#This Row],[17]:[19]])</f>
        <v>86</v>
      </c>
      <c r="I169" s="19">
        <f>SUM(Table135[[#This Row],['#punten]:[19]])</f>
        <v>678</v>
      </c>
    </row>
    <row r="170" spans="1:9" x14ac:dyDescent="0.2">
      <c r="A170" s="11" t="s">
        <v>295</v>
      </c>
      <c r="B170" s="51" t="s">
        <v>47</v>
      </c>
      <c r="C170" s="53" t="s">
        <v>135</v>
      </c>
      <c r="D170" s="54">
        <v>970</v>
      </c>
      <c r="E170">
        <f>1048-970</f>
        <v>78</v>
      </c>
      <c r="F170">
        <v>28</v>
      </c>
      <c r="G170">
        <v>0</v>
      </c>
      <c r="H170" s="1">
        <f>SUM(Table135[[#This Row],[17]:[19]])</f>
        <v>106</v>
      </c>
      <c r="I170" s="19">
        <f>SUM(Table135[[#This Row],['#punten]:[19]])</f>
        <v>1076</v>
      </c>
    </row>
    <row r="171" spans="1:9" x14ac:dyDescent="0.2">
      <c r="A171" s="11" t="s">
        <v>298</v>
      </c>
      <c r="B171" s="51" t="s">
        <v>47</v>
      </c>
      <c r="C171" s="53" t="s">
        <v>135</v>
      </c>
      <c r="D171" s="54">
        <v>374</v>
      </c>
      <c r="E171">
        <v>46</v>
      </c>
      <c r="F171">
        <v>28</v>
      </c>
      <c r="G171">
        <v>34</v>
      </c>
      <c r="H171" s="1">
        <f>SUM(Table135[[#This Row],[17]:[19]])</f>
        <v>108</v>
      </c>
      <c r="I171" s="19">
        <f>SUM(Table135[[#This Row],['#punten]:[19]])</f>
        <v>482</v>
      </c>
    </row>
    <row r="172" spans="1:9" x14ac:dyDescent="0.2">
      <c r="A172" s="6" t="s">
        <v>307</v>
      </c>
      <c r="B172" s="51" t="s">
        <v>47</v>
      </c>
      <c r="C172" s="53" t="s">
        <v>203</v>
      </c>
      <c r="D172" s="54">
        <v>636</v>
      </c>
      <c r="E172">
        <v>102</v>
      </c>
      <c r="F172">
        <v>12</v>
      </c>
      <c r="G172">
        <v>0</v>
      </c>
      <c r="H172" s="1">
        <f>SUM(Table135[[#This Row],[17]:[19]])</f>
        <v>114</v>
      </c>
      <c r="I172" s="19">
        <f>SUM(Table135[[#This Row],['#punten]:[19]])</f>
        <v>750</v>
      </c>
    </row>
    <row r="173" spans="1:9" x14ac:dyDescent="0.2">
      <c r="A173" s="6" t="s">
        <v>582</v>
      </c>
      <c r="B173" s="51" t="s">
        <v>47</v>
      </c>
      <c r="C173" s="53" t="s">
        <v>203</v>
      </c>
      <c r="D173" s="54">
        <f>222-102</f>
        <v>120</v>
      </c>
      <c r="E173">
        <v>102</v>
      </c>
      <c r="F173">
        <v>12</v>
      </c>
      <c r="G173">
        <v>0</v>
      </c>
      <c r="H173" s="1">
        <f>SUM(Table135[[#This Row],[17]:[19]])</f>
        <v>114</v>
      </c>
      <c r="I173" s="19">
        <f>SUM(Table135[[#This Row],['#punten]:[19]])</f>
        <v>234</v>
      </c>
    </row>
    <row r="174" spans="1:9" x14ac:dyDescent="0.2">
      <c r="A174" s="6" t="s">
        <v>523</v>
      </c>
      <c r="B174" s="51" t="s">
        <v>47</v>
      </c>
      <c r="C174" s="53" t="s">
        <v>203</v>
      </c>
      <c r="D174" s="54">
        <v>588</v>
      </c>
      <c r="E174">
        <f>102-24</f>
        <v>78</v>
      </c>
      <c r="F174">
        <v>12</v>
      </c>
      <c r="G174">
        <v>42</v>
      </c>
      <c r="H174" s="1">
        <f>SUM(Table135[[#This Row],[17]:[19]])</f>
        <v>132</v>
      </c>
      <c r="I174" s="19">
        <f>SUM(Table135[[#This Row],['#punten]:[19]])</f>
        <v>720</v>
      </c>
    </row>
    <row r="175" spans="1:9" x14ac:dyDescent="0.2">
      <c r="A175" s="6" t="s">
        <v>304</v>
      </c>
      <c r="B175" s="51" t="s">
        <v>47</v>
      </c>
      <c r="C175" s="53" t="s">
        <v>203</v>
      </c>
      <c r="D175" s="54">
        <f>276-102</f>
        <v>174</v>
      </c>
      <c r="E175">
        <v>102</v>
      </c>
      <c r="F175">
        <v>0</v>
      </c>
      <c r="G175">
        <v>42</v>
      </c>
      <c r="H175" s="1">
        <f>SUM(Table135[[#This Row],[17]:[19]])</f>
        <v>144</v>
      </c>
      <c r="I175" s="19">
        <f>SUM(Table135[[#This Row],['#punten]:[19]])</f>
        <v>318</v>
      </c>
    </row>
    <row r="176" spans="1:9" x14ac:dyDescent="0.2">
      <c r="A176" s="2" t="s">
        <v>308</v>
      </c>
      <c r="B176" s="51" t="s">
        <v>47</v>
      </c>
      <c r="C176" s="53" t="s">
        <v>149</v>
      </c>
      <c r="D176" s="54">
        <v>812</v>
      </c>
      <c r="E176">
        <f>994-812</f>
        <v>182</v>
      </c>
      <c r="F176">
        <v>12</v>
      </c>
      <c r="G176">
        <v>42</v>
      </c>
      <c r="H176" s="1">
        <f>SUM(Table135[[#This Row],[17]:[19]])</f>
        <v>236</v>
      </c>
      <c r="I176" s="19">
        <f>SUM(Table135[[#This Row],['#punten]:[19]])</f>
        <v>1048</v>
      </c>
    </row>
    <row r="177" spans="1:18" x14ac:dyDescent="0.2">
      <c r="A177" s="39" t="s">
        <v>301</v>
      </c>
      <c r="B177" s="51" t="s">
        <v>47</v>
      </c>
      <c r="C177" s="53" t="s">
        <v>140</v>
      </c>
      <c r="D177" s="54">
        <v>904</v>
      </c>
      <c r="E177">
        <v>110</v>
      </c>
      <c r="F177">
        <v>16</v>
      </c>
      <c r="G177">
        <v>114</v>
      </c>
      <c r="H177" s="1">
        <f>SUM(Table135[[#This Row],[17]:[19]])</f>
        <v>240</v>
      </c>
      <c r="I177" s="19">
        <f>SUM(Table135[[#This Row],['#punten]:[19]])</f>
        <v>1144</v>
      </c>
      <c r="L177" t="s">
        <v>567</v>
      </c>
      <c r="M177" s="105" t="s">
        <v>574</v>
      </c>
      <c r="N177" s="105"/>
      <c r="O177" t="s">
        <v>575</v>
      </c>
      <c r="P177" t="s">
        <v>576</v>
      </c>
      <c r="Q177" t="s">
        <v>577</v>
      </c>
      <c r="R177" t="s">
        <v>578</v>
      </c>
    </row>
    <row r="178" spans="1:18" x14ac:dyDescent="0.2">
      <c r="A178" s="11" t="s">
        <v>313</v>
      </c>
      <c r="B178" s="51" t="s">
        <v>49</v>
      </c>
      <c r="C178" s="53" t="s">
        <v>135</v>
      </c>
      <c r="D178" s="54">
        <v>776</v>
      </c>
      <c r="E178">
        <v>0</v>
      </c>
      <c r="F178">
        <v>0</v>
      </c>
      <c r="G178">
        <v>-24</v>
      </c>
      <c r="H178" s="1">
        <f>SUM(Table135[[#This Row],[17]:[19]])</f>
        <v>-24</v>
      </c>
      <c r="I178" s="19">
        <f>SUM(Table135[[#This Row],['#punten]:[19]])</f>
        <v>752</v>
      </c>
      <c r="K178" t="s">
        <v>568</v>
      </c>
      <c r="L178">
        <v>36</v>
      </c>
      <c r="M178">
        <v>18</v>
      </c>
      <c r="N178">
        <v>6</v>
      </c>
      <c r="O178">
        <v>128</v>
      </c>
      <c r="P178">
        <v>64</v>
      </c>
      <c r="Q178">
        <v>64</v>
      </c>
      <c r="R178">
        <v>-24</v>
      </c>
    </row>
    <row r="179" spans="1:18" x14ac:dyDescent="0.2">
      <c r="A179" s="39" t="s">
        <v>376</v>
      </c>
      <c r="B179" s="51" t="s">
        <v>49</v>
      </c>
      <c r="C179" s="53" t="s">
        <v>140</v>
      </c>
      <c r="D179" s="54">
        <v>528</v>
      </c>
      <c r="E179">
        <v>0</v>
      </c>
      <c r="F179">
        <v>0</v>
      </c>
      <c r="G179">
        <v>0</v>
      </c>
      <c r="H179" s="1">
        <f>SUM(Table135[[#This Row],[17]:[19]])</f>
        <v>0</v>
      </c>
      <c r="I179" s="19">
        <f>SUM(Table135[[#This Row],['#punten]:[19]])</f>
        <v>528</v>
      </c>
      <c r="K179" t="s">
        <v>569</v>
      </c>
      <c r="L179">
        <v>36</v>
      </c>
      <c r="M179">
        <v>18</v>
      </c>
      <c r="N179">
        <v>6</v>
      </c>
      <c r="O179">
        <v>96</v>
      </c>
      <c r="P179">
        <v>48</v>
      </c>
      <c r="Q179">
        <v>48</v>
      </c>
      <c r="R179">
        <v>-24</v>
      </c>
    </row>
    <row r="180" spans="1:18" x14ac:dyDescent="0.2">
      <c r="A180" s="39" t="s">
        <v>24</v>
      </c>
      <c r="B180" s="51" t="s">
        <v>49</v>
      </c>
      <c r="C180" s="53" t="s">
        <v>140</v>
      </c>
      <c r="D180" s="54">
        <v>1528</v>
      </c>
      <c r="E180">
        <v>46</v>
      </c>
      <c r="F180">
        <v>28</v>
      </c>
      <c r="G180">
        <v>0</v>
      </c>
      <c r="H180" s="1">
        <f>SUM(Table135[[#This Row],[17]:[19]])</f>
        <v>74</v>
      </c>
      <c r="I180" s="19">
        <f>SUM(Table135[[#This Row],['#punten]:[19]])</f>
        <v>1602</v>
      </c>
      <c r="K180" t="s">
        <v>570</v>
      </c>
      <c r="L180">
        <v>28</v>
      </c>
      <c r="M180">
        <v>18</v>
      </c>
      <c r="N180">
        <v>6</v>
      </c>
      <c r="O180">
        <v>80</v>
      </c>
      <c r="P180">
        <v>40</v>
      </c>
      <c r="Q180">
        <v>24</v>
      </c>
      <c r="R180">
        <v>-12</v>
      </c>
    </row>
    <row r="181" spans="1:18" x14ac:dyDescent="0.2">
      <c r="A181" s="39" t="s">
        <v>312</v>
      </c>
      <c r="B181" s="28" t="s">
        <v>49</v>
      </c>
      <c r="C181" s="30" t="s">
        <v>140</v>
      </c>
      <c r="D181" s="31">
        <v>642</v>
      </c>
      <c r="E181">
        <v>0</v>
      </c>
      <c r="F181">
        <v>28</v>
      </c>
      <c r="G181">
        <v>58</v>
      </c>
      <c r="H181" s="1">
        <f>SUM(Table135[[#This Row],[17]:[19]])</f>
        <v>86</v>
      </c>
      <c r="I181" s="19">
        <f>SUM(Table135[[#This Row],['#punten]:[19]])</f>
        <v>728</v>
      </c>
      <c r="K181" t="s">
        <v>571</v>
      </c>
      <c r="L181">
        <v>28</v>
      </c>
      <c r="M181">
        <v>18</v>
      </c>
      <c r="N181">
        <v>6</v>
      </c>
      <c r="O181">
        <v>64</v>
      </c>
      <c r="P181">
        <v>32</v>
      </c>
      <c r="Q181">
        <v>0</v>
      </c>
      <c r="R181">
        <v>0</v>
      </c>
    </row>
    <row r="182" spans="1:18" x14ac:dyDescent="0.2">
      <c r="A182" s="6" t="s">
        <v>377</v>
      </c>
      <c r="B182" s="28" t="s">
        <v>49</v>
      </c>
      <c r="C182" s="30" t="s">
        <v>203</v>
      </c>
      <c r="D182" s="31">
        <v>918</v>
      </c>
      <c r="E182">
        <v>0</v>
      </c>
      <c r="F182">
        <v>0</v>
      </c>
      <c r="G182">
        <v>90</v>
      </c>
      <c r="H182" s="1">
        <f>SUM(Table135[[#This Row],[17]:[19]])</f>
        <v>90</v>
      </c>
      <c r="I182" s="19">
        <f>SUM(Table135[[#This Row],['#punten]:[19]])</f>
        <v>1008</v>
      </c>
    </row>
    <row r="183" spans="1:18" x14ac:dyDescent="0.2">
      <c r="A183" s="39" t="s">
        <v>375</v>
      </c>
      <c r="B183" s="28" t="s">
        <v>49</v>
      </c>
      <c r="C183" s="30" t="s">
        <v>140</v>
      </c>
      <c r="D183" s="31">
        <v>606</v>
      </c>
      <c r="E183">
        <v>46</v>
      </c>
      <c r="F183">
        <v>0</v>
      </c>
      <c r="G183">
        <v>58</v>
      </c>
      <c r="H183" s="1">
        <f>SUM(Table135[[#This Row],[17]:[19]])</f>
        <v>104</v>
      </c>
      <c r="I183" s="19">
        <f>SUM(Table135[[#This Row],['#punten]:[19]])</f>
        <v>710</v>
      </c>
    </row>
    <row r="184" spans="1:18" x14ac:dyDescent="0.2">
      <c r="A184" s="39" t="s">
        <v>311</v>
      </c>
      <c r="B184" s="51" t="s">
        <v>49</v>
      </c>
      <c r="C184" s="53" t="s">
        <v>140</v>
      </c>
      <c r="D184" s="54">
        <v>774</v>
      </c>
      <c r="E184">
        <v>46</v>
      </c>
      <c r="F184">
        <v>0</v>
      </c>
      <c r="G184">
        <v>58</v>
      </c>
      <c r="H184" s="1">
        <f>SUM(Table135[[#This Row],[17]:[19]])</f>
        <v>104</v>
      </c>
      <c r="I184" s="19">
        <f>SUM(Table135[[#This Row],['#punten]:[19]])</f>
        <v>878</v>
      </c>
    </row>
    <row r="185" spans="1:18" x14ac:dyDescent="0.2">
      <c r="A185" s="11" t="s">
        <v>316</v>
      </c>
      <c r="B185" s="51" t="s">
        <v>49</v>
      </c>
      <c r="C185" s="53" t="s">
        <v>135</v>
      </c>
      <c r="D185" s="54">
        <v>932</v>
      </c>
      <c r="E185">
        <v>46</v>
      </c>
      <c r="F185">
        <v>28</v>
      </c>
      <c r="G185">
        <v>34</v>
      </c>
      <c r="H185" s="1">
        <f>SUM(Table135[[#This Row],[17]:[19]])</f>
        <v>108</v>
      </c>
      <c r="I185" s="19">
        <f>SUM(Table135[[#This Row],['#punten]:[19]])</f>
        <v>1040</v>
      </c>
      <c r="M185" s="105"/>
      <c r="N185" s="105"/>
    </row>
    <row r="186" spans="1:18" x14ac:dyDescent="0.2">
      <c r="A186" s="6" t="s">
        <v>309</v>
      </c>
      <c r="B186" s="51" t="s">
        <v>49</v>
      </c>
      <c r="C186" s="53" t="s">
        <v>203</v>
      </c>
      <c r="D186" s="54">
        <v>760</v>
      </c>
      <c r="E186">
        <v>30</v>
      </c>
      <c r="F186">
        <v>0</v>
      </c>
      <c r="G186">
        <v>90</v>
      </c>
      <c r="H186" s="1">
        <f>SUM(Table135[[#This Row],[17]:[19]])</f>
        <v>120</v>
      </c>
      <c r="I186" s="19">
        <f>SUM(Table135[[#This Row],['#punten]:[19]])</f>
        <v>880</v>
      </c>
    </row>
    <row r="187" spans="1:18" x14ac:dyDescent="0.2">
      <c r="A187" s="6" t="s">
        <v>310</v>
      </c>
      <c r="B187" s="28" t="s">
        <v>49</v>
      </c>
      <c r="C187" s="30" t="s">
        <v>203</v>
      </c>
      <c r="D187" s="31">
        <v>510</v>
      </c>
      <c r="E187">
        <v>54</v>
      </c>
      <c r="F187">
        <v>0</v>
      </c>
      <c r="G187">
        <v>90</v>
      </c>
      <c r="H187" s="1">
        <f>SUM(Table135[[#This Row],[17]:[19]])</f>
        <v>144</v>
      </c>
      <c r="I187" s="19">
        <f>SUM(Table135[[#This Row],['#punten]:[19]])</f>
        <v>654</v>
      </c>
    </row>
    <row r="188" spans="1:18" x14ac:dyDescent="0.2">
      <c r="A188" s="39" t="s">
        <v>343</v>
      </c>
      <c r="B188" s="51" t="s">
        <v>49</v>
      </c>
      <c r="C188" s="53" t="s">
        <v>140</v>
      </c>
      <c r="D188" s="54">
        <v>148</v>
      </c>
      <c r="E188">
        <v>62</v>
      </c>
      <c r="F188">
        <v>28</v>
      </c>
      <c r="G188">
        <v>58</v>
      </c>
      <c r="H188" s="1">
        <f>SUM(Table135[[#This Row],[17]:[19]])</f>
        <v>148</v>
      </c>
      <c r="I188" s="19">
        <f>SUM(Table135[[#This Row],['#punten]:[19]])</f>
        <v>296</v>
      </c>
    </row>
    <row r="189" spans="1:18" x14ac:dyDescent="0.2">
      <c r="A189" s="6" t="s">
        <v>20</v>
      </c>
      <c r="B189" s="28" t="s">
        <v>49</v>
      </c>
      <c r="C189" s="30" t="s">
        <v>203</v>
      </c>
      <c r="D189" s="31">
        <v>204</v>
      </c>
      <c r="E189">
        <v>54</v>
      </c>
      <c r="F189">
        <v>36</v>
      </c>
      <c r="G189">
        <v>90</v>
      </c>
      <c r="H189" s="1">
        <f>SUM(Table135[[#This Row],[17]:[19]])</f>
        <v>180</v>
      </c>
      <c r="I189" s="19">
        <f>SUM(Table135[[#This Row],['#punten]:[19]])</f>
        <v>384</v>
      </c>
    </row>
    <row r="190" spans="1:18" x14ac:dyDescent="0.2">
      <c r="A190" s="6" t="s">
        <v>125</v>
      </c>
      <c r="B190" s="51" t="s">
        <v>49</v>
      </c>
      <c r="C190" s="53" t="s">
        <v>203</v>
      </c>
      <c r="D190" s="54">
        <v>144</v>
      </c>
      <c r="E190">
        <v>54</v>
      </c>
      <c r="F190">
        <v>36</v>
      </c>
      <c r="G190">
        <v>90</v>
      </c>
      <c r="H190" s="1">
        <f>SUM(Table135[[#This Row],[17]:[19]])</f>
        <v>180</v>
      </c>
      <c r="I190" s="19">
        <f>SUM(Table135[[#This Row],['#punten]:[19]])</f>
        <v>324</v>
      </c>
    </row>
    <row r="191" spans="1:18" x14ac:dyDescent="0.2">
      <c r="A191" s="2" t="s">
        <v>123</v>
      </c>
      <c r="B191" s="51" t="s">
        <v>49</v>
      </c>
      <c r="C191" s="53" t="s">
        <v>149</v>
      </c>
      <c r="D191" s="54">
        <v>892</v>
      </c>
      <c r="E191">
        <v>54</v>
      </c>
      <c r="F191">
        <v>36</v>
      </c>
      <c r="G191">
        <v>170</v>
      </c>
      <c r="H191" s="1">
        <f>SUM(Table135[[#This Row],[17]:[19]])</f>
        <v>260</v>
      </c>
      <c r="I191" s="19">
        <f>SUM(Table135[[#This Row],['#punten]:[19]])</f>
        <v>1152</v>
      </c>
    </row>
    <row r="192" spans="1:18" x14ac:dyDescent="0.2">
      <c r="A192" s="11" t="s">
        <v>319</v>
      </c>
      <c r="B192" s="51" t="s">
        <v>317</v>
      </c>
      <c r="C192" s="53" t="s">
        <v>135</v>
      </c>
      <c r="D192" s="54">
        <v>270</v>
      </c>
      <c r="E192">
        <v>0</v>
      </c>
      <c r="F192">
        <v>0</v>
      </c>
      <c r="G192">
        <v>0</v>
      </c>
      <c r="H192" s="1">
        <f>SUM(Table135[[#This Row],[17]:[19]])</f>
        <v>0</v>
      </c>
      <c r="I192" s="19">
        <f>SUM(Table135[[#This Row],['#punten]:[19]])</f>
        <v>270</v>
      </c>
    </row>
    <row r="193" spans="1:9" x14ac:dyDescent="0.2">
      <c r="A193" s="6" t="s">
        <v>532</v>
      </c>
      <c r="B193" s="51" t="s">
        <v>317</v>
      </c>
      <c r="C193" s="53" t="s">
        <v>203</v>
      </c>
      <c r="D193" s="54">
        <v>0</v>
      </c>
      <c r="E193">
        <v>0</v>
      </c>
      <c r="F193">
        <v>0</v>
      </c>
      <c r="G193">
        <v>0</v>
      </c>
      <c r="H193" s="1">
        <f>SUM(Table135[[#This Row],[17]:[19]])</f>
        <v>0</v>
      </c>
      <c r="I193" s="19">
        <f>SUM(Table135[[#This Row],['#punten]:[19]])</f>
        <v>0</v>
      </c>
    </row>
    <row r="194" spans="1:9" x14ac:dyDescent="0.2">
      <c r="A194" s="39" t="s">
        <v>322</v>
      </c>
      <c r="B194" s="51" t="s">
        <v>317</v>
      </c>
      <c r="C194" s="53" t="s">
        <v>140</v>
      </c>
      <c r="D194" s="54">
        <v>564</v>
      </c>
      <c r="E194">
        <v>58</v>
      </c>
      <c r="F194">
        <v>0</v>
      </c>
      <c r="G194">
        <v>0</v>
      </c>
      <c r="H194" s="1">
        <f>SUM(Table135[[#This Row],[17]:[19]])</f>
        <v>58</v>
      </c>
      <c r="I194" s="19">
        <f>SUM(Table135[[#This Row],['#punten]:[19]])</f>
        <v>622</v>
      </c>
    </row>
    <row r="195" spans="1:9" x14ac:dyDescent="0.2">
      <c r="A195" s="39" t="s">
        <v>323</v>
      </c>
      <c r="B195" s="51" t="s">
        <v>317</v>
      </c>
      <c r="C195" s="53" t="s">
        <v>140</v>
      </c>
      <c r="D195" s="54">
        <v>590</v>
      </c>
      <c r="E195">
        <v>58</v>
      </c>
      <c r="F195">
        <v>0</v>
      </c>
      <c r="G195">
        <v>0</v>
      </c>
      <c r="H195" s="1">
        <f>SUM(Table135[[#This Row],[17]:[19]])</f>
        <v>58</v>
      </c>
      <c r="I195" s="19">
        <f>SUM(Table135[[#This Row],['#punten]:[19]])</f>
        <v>648</v>
      </c>
    </row>
    <row r="196" spans="1:9" x14ac:dyDescent="0.2">
      <c r="A196" s="39" t="s">
        <v>524</v>
      </c>
      <c r="B196" s="51" t="s">
        <v>317</v>
      </c>
      <c r="C196" s="53" t="s">
        <v>140</v>
      </c>
      <c r="D196" s="54">
        <v>298</v>
      </c>
      <c r="E196">
        <v>58</v>
      </c>
      <c r="F196">
        <v>0</v>
      </c>
      <c r="G196">
        <v>0</v>
      </c>
      <c r="H196" s="1">
        <f>SUM(Table135[[#This Row],[17]:[19]])</f>
        <v>58</v>
      </c>
      <c r="I196" s="19">
        <f>SUM(Table135[[#This Row],['#punten]:[19]])</f>
        <v>356</v>
      </c>
    </row>
    <row r="197" spans="1:9" x14ac:dyDescent="0.2">
      <c r="A197" s="39" t="s">
        <v>350</v>
      </c>
      <c r="B197" s="28" t="s">
        <v>317</v>
      </c>
      <c r="C197" s="30" t="s">
        <v>140</v>
      </c>
      <c r="D197" s="31">
        <v>554</v>
      </c>
      <c r="E197">
        <v>58</v>
      </c>
      <c r="F197">
        <v>10</v>
      </c>
      <c r="G197">
        <v>34</v>
      </c>
      <c r="H197" s="1">
        <f>SUM(Table135[[#This Row],[17]:[19]])</f>
        <v>102</v>
      </c>
      <c r="I197" s="19">
        <f>SUM(Table135[[#This Row],['#punten]:[19]])</f>
        <v>656</v>
      </c>
    </row>
    <row r="198" spans="1:9" x14ac:dyDescent="0.2">
      <c r="A198" s="11" t="s">
        <v>580</v>
      </c>
      <c r="B198" s="51" t="s">
        <v>317</v>
      </c>
      <c r="C198" s="53" t="s">
        <v>135</v>
      </c>
      <c r="D198" s="54">
        <v>0</v>
      </c>
      <c r="E198">
        <v>34</v>
      </c>
      <c r="F198">
        <v>66</v>
      </c>
      <c r="G198">
        <v>34</v>
      </c>
      <c r="H198" s="1">
        <f>SUM(Table135[[#This Row],[17]:[19]])</f>
        <v>134</v>
      </c>
      <c r="I198" s="19">
        <f>SUM(Table135[[#This Row],['#punten]:[19]])</f>
        <v>134</v>
      </c>
    </row>
    <row r="199" spans="1:9" x14ac:dyDescent="0.2">
      <c r="A199" s="6" t="s">
        <v>324</v>
      </c>
      <c r="B199" s="28" t="s">
        <v>317</v>
      </c>
      <c r="C199" s="30" t="s">
        <v>203</v>
      </c>
      <c r="D199" s="31">
        <v>366</v>
      </c>
      <c r="E199">
        <v>66</v>
      </c>
      <c r="F199">
        <v>42</v>
      </c>
      <c r="G199">
        <v>42</v>
      </c>
      <c r="H199" s="1">
        <f>SUM(Table135[[#This Row],[17]:[19]])</f>
        <v>150</v>
      </c>
      <c r="I199" s="19">
        <f>SUM(Table135[[#This Row],['#punten]:[19]])</f>
        <v>516</v>
      </c>
    </row>
    <row r="200" spans="1:9" x14ac:dyDescent="0.2">
      <c r="A200" s="6" t="s">
        <v>382</v>
      </c>
      <c r="B200" s="28" t="s">
        <v>317</v>
      </c>
      <c r="C200" s="30" t="s">
        <v>203</v>
      </c>
      <c r="D200" s="31">
        <v>750</v>
      </c>
      <c r="E200">
        <v>90</v>
      </c>
      <c r="F200">
        <v>42</v>
      </c>
      <c r="G200">
        <v>42</v>
      </c>
      <c r="H200" s="1">
        <f>SUM(Table135[[#This Row],[17]:[19]])</f>
        <v>174</v>
      </c>
      <c r="I200" s="19">
        <f>SUM(Table135[[#This Row],['#punten]:[19]])</f>
        <v>924</v>
      </c>
    </row>
    <row r="201" spans="1:9" x14ac:dyDescent="0.2">
      <c r="A201" s="6" t="s">
        <v>327</v>
      </c>
      <c r="B201" s="51" t="s">
        <v>317</v>
      </c>
      <c r="C201" s="53" t="s">
        <v>203</v>
      </c>
      <c r="D201" s="54">
        <v>438</v>
      </c>
      <c r="E201">
        <v>90</v>
      </c>
      <c r="F201">
        <v>42</v>
      </c>
      <c r="G201">
        <v>42</v>
      </c>
      <c r="H201" s="1">
        <f>SUM(Table135[[#This Row],[17]:[19]])</f>
        <v>174</v>
      </c>
      <c r="I201" s="19">
        <f>SUM(Table135[[#This Row],['#punten]:[19]])</f>
        <v>612</v>
      </c>
    </row>
    <row r="202" spans="1:9" x14ac:dyDescent="0.2">
      <c r="A202" s="2" t="s">
        <v>328</v>
      </c>
      <c r="B202" s="51" t="s">
        <v>317</v>
      </c>
      <c r="C202" s="53" t="s">
        <v>149</v>
      </c>
      <c r="D202" s="54">
        <v>618</v>
      </c>
      <c r="E202">
        <v>106</v>
      </c>
      <c r="F202">
        <v>42</v>
      </c>
      <c r="G202">
        <v>42</v>
      </c>
      <c r="H202" s="1">
        <f>SUM(Table135[[#This Row],[17]:[19]])</f>
        <v>190</v>
      </c>
      <c r="I202" s="19">
        <f>SUM(Table135[[#This Row],['#punten]:[19]])</f>
        <v>808</v>
      </c>
    </row>
    <row r="203" spans="1:9" x14ac:dyDescent="0.2">
      <c r="A203" s="11" t="s">
        <v>525</v>
      </c>
      <c r="B203" s="51" t="s">
        <v>50</v>
      </c>
      <c r="C203" s="53" t="s">
        <v>135</v>
      </c>
      <c r="D203" s="54">
        <v>222</v>
      </c>
      <c r="E203">
        <v>0</v>
      </c>
      <c r="F203">
        <v>0</v>
      </c>
      <c r="G203">
        <v>0</v>
      </c>
      <c r="H203" s="1">
        <f>SUM(Table135[[#This Row],[17]:[19]])</f>
        <v>0</v>
      </c>
      <c r="I203" s="19">
        <f>SUM(Table135[[#This Row],['#punten]:[19]])</f>
        <v>222</v>
      </c>
    </row>
    <row r="204" spans="1:9" x14ac:dyDescent="0.2">
      <c r="A204" s="39" t="s">
        <v>337</v>
      </c>
      <c r="B204" s="51" t="s">
        <v>50</v>
      </c>
      <c r="C204" s="53" t="s">
        <v>140</v>
      </c>
      <c r="D204" s="54">
        <v>274</v>
      </c>
      <c r="E204">
        <v>0</v>
      </c>
      <c r="F204">
        <v>0</v>
      </c>
      <c r="G204">
        <v>0</v>
      </c>
      <c r="H204" s="1">
        <f>SUM(Table135[[#This Row],[17]:[19]])</f>
        <v>0</v>
      </c>
      <c r="I204" s="19">
        <f>SUM(Table135[[#This Row],['#punten]:[19]])</f>
        <v>274</v>
      </c>
    </row>
    <row r="205" spans="1:9" x14ac:dyDescent="0.2">
      <c r="A205" s="6" t="s">
        <v>526</v>
      </c>
      <c r="B205" s="51" t="s">
        <v>50</v>
      </c>
      <c r="C205" s="53" t="s">
        <v>203</v>
      </c>
      <c r="D205" s="54">
        <v>90</v>
      </c>
      <c r="E205">
        <v>0</v>
      </c>
      <c r="F205">
        <v>12</v>
      </c>
      <c r="G205">
        <v>0</v>
      </c>
      <c r="H205" s="1">
        <f>SUM(Table135[[#This Row],[17]:[19]])</f>
        <v>12</v>
      </c>
      <c r="I205" s="19">
        <f>SUM(Table135[[#This Row],['#punten]:[19]])</f>
        <v>102</v>
      </c>
    </row>
    <row r="206" spans="1:9" x14ac:dyDescent="0.2">
      <c r="A206" s="39" t="s">
        <v>336</v>
      </c>
      <c r="B206" s="51" t="s">
        <v>50</v>
      </c>
      <c r="C206" s="53" t="s">
        <v>140</v>
      </c>
      <c r="D206" s="54">
        <v>402</v>
      </c>
      <c r="E206">
        <f>58-24</f>
        <v>34</v>
      </c>
      <c r="F206">
        <v>0</v>
      </c>
      <c r="G206">
        <v>0</v>
      </c>
      <c r="H206" s="1">
        <f>SUM(Table135[[#This Row],[17]:[19]])</f>
        <v>34</v>
      </c>
      <c r="I206" s="19">
        <f>SUM(Table135[[#This Row],['#punten]:[19]])</f>
        <v>436</v>
      </c>
    </row>
    <row r="207" spans="1:9" x14ac:dyDescent="0.2">
      <c r="A207" s="11" t="s">
        <v>338</v>
      </c>
      <c r="B207" s="51" t="s">
        <v>50</v>
      </c>
      <c r="C207" s="53" t="s">
        <v>135</v>
      </c>
      <c r="D207" s="54">
        <v>666</v>
      </c>
      <c r="E207">
        <v>34</v>
      </c>
      <c r="F207">
        <v>28</v>
      </c>
      <c r="G207">
        <v>28</v>
      </c>
      <c r="H207" s="1">
        <f>SUM(Table135[[#This Row],[17]:[19]])</f>
        <v>90</v>
      </c>
      <c r="I207" s="19">
        <f>SUM(Table135[[#This Row],['#punten]:[19]])</f>
        <v>756</v>
      </c>
    </row>
    <row r="208" spans="1:9" x14ac:dyDescent="0.2">
      <c r="A208" s="39" t="s">
        <v>130</v>
      </c>
      <c r="B208" s="51" t="s">
        <v>50</v>
      </c>
      <c r="C208" s="53" t="s">
        <v>140</v>
      </c>
      <c r="D208" s="54">
        <v>740</v>
      </c>
      <c r="E208">
        <v>58</v>
      </c>
      <c r="F208">
        <v>16</v>
      </c>
      <c r="G208">
        <v>28</v>
      </c>
      <c r="H208" s="1">
        <f>SUM(Table135[[#This Row],[17]:[19]])</f>
        <v>102</v>
      </c>
      <c r="I208" s="19">
        <f>SUM(Table135[[#This Row],['#punten]:[19]])</f>
        <v>842</v>
      </c>
    </row>
    <row r="209" spans="1:18" x14ac:dyDescent="0.2">
      <c r="A209" s="2" t="s">
        <v>329</v>
      </c>
      <c r="B209" s="51" t="s">
        <v>50</v>
      </c>
      <c r="C209" s="53" t="s">
        <v>149</v>
      </c>
      <c r="D209" s="54">
        <v>562</v>
      </c>
      <c r="E209">
        <v>106</v>
      </c>
      <c r="F209">
        <v>12</v>
      </c>
      <c r="G209">
        <v>36</v>
      </c>
      <c r="H209" s="1">
        <f>SUM(Table135[[#This Row],[17]:[19]])</f>
        <v>154</v>
      </c>
      <c r="I209" s="19">
        <f>SUM(Table135[[#This Row],['#punten]:[19]])</f>
        <v>716</v>
      </c>
      <c r="L209" t="s">
        <v>567</v>
      </c>
      <c r="M209" s="105" t="s">
        <v>574</v>
      </c>
      <c r="N209" s="105"/>
      <c r="O209" t="s">
        <v>575</v>
      </c>
      <c r="P209" t="s">
        <v>576</v>
      </c>
      <c r="Q209" t="s">
        <v>577</v>
      </c>
      <c r="R209" t="s">
        <v>578</v>
      </c>
    </row>
    <row r="210" spans="1:18" x14ac:dyDescent="0.2">
      <c r="A210" s="11" t="s">
        <v>341</v>
      </c>
      <c r="B210" s="51" t="s">
        <v>51</v>
      </c>
      <c r="C210" s="53" t="s">
        <v>135</v>
      </c>
      <c r="D210" s="54">
        <v>656</v>
      </c>
      <c r="E210">
        <v>28</v>
      </c>
      <c r="F210">
        <v>0</v>
      </c>
      <c r="G210">
        <v>0</v>
      </c>
      <c r="H210" s="1">
        <f>SUM(Table135[[#This Row],[17]:[19]])</f>
        <v>28</v>
      </c>
      <c r="I210" s="19">
        <f>SUM(Table135[[#This Row],['#punten]:[19]])</f>
        <v>684</v>
      </c>
      <c r="M210" t="s">
        <v>572</v>
      </c>
      <c r="N210" t="s">
        <v>573</v>
      </c>
    </row>
    <row r="211" spans="1:18" x14ac:dyDescent="0.2">
      <c r="A211" s="6" t="s">
        <v>348</v>
      </c>
      <c r="B211" s="51" t="s">
        <v>51</v>
      </c>
      <c r="C211" s="53" t="s">
        <v>203</v>
      </c>
      <c r="D211" s="54">
        <v>54</v>
      </c>
      <c r="E211">
        <v>36</v>
      </c>
      <c r="F211">
        <v>0</v>
      </c>
      <c r="G211">
        <v>0</v>
      </c>
      <c r="H211" s="1">
        <f>SUM(Table135[[#This Row],[17]:[19]])</f>
        <v>36</v>
      </c>
      <c r="I211" s="19">
        <f>SUM(Table135[[#This Row],['#punten]:[19]])</f>
        <v>90</v>
      </c>
      <c r="K211" t="s">
        <v>568</v>
      </c>
      <c r="L211">
        <v>36</v>
      </c>
      <c r="M211">
        <v>18</v>
      </c>
      <c r="N211">
        <v>6</v>
      </c>
      <c r="O211">
        <v>128</v>
      </c>
      <c r="P211">
        <v>64</v>
      </c>
      <c r="Q211">
        <v>64</v>
      </c>
      <c r="R211">
        <v>-24</v>
      </c>
    </row>
    <row r="212" spans="1:18" x14ac:dyDescent="0.2">
      <c r="A212" s="39" t="s">
        <v>384</v>
      </c>
      <c r="B212" s="51" t="s">
        <v>51</v>
      </c>
      <c r="C212" s="53" t="s">
        <v>140</v>
      </c>
      <c r="D212" s="54">
        <v>542</v>
      </c>
      <c r="E212">
        <v>28</v>
      </c>
      <c r="F212">
        <v>34</v>
      </c>
      <c r="G212">
        <v>4</v>
      </c>
      <c r="H212" s="1">
        <f>SUM(Table135[[#This Row],[17]:[19]])</f>
        <v>66</v>
      </c>
      <c r="I212" s="19">
        <f>SUM(Table135[[#This Row],['#punten]:[19]])</f>
        <v>608</v>
      </c>
      <c r="K212" t="s">
        <v>569</v>
      </c>
      <c r="L212">
        <v>36</v>
      </c>
      <c r="M212">
        <v>18</v>
      </c>
      <c r="N212">
        <v>6</v>
      </c>
      <c r="O212">
        <v>96</v>
      </c>
      <c r="P212">
        <v>48</v>
      </c>
      <c r="Q212">
        <v>48</v>
      </c>
      <c r="R212">
        <v>-24</v>
      </c>
    </row>
    <row r="213" spans="1:18" x14ac:dyDescent="0.2">
      <c r="A213" s="39" t="s">
        <v>344</v>
      </c>
      <c r="B213" s="51" t="s">
        <v>51</v>
      </c>
      <c r="C213" s="53" t="s">
        <v>140</v>
      </c>
      <c r="D213" s="54">
        <v>364</v>
      </c>
      <c r="E213">
        <v>28</v>
      </c>
      <c r="F213">
        <v>34</v>
      </c>
      <c r="G213">
        <v>28</v>
      </c>
      <c r="H213" s="1">
        <f>SUM(Table135[[#This Row],[17]:[19]])</f>
        <v>90</v>
      </c>
      <c r="I213" s="19">
        <f>SUM(Table135[[#This Row],['#punten]:[19]])</f>
        <v>454</v>
      </c>
      <c r="K213" t="s">
        <v>570</v>
      </c>
      <c r="L213">
        <v>28</v>
      </c>
      <c r="M213">
        <v>18</v>
      </c>
      <c r="N213">
        <v>6</v>
      </c>
      <c r="O213">
        <v>80</v>
      </c>
      <c r="P213">
        <v>40</v>
      </c>
      <c r="Q213">
        <v>24</v>
      </c>
      <c r="R213">
        <v>-12</v>
      </c>
    </row>
    <row r="214" spans="1:18" x14ac:dyDescent="0.2">
      <c r="A214" s="11" t="s">
        <v>527</v>
      </c>
      <c r="B214" s="28" t="s">
        <v>51</v>
      </c>
      <c r="C214" s="30" t="s">
        <v>135</v>
      </c>
      <c r="D214" s="31">
        <v>348</v>
      </c>
      <c r="E214">
        <v>0</v>
      </c>
      <c r="F214">
        <v>98</v>
      </c>
      <c r="G214">
        <v>4</v>
      </c>
      <c r="H214" s="1">
        <f>SUM(Table135[[#This Row],[17]:[19]])</f>
        <v>102</v>
      </c>
      <c r="I214" s="19">
        <f>SUM(Table135[[#This Row],['#punten]:[19]])</f>
        <v>450</v>
      </c>
      <c r="K214" t="s">
        <v>571</v>
      </c>
      <c r="L214">
        <v>28</v>
      </c>
      <c r="M214">
        <v>18</v>
      </c>
      <c r="N214">
        <v>6</v>
      </c>
      <c r="O214">
        <v>64</v>
      </c>
      <c r="P214">
        <v>32</v>
      </c>
      <c r="Q214">
        <v>0</v>
      </c>
      <c r="R214">
        <v>0</v>
      </c>
    </row>
    <row r="215" spans="1:18" x14ac:dyDescent="0.2">
      <c r="A215" s="2" t="s">
        <v>345</v>
      </c>
      <c r="B215" s="51" t="s">
        <v>51</v>
      </c>
      <c r="C215" s="53" t="s">
        <v>149</v>
      </c>
      <c r="D215" s="54">
        <v>250</v>
      </c>
      <c r="E215">
        <v>36</v>
      </c>
      <c r="F215">
        <v>42</v>
      </c>
      <c r="G215">
        <v>36</v>
      </c>
      <c r="H215" s="1">
        <f>SUM(Table135[[#This Row],[17]:[19]])</f>
        <v>114</v>
      </c>
      <c r="I215" s="19">
        <f>SUM(Table135[[#This Row],['#punten]:[19]])</f>
        <v>364</v>
      </c>
    </row>
    <row r="216" spans="1:18" x14ac:dyDescent="0.2">
      <c r="A216" s="6" t="s">
        <v>385</v>
      </c>
      <c r="B216" s="51" t="s">
        <v>51</v>
      </c>
      <c r="C216" s="53" t="s">
        <v>203</v>
      </c>
      <c r="D216" s="54">
        <v>378</v>
      </c>
      <c r="E216">
        <v>36</v>
      </c>
      <c r="F216">
        <v>42</v>
      </c>
      <c r="G216">
        <v>36</v>
      </c>
      <c r="H216" s="1">
        <f>SUM(Table135[[#This Row],[17]:[19]])</f>
        <v>114</v>
      </c>
      <c r="I216" s="19">
        <f>SUM(Table135[[#This Row],['#punten]:[19]])</f>
        <v>492</v>
      </c>
    </row>
    <row r="217" spans="1:18" x14ac:dyDescent="0.2">
      <c r="A217" s="6" t="s">
        <v>347</v>
      </c>
      <c r="B217" s="51" t="s">
        <v>51</v>
      </c>
      <c r="C217" s="53" t="s">
        <v>203</v>
      </c>
      <c r="D217" s="54">
        <v>354</v>
      </c>
      <c r="E217">
        <v>36</v>
      </c>
      <c r="F217">
        <v>42</v>
      </c>
      <c r="G217">
        <v>36</v>
      </c>
      <c r="H217" s="1">
        <f>SUM(Table135[[#This Row],[17]:[19]])</f>
        <v>114</v>
      </c>
      <c r="I217" s="19">
        <f>SUM(Table135[[#This Row],['#punten]:[19]])</f>
        <v>468</v>
      </c>
    </row>
    <row r="218" spans="1:18" x14ac:dyDescent="0.2">
      <c r="A218" s="11" t="s">
        <v>134</v>
      </c>
      <c r="B218" s="51" t="s">
        <v>51</v>
      </c>
      <c r="C218" s="53" t="s">
        <v>135</v>
      </c>
      <c r="D218" s="54">
        <v>602</v>
      </c>
      <c r="E218">
        <v>28</v>
      </c>
      <c r="F218">
        <v>66</v>
      </c>
      <c r="G218">
        <v>28</v>
      </c>
      <c r="H218" s="1">
        <f>SUM(Table135[[#This Row],[17]:[19]])</f>
        <v>122</v>
      </c>
      <c r="I218" s="19">
        <f>SUM(Table135[[#This Row],['#punten]:[19]])</f>
        <v>724</v>
      </c>
    </row>
  </sheetData>
  <mergeCells count="10">
    <mergeCell ref="M1:N1"/>
    <mergeCell ref="M113:N113"/>
    <mergeCell ref="M150:N150"/>
    <mergeCell ref="M209:N209"/>
    <mergeCell ref="M185:N185"/>
    <mergeCell ref="M38:N38"/>
    <mergeCell ref="M72:N72"/>
    <mergeCell ref="M107:N107"/>
    <mergeCell ref="M142:N142"/>
    <mergeCell ref="M177:N17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E159-9D0E-5E4D-AA83-44A3DF05BD68}">
  <dimension ref="A1:Z256"/>
  <sheetViews>
    <sheetView topLeftCell="A137" zoomScale="75" workbookViewId="0">
      <selection activeCell="C120" sqref="C120"/>
    </sheetView>
  </sheetViews>
  <sheetFormatPr baseColWidth="10" defaultRowHeight="16" x14ac:dyDescent="0.2"/>
  <cols>
    <col min="1" max="1" width="23.33203125" bestFit="1" customWidth="1"/>
    <col min="4" max="4" width="7" bestFit="1" customWidth="1"/>
    <col min="5" max="5" width="6.83203125" bestFit="1" customWidth="1"/>
    <col min="6" max="6" width="7.5" bestFit="1" customWidth="1"/>
    <col min="26" max="26" width="72" bestFit="1" customWidth="1"/>
  </cols>
  <sheetData>
    <row r="1" spans="1:26" x14ac:dyDescent="0.2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117</v>
      </c>
      <c r="Z1" t="s">
        <v>118</v>
      </c>
    </row>
    <row r="2" spans="1:26" x14ac:dyDescent="0.2">
      <c r="A2" s="11" t="s">
        <v>136</v>
      </c>
      <c r="B2" s="21" t="s">
        <v>43</v>
      </c>
      <c r="C2" s="22">
        <v>4500000</v>
      </c>
      <c r="D2" s="23" t="s">
        <v>135</v>
      </c>
      <c r="E2" s="23">
        <v>21</v>
      </c>
      <c r="F2" s="23" t="s">
        <v>141</v>
      </c>
      <c r="G2" s="44">
        <v>1514</v>
      </c>
      <c r="H2" s="45">
        <v>666</v>
      </c>
      <c r="I2" s="45">
        <f>ROUND(Table134[[#This Row],[laatste 5 wed.]]/Table134[[#This Row],['#punten]]*100,1)</f>
        <v>44</v>
      </c>
      <c r="J2" s="23">
        <v>18</v>
      </c>
      <c r="K2" s="23">
        <v>18</v>
      </c>
      <c r="L2" s="23">
        <v>1487</v>
      </c>
      <c r="M2" s="23">
        <v>385</v>
      </c>
      <c r="N2" s="23">
        <f>ROUND(Table134[[#This Row],[Min laatste 5]]/Table134[[#This Row],['#minuten]]*100,1)</f>
        <v>25.9</v>
      </c>
      <c r="O2" s="23">
        <v>13</v>
      </c>
      <c r="P2" s="23">
        <v>4</v>
      </c>
      <c r="Q2" s="45">
        <v>3</v>
      </c>
      <c r="R2" s="23">
        <v>0</v>
      </c>
      <c r="S2" s="23">
        <v>2</v>
      </c>
      <c r="T2" s="46">
        <f>ROUND(Table134[[#This Row],['#punten]]/Table134[[#This Row],['#Wed]],2)</f>
        <v>84.11</v>
      </c>
      <c r="U2" s="24">
        <f>ROUND(Table134[[#This Row],['#punten]]/Table134[[#This Row],['#minuten]],2)</f>
        <v>1.02</v>
      </c>
      <c r="V2" s="23">
        <f>ROUND(Table134[[#This Row],['#punten]]/(Table134[[#This Row],['#minuten]]/90),2)</f>
        <v>91.63</v>
      </c>
      <c r="W2" s="23">
        <f>ROUND(Table134[[#This Row],[Prijs]]/Table134[[#This Row],['#punten]],0)</f>
        <v>2972</v>
      </c>
      <c r="X2" s="27">
        <f>ROUND((Table134[[#This Row],[Goals]]+Table134[[#This Row],[Asissts]])/(Table134[[#This Row],['#minuten]]/90),2)</f>
        <v>1.03</v>
      </c>
      <c r="Z2" t="s">
        <v>634</v>
      </c>
    </row>
    <row r="3" spans="1:26" x14ac:dyDescent="0.2">
      <c r="A3" s="11" t="s">
        <v>132</v>
      </c>
      <c r="B3" s="21" t="s">
        <v>43</v>
      </c>
      <c r="C3" s="22">
        <v>3500000</v>
      </c>
      <c r="D3" s="23" t="s">
        <v>135</v>
      </c>
      <c r="E3" s="23">
        <v>26</v>
      </c>
      <c r="F3" s="23" t="s">
        <v>141</v>
      </c>
      <c r="G3" s="44">
        <v>1074</v>
      </c>
      <c r="H3" s="45">
        <v>266</v>
      </c>
      <c r="I3" s="45">
        <f>ROUND(Table134[[#This Row],[laatste 5 wed.]]/Table134[[#This Row],['#punten]]*100,1)</f>
        <v>24.8</v>
      </c>
      <c r="J3" s="23">
        <v>15</v>
      </c>
      <c r="K3" s="23">
        <v>15</v>
      </c>
      <c r="L3" s="23">
        <v>1300</v>
      </c>
      <c r="M3" s="23">
        <v>257</v>
      </c>
      <c r="N3" s="23">
        <f>ROUND(Table134[[#This Row],[Min laatste 5]]/Table134[[#This Row],['#minuten]]*100,1)</f>
        <v>19.8</v>
      </c>
      <c r="O3" s="23">
        <v>7</v>
      </c>
      <c r="P3" s="23">
        <v>4</v>
      </c>
      <c r="Q3" s="45">
        <v>4</v>
      </c>
      <c r="R3" s="23">
        <v>0</v>
      </c>
      <c r="S3" s="23">
        <v>2</v>
      </c>
      <c r="T3" s="46">
        <f>ROUND(Table134[[#This Row],['#punten]]/Table134[[#This Row],['#Wed]],2)</f>
        <v>71.599999999999994</v>
      </c>
      <c r="U3" s="24">
        <f>ROUND(Table134[[#This Row],['#punten]]/Table134[[#This Row],['#minuten]],2)</f>
        <v>0.83</v>
      </c>
      <c r="V3" s="23">
        <f>ROUND(Table134[[#This Row],['#punten]]/(Table134[[#This Row],['#minuten]]/90),2)</f>
        <v>74.349999999999994</v>
      </c>
      <c r="W3" s="23">
        <f>ROUND(Table134[[#This Row],[Prijs]]/Table134[[#This Row],['#punten]],0)</f>
        <v>3259</v>
      </c>
      <c r="X3" s="27">
        <f>ROUND((Table134[[#This Row],[Goals]]+Table134[[#This Row],[Asissts]])/(Table134[[#This Row],['#minuten]]/90),2)</f>
        <v>0.76</v>
      </c>
      <c r="Z3" t="s">
        <v>652</v>
      </c>
    </row>
    <row r="4" spans="1:26" x14ac:dyDescent="0.2">
      <c r="A4" s="11" t="s">
        <v>139</v>
      </c>
      <c r="B4" s="62" t="s">
        <v>43</v>
      </c>
      <c r="C4" s="63">
        <v>3000000</v>
      </c>
      <c r="D4" s="60" t="s">
        <v>135</v>
      </c>
      <c r="E4" s="60">
        <v>31</v>
      </c>
      <c r="F4" s="60" t="s">
        <v>141</v>
      </c>
      <c r="G4" s="91">
        <v>1006</v>
      </c>
      <c r="H4" s="86">
        <v>374</v>
      </c>
      <c r="I4" s="45">
        <f>ROUND(Table134[[#This Row],[laatste 5 wed.]]/Table134[[#This Row],['#punten]]*100,1)</f>
        <v>37.200000000000003</v>
      </c>
      <c r="J4" s="60">
        <v>15</v>
      </c>
      <c r="K4" s="60">
        <v>14</v>
      </c>
      <c r="L4" s="60">
        <v>1190</v>
      </c>
      <c r="M4" s="60">
        <v>450</v>
      </c>
      <c r="N4" s="23">
        <f>ROUND(Table134[[#This Row],[Min laatste 5]]/Table134[[#This Row],['#minuten]]*100,1)</f>
        <v>37.799999999999997</v>
      </c>
      <c r="O4" s="60">
        <v>3</v>
      </c>
      <c r="P4" s="60">
        <v>8</v>
      </c>
      <c r="Q4" s="86">
        <v>1</v>
      </c>
      <c r="R4" s="60">
        <v>0</v>
      </c>
      <c r="S4" s="60">
        <v>2</v>
      </c>
      <c r="T4" s="93">
        <f>ROUND(Table134[[#This Row],['#punten]]/Table134[[#This Row],['#Wed]],2)</f>
        <v>67.069999999999993</v>
      </c>
      <c r="U4" s="58">
        <f>ROUND(Table134[[#This Row],['#punten]]/Table134[[#This Row],['#minuten]],2)</f>
        <v>0.85</v>
      </c>
      <c r="V4" s="60">
        <f>ROUND(Table134[[#This Row],['#punten]]/(Table134[[#This Row],['#minuten]]/90),2)</f>
        <v>76.08</v>
      </c>
      <c r="W4" s="60">
        <f>ROUND(Table134[[#This Row],[Prijs]]/Table134[[#This Row],['#punten]],0)</f>
        <v>2982</v>
      </c>
      <c r="X4" s="61">
        <f>ROUND((Table134[[#This Row],[Goals]]+Table134[[#This Row],[Asissts]])/(Table134[[#This Row],['#minuten]]/90),2)</f>
        <v>0.83</v>
      </c>
      <c r="Y4" s="38"/>
    </row>
    <row r="5" spans="1:26" x14ac:dyDescent="0.2">
      <c r="A5" s="11" t="s">
        <v>137</v>
      </c>
      <c r="B5" s="21" t="s">
        <v>43</v>
      </c>
      <c r="C5" s="22">
        <v>3000000</v>
      </c>
      <c r="D5" s="23" t="s">
        <v>135</v>
      </c>
      <c r="E5" s="23">
        <v>28</v>
      </c>
      <c r="F5" s="23" t="s">
        <v>142</v>
      </c>
      <c r="G5" s="44">
        <v>684</v>
      </c>
      <c r="H5" s="45">
        <v>34</v>
      </c>
      <c r="I5" s="45">
        <f>ROUND(Table134[[#This Row],[laatste 5 wed.]]/Table134[[#This Row],['#punten]]*100,1)</f>
        <v>5</v>
      </c>
      <c r="J5" s="23">
        <v>12</v>
      </c>
      <c r="K5" s="23">
        <v>3</v>
      </c>
      <c r="L5" s="23">
        <v>398</v>
      </c>
      <c r="M5" s="23">
        <v>130</v>
      </c>
      <c r="N5" s="23">
        <f>ROUND(Table134[[#This Row],[Min laatste 5]]/Table134[[#This Row],['#minuten]]*100,1)</f>
        <v>32.700000000000003</v>
      </c>
      <c r="O5" s="23">
        <v>5</v>
      </c>
      <c r="P5" s="23">
        <v>0</v>
      </c>
      <c r="Q5" s="45">
        <v>0</v>
      </c>
      <c r="R5" s="23">
        <v>0</v>
      </c>
      <c r="S5" s="23">
        <v>1</v>
      </c>
      <c r="T5" s="46">
        <f>ROUND(Table134[[#This Row],['#punten]]/Table134[[#This Row],['#Wed]],2)</f>
        <v>57</v>
      </c>
      <c r="U5" s="24">
        <f>ROUND(Table134[[#This Row],['#punten]]/Table134[[#This Row],['#minuten]],2)</f>
        <v>1.72</v>
      </c>
      <c r="V5" s="23">
        <f>ROUND(Table134[[#This Row],['#punten]]/(Table134[[#This Row],['#minuten]]/90),2)</f>
        <v>154.66999999999999</v>
      </c>
      <c r="W5" s="23">
        <f>ROUND(Table134[[#This Row],[Prijs]]/Table134[[#This Row],['#punten]],0)</f>
        <v>4386</v>
      </c>
      <c r="X5" s="27">
        <f>ROUND((Table134[[#This Row],[Goals]]+Table134[[#This Row],[Asissts]])/(Table134[[#This Row],['#minuten]]/90),2)</f>
        <v>1.1299999999999999</v>
      </c>
      <c r="Y5" s="38"/>
      <c r="Z5" t="s">
        <v>651</v>
      </c>
    </row>
    <row r="6" spans="1:26" x14ac:dyDescent="0.2">
      <c r="A6" s="11" t="s">
        <v>165</v>
      </c>
      <c r="B6" s="28" t="s">
        <v>159</v>
      </c>
      <c r="C6" s="29">
        <v>1500000</v>
      </c>
      <c r="D6" s="30" t="s">
        <v>135</v>
      </c>
      <c r="E6" s="30">
        <v>27</v>
      </c>
      <c r="F6" s="30" t="s">
        <v>160</v>
      </c>
      <c r="G6" s="47">
        <v>1084</v>
      </c>
      <c r="H6" s="48">
        <v>342</v>
      </c>
      <c r="I6" s="45">
        <f>ROUND(Table134[[#This Row],[laatste 5 wed.]]/Table134[[#This Row],['#punten]]*100,1)</f>
        <v>31.5</v>
      </c>
      <c r="J6" s="30">
        <v>19</v>
      </c>
      <c r="K6" s="30">
        <v>19</v>
      </c>
      <c r="L6" s="30">
        <v>1658</v>
      </c>
      <c r="M6" s="30">
        <v>450</v>
      </c>
      <c r="N6" s="23">
        <f>ROUND(Table134[[#This Row],[Min laatste 5]]/Table134[[#This Row],['#minuten]]*100,1)</f>
        <v>27.1</v>
      </c>
      <c r="O6" s="30">
        <v>7</v>
      </c>
      <c r="P6" s="30">
        <v>1</v>
      </c>
      <c r="Q6" s="48">
        <v>2</v>
      </c>
      <c r="R6" s="30">
        <v>0</v>
      </c>
      <c r="S6" s="30">
        <v>7</v>
      </c>
      <c r="T6" s="49">
        <f>ROUND(Table134[[#This Row],['#punten]]/Table134[[#This Row],['#Wed]],2)</f>
        <v>57.05</v>
      </c>
      <c r="U6" s="31">
        <f>ROUND(Table134[[#This Row],['#punten]]/Table134[[#This Row],['#minuten]],2)</f>
        <v>0.65</v>
      </c>
      <c r="V6" s="30">
        <f>ROUND(Table134[[#This Row],['#punten]]/(Table134[[#This Row],['#minuten]]/90),2)</f>
        <v>58.84</v>
      </c>
      <c r="W6" s="30">
        <f>ROUND(Table134[[#This Row],[Prijs]]/Table134[[#This Row],['#punten]],0)</f>
        <v>1384</v>
      </c>
      <c r="X6" s="34">
        <f>ROUND((Table134[[#This Row],[Goals]]+Table134[[#This Row],[Asissts]])/(Table134[[#This Row],['#minuten]]/90),2)</f>
        <v>0.43</v>
      </c>
      <c r="Y6" s="38"/>
      <c r="Z6" t="s">
        <v>635</v>
      </c>
    </row>
    <row r="7" spans="1:26" x14ac:dyDescent="0.2">
      <c r="A7" s="11" t="s">
        <v>594</v>
      </c>
      <c r="B7" s="21" t="s">
        <v>159</v>
      </c>
      <c r="C7" s="22">
        <v>750000</v>
      </c>
      <c r="D7" s="23" t="s">
        <v>135</v>
      </c>
      <c r="E7" s="23">
        <v>32</v>
      </c>
      <c r="F7" s="23" t="s">
        <v>141</v>
      </c>
      <c r="G7" s="44">
        <v>622</v>
      </c>
      <c r="H7" s="45">
        <v>84</v>
      </c>
      <c r="I7" s="45">
        <f>ROUND(Table134[[#This Row],[laatste 5 wed.]]/Table134[[#This Row],['#punten]]*100,1)</f>
        <v>13.5</v>
      </c>
      <c r="J7" s="23">
        <v>19</v>
      </c>
      <c r="K7" s="23">
        <v>16</v>
      </c>
      <c r="L7" s="23">
        <v>1296</v>
      </c>
      <c r="M7" s="23">
        <v>281</v>
      </c>
      <c r="N7" s="23">
        <f>ROUND(Table134[[#This Row],[Min laatste 5]]/Table134[[#This Row],['#minuten]]*100,1)</f>
        <v>21.7</v>
      </c>
      <c r="O7" s="23">
        <v>1</v>
      </c>
      <c r="P7" s="23">
        <v>1</v>
      </c>
      <c r="Q7" s="45">
        <v>1</v>
      </c>
      <c r="R7" s="23">
        <v>0</v>
      </c>
      <c r="S7" s="23">
        <v>6</v>
      </c>
      <c r="T7" s="46">
        <f>ROUND(Table134[[#This Row],['#punten]]/Table134[[#This Row],['#Wed]],2)</f>
        <v>32.74</v>
      </c>
      <c r="U7" s="44">
        <f>ROUND(Table134[[#This Row],['#punten]]/Table134[[#This Row],['#minuten]],2)</f>
        <v>0.48</v>
      </c>
      <c r="V7" s="23">
        <f>ROUND(Table134[[#This Row],['#punten]]/(Table134[[#This Row],['#minuten]]/90),2)</f>
        <v>43.19</v>
      </c>
      <c r="W7" s="23">
        <f>ROUND(Table134[[#This Row],[Prijs]]/Table134[[#This Row],['#punten]],0)</f>
        <v>1206</v>
      </c>
      <c r="X7" s="27">
        <f>ROUND((Table134[[#This Row],[Goals]]+Table134[[#This Row],[Asissts]])/(Table134[[#This Row],['#minuten]]/90),2)</f>
        <v>0.14000000000000001</v>
      </c>
      <c r="Y7" s="38"/>
    </row>
    <row r="8" spans="1:26" x14ac:dyDescent="0.2">
      <c r="A8" s="11" t="s">
        <v>595</v>
      </c>
      <c r="B8" s="21" t="s">
        <v>159</v>
      </c>
      <c r="C8" s="22">
        <v>750000</v>
      </c>
      <c r="D8" s="23" t="s">
        <v>135</v>
      </c>
      <c r="E8" s="23">
        <v>22</v>
      </c>
      <c r="F8" s="23" t="s">
        <v>179</v>
      </c>
      <c r="G8" s="44">
        <v>428</v>
      </c>
      <c r="H8" s="45">
        <v>154</v>
      </c>
      <c r="I8" s="45">
        <f>ROUND(Table134[[#This Row],[laatste 5 wed.]]/Table134[[#This Row],['#punten]]*100,1)</f>
        <v>36</v>
      </c>
      <c r="J8" s="23">
        <v>13</v>
      </c>
      <c r="K8" s="23">
        <v>8</v>
      </c>
      <c r="L8" s="23">
        <v>771</v>
      </c>
      <c r="M8" s="23">
        <v>300</v>
      </c>
      <c r="N8" s="23">
        <f>ROUND(Table134[[#This Row],[Min laatste 5]]/Table134[[#This Row],['#minuten]]*100,1)</f>
        <v>38.9</v>
      </c>
      <c r="O8" s="23">
        <v>1</v>
      </c>
      <c r="P8" s="23">
        <v>1</v>
      </c>
      <c r="Q8" s="45">
        <v>1</v>
      </c>
      <c r="R8" s="23">
        <v>0</v>
      </c>
      <c r="S8" s="23">
        <v>4</v>
      </c>
      <c r="T8" s="46">
        <f>ROUND(Table134[[#This Row],['#punten]]/Table134[[#This Row],['#Wed]],2)</f>
        <v>32.92</v>
      </c>
      <c r="U8" s="44">
        <f>ROUND(Table134[[#This Row],['#punten]]/Table134[[#This Row],['#minuten]],2)</f>
        <v>0.56000000000000005</v>
      </c>
      <c r="V8" s="23">
        <f>ROUND(Table134[[#This Row],['#punten]]/(Table134[[#This Row],['#minuten]]/90),2)</f>
        <v>49.96</v>
      </c>
      <c r="W8" s="23">
        <f>ROUND(Table134[[#This Row],[Prijs]]/Table134[[#This Row],['#punten]],0)</f>
        <v>1752</v>
      </c>
      <c r="X8" s="27">
        <f>ROUND((Table134[[#This Row],[Goals]]+Table134[[#This Row],[Asissts]])/(Table134[[#This Row],['#minuten]]/90),2)</f>
        <v>0.23</v>
      </c>
      <c r="Y8" s="38"/>
    </row>
    <row r="9" spans="1:26" x14ac:dyDescent="0.2">
      <c r="A9" s="11" t="s">
        <v>511</v>
      </c>
      <c r="B9" s="21" t="s">
        <v>159</v>
      </c>
      <c r="C9" s="22">
        <v>500000</v>
      </c>
      <c r="D9" s="23" t="s">
        <v>135</v>
      </c>
      <c r="E9" s="23">
        <v>21</v>
      </c>
      <c r="F9" s="23" t="s">
        <v>160</v>
      </c>
      <c r="G9" s="44">
        <v>364</v>
      </c>
      <c r="H9" s="45">
        <v>250</v>
      </c>
      <c r="I9" s="45">
        <f>ROUND(Table134[[#This Row],[laatste 5 wed.]]/Table134[[#This Row],['#punten]]*100,1)</f>
        <v>68.7</v>
      </c>
      <c r="J9" s="23">
        <v>14</v>
      </c>
      <c r="K9" s="23">
        <v>5</v>
      </c>
      <c r="L9" s="23">
        <v>554</v>
      </c>
      <c r="M9" s="23">
        <v>357</v>
      </c>
      <c r="N9" s="23">
        <f>ROUND(Table134[[#This Row],[Min laatste 5]]/Table134[[#This Row],['#minuten]]*100,1)</f>
        <v>64.400000000000006</v>
      </c>
      <c r="O9" s="23">
        <v>1</v>
      </c>
      <c r="P9" s="23">
        <v>2</v>
      </c>
      <c r="Q9" s="45">
        <v>1</v>
      </c>
      <c r="R9" s="23">
        <v>0</v>
      </c>
      <c r="S9" s="23">
        <v>4</v>
      </c>
      <c r="T9" s="46">
        <f>ROUND(Table134[[#This Row],['#punten]]/Table134[[#This Row],['#Wed]],2)</f>
        <v>26</v>
      </c>
      <c r="U9" s="24">
        <f>ROUND(Table134[[#This Row],['#punten]]/Table134[[#This Row],['#minuten]],2)</f>
        <v>0.66</v>
      </c>
      <c r="V9" s="23">
        <f>ROUND(Table134[[#This Row],['#punten]]/(Table134[[#This Row],['#minuten]]/90),2)</f>
        <v>59.13</v>
      </c>
      <c r="W9" s="23">
        <f>ROUND(Table134[[#This Row],[Prijs]]/Table134[[#This Row],['#punten]],0)</f>
        <v>1374</v>
      </c>
      <c r="X9" s="27">
        <f>ROUND((Table134[[#This Row],[Goals]]+Table134[[#This Row],[Asissts]])/(Table134[[#This Row],['#minuten]]/90),2)</f>
        <v>0.49</v>
      </c>
      <c r="Y9" s="38"/>
    </row>
    <row r="10" spans="1:26" x14ac:dyDescent="0.2">
      <c r="A10" s="11" t="s">
        <v>530</v>
      </c>
      <c r="B10" s="28" t="s">
        <v>159</v>
      </c>
      <c r="C10" s="29">
        <v>1000000</v>
      </c>
      <c r="D10" s="30" t="s">
        <v>135</v>
      </c>
      <c r="E10" s="30">
        <v>18</v>
      </c>
      <c r="F10" s="30" t="s">
        <v>141</v>
      </c>
      <c r="G10" s="47">
        <v>0</v>
      </c>
      <c r="H10" s="48">
        <v>0</v>
      </c>
      <c r="I10" s="45">
        <v>0</v>
      </c>
      <c r="J10" s="30">
        <v>3</v>
      </c>
      <c r="K10" s="30">
        <v>0</v>
      </c>
      <c r="L10" s="30">
        <v>59</v>
      </c>
      <c r="M10" s="30">
        <v>59</v>
      </c>
      <c r="N10" s="23">
        <f>ROUND(Table134[[#This Row],[Min laatste 5]]/Table134[[#This Row],['#minuten]]*100,1)</f>
        <v>100</v>
      </c>
      <c r="O10" s="30">
        <v>0</v>
      </c>
      <c r="P10" s="30">
        <v>0</v>
      </c>
      <c r="Q10" s="48">
        <v>0</v>
      </c>
      <c r="R10" s="30">
        <v>0</v>
      </c>
      <c r="S10" s="30">
        <v>0</v>
      </c>
      <c r="T10" s="46">
        <f>ROUND(Table134[[#This Row],['#punten]]/Table134[[#This Row],['#Wed]],2)</f>
        <v>0</v>
      </c>
      <c r="U10" s="24">
        <f>ROUND(Table134[[#This Row],['#punten]]/Table134[[#This Row],['#minuten]],2)</f>
        <v>0</v>
      </c>
      <c r="V10" s="23">
        <f>ROUND(Table134[[#This Row],['#punten]]/(Table134[[#This Row],['#minuten]]/90),2)</f>
        <v>0</v>
      </c>
      <c r="W10" s="23">
        <v>0</v>
      </c>
      <c r="X10" s="27">
        <f>ROUND((Table134[[#This Row],[Goals]]+Table134[[#This Row],[Asissts]])/(Table134[[#This Row],['#minuten]]/90),2)</f>
        <v>0</v>
      </c>
      <c r="Y10" s="38"/>
    </row>
    <row r="11" spans="1:26" x14ac:dyDescent="0.2">
      <c r="A11" s="11" t="s">
        <v>168</v>
      </c>
      <c r="B11" s="21" t="s">
        <v>6</v>
      </c>
      <c r="C11" s="22">
        <v>6000000</v>
      </c>
      <c r="D11" s="23" t="s">
        <v>135</v>
      </c>
      <c r="E11" s="23">
        <v>25</v>
      </c>
      <c r="F11" s="23" t="s">
        <v>169</v>
      </c>
      <c r="G11" s="44">
        <v>2118</v>
      </c>
      <c r="H11" s="45">
        <v>426</v>
      </c>
      <c r="I11" s="45">
        <f>ROUND(Table134[[#This Row],[laatste 5 wed.]]/Table134[[#This Row],['#punten]]*100,1)</f>
        <v>20.100000000000001</v>
      </c>
      <c r="J11" s="23">
        <v>19</v>
      </c>
      <c r="K11" s="23">
        <v>19</v>
      </c>
      <c r="L11" s="23">
        <v>1663</v>
      </c>
      <c r="M11" s="23">
        <v>450</v>
      </c>
      <c r="N11" s="23">
        <f>ROUND(Table134[[#This Row],[Min laatste 5]]/Table134[[#This Row],['#minuten]]*100,1)</f>
        <v>27.1</v>
      </c>
      <c r="O11" s="23">
        <v>20</v>
      </c>
      <c r="P11" s="23">
        <v>1</v>
      </c>
      <c r="Q11" s="45">
        <v>0</v>
      </c>
      <c r="R11" s="23">
        <v>0</v>
      </c>
      <c r="S11" s="23">
        <v>6</v>
      </c>
      <c r="T11" s="46">
        <f>ROUND(Table134[[#This Row],['#punten]]/Table134[[#This Row],['#Wed]],2)</f>
        <v>111.47</v>
      </c>
      <c r="U11" s="24">
        <f>ROUND(Table134[[#This Row],['#punten]]/Table134[[#This Row],['#minuten]],2)</f>
        <v>1.27</v>
      </c>
      <c r="V11" s="23">
        <f>ROUND(Table134[[#This Row],['#punten]]/(Table134[[#This Row],['#minuten]]/90),2)</f>
        <v>114.62</v>
      </c>
      <c r="W11" s="23">
        <f>ROUND(Table134[[#This Row],[Prijs]]/Table134[[#This Row],['#punten]],0)</f>
        <v>2833</v>
      </c>
      <c r="X11" s="27">
        <f>ROUND((Table134[[#This Row],[Goals]]+Table134[[#This Row],[Asissts]])/(Table134[[#This Row],['#minuten]]/90),2)</f>
        <v>1.1399999999999999</v>
      </c>
      <c r="Y11" s="38"/>
      <c r="Z11" t="s">
        <v>636</v>
      </c>
    </row>
    <row r="12" spans="1:26" x14ac:dyDescent="0.2">
      <c r="A12" s="11" t="s">
        <v>501</v>
      </c>
      <c r="B12" s="28" t="s">
        <v>6</v>
      </c>
      <c r="C12" s="29">
        <v>2000000</v>
      </c>
      <c r="D12" s="30" t="s">
        <v>135</v>
      </c>
      <c r="E12" s="30">
        <v>20</v>
      </c>
      <c r="F12" s="30" t="s">
        <v>187</v>
      </c>
      <c r="G12" s="47">
        <v>850</v>
      </c>
      <c r="H12" s="48">
        <v>128</v>
      </c>
      <c r="I12" s="45">
        <f>ROUND(Table134[[#This Row],[laatste 5 wed.]]/Table134[[#This Row],['#punten]]*100,1)</f>
        <v>15.1</v>
      </c>
      <c r="J12" s="30">
        <v>13</v>
      </c>
      <c r="K12" s="30">
        <v>10</v>
      </c>
      <c r="L12" s="30">
        <v>724</v>
      </c>
      <c r="M12" s="30">
        <v>185</v>
      </c>
      <c r="N12" s="23">
        <f>ROUND(Table134[[#This Row],[Min laatste 5]]/Table134[[#This Row],['#minuten]]*100,1)</f>
        <v>25.6</v>
      </c>
      <c r="O12" s="30">
        <v>3</v>
      </c>
      <c r="P12" s="30">
        <v>3</v>
      </c>
      <c r="Q12" s="48">
        <v>0</v>
      </c>
      <c r="R12" s="30">
        <v>0</v>
      </c>
      <c r="S12" s="30">
        <v>4</v>
      </c>
      <c r="T12" s="49">
        <f>ROUND(Table134[[#This Row],['#punten]]/Table134[[#This Row],['#Wed]],2)</f>
        <v>65.38</v>
      </c>
      <c r="U12" s="31">
        <f>ROUND(Table134[[#This Row],['#punten]]/Table134[[#This Row],['#minuten]],2)</f>
        <v>1.17</v>
      </c>
      <c r="V12" s="30">
        <f>ROUND(Table134[[#This Row],['#punten]]/(Table134[[#This Row],['#minuten]]/90),2)</f>
        <v>105.66</v>
      </c>
      <c r="W12" s="30">
        <f>ROUND(Table134[[#This Row],[Prijs]]/Table134[[#This Row],['#punten]],0)</f>
        <v>2353</v>
      </c>
      <c r="X12" s="34">
        <f>ROUND((Table134[[#This Row],[Goals]]+Table134[[#This Row],[Asissts]])/(Table134[[#This Row],['#minuten]]/90),2)</f>
        <v>0.75</v>
      </c>
    </row>
    <row r="13" spans="1:26" x14ac:dyDescent="0.2">
      <c r="A13" s="11" t="s">
        <v>596</v>
      </c>
      <c r="B13" s="50" t="s">
        <v>6</v>
      </c>
      <c r="C13" s="15">
        <v>1500000</v>
      </c>
      <c r="D13" t="s">
        <v>135</v>
      </c>
      <c r="E13">
        <v>20</v>
      </c>
      <c r="F13" t="s">
        <v>141</v>
      </c>
      <c r="G13" s="18">
        <v>586</v>
      </c>
      <c r="H13" s="17">
        <v>142</v>
      </c>
      <c r="I13" s="45">
        <f>ROUND(Table134[[#This Row],[laatste 5 wed.]]/Table134[[#This Row],['#punten]]*100,1)</f>
        <v>24.2</v>
      </c>
      <c r="J13">
        <v>16</v>
      </c>
      <c r="K13">
        <v>12</v>
      </c>
      <c r="L13">
        <v>986</v>
      </c>
      <c r="M13">
        <v>284</v>
      </c>
      <c r="N13" s="23">
        <f>ROUND(Table134[[#This Row],[Min laatste 5]]/Table134[[#This Row],['#minuten]]*100,1)</f>
        <v>28.8</v>
      </c>
      <c r="O13">
        <v>1</v>
      </c>
      <c r="P13" s="30">
        <v>1</v>
      </c>
      <c r="Q13" s="48">
        <v>1</v>
      </c>
      <c r="R13" s="30">
        <v>0</v>
      </c>
      <c r="S13">
        <v>5</v>
      </c>
      <c r="T13" s="16">
        <f>ROUND(Table134[[#This Row],['#punten]]/Table134[[#This Row],['#Wed]],2)</f>
        <v>36.630000000000003</v>
      </c>
      <c r="U13" s="47">
        <f>ROUND(Table134[[#This Row],['#punten]]/Table134[[#This Row],['#minuten]],2)</f>
        <v>0.59</v>
      </c>
      <c r="V13" s="30">
        <f>ROUND(Table134[[#This Row],['#punten]]/(Table134[[#This Row],['#minuten]]/90),2)</f>
        <v>53.49</v>
      </c>
      <c r="W13" s="30">
        <f>ROUND(Table134[[#This Row],[Prijs]]/Table134[[#This Row],['#punten]],0)</f>
        <v>2560</v>
      </c>
      <c r="X13" s="34">
        <f>ROUND((Table134[[#This Row],[Goals]]+Table134[[#This Row],[Asissts]])/(Table134[[#This Row],['#minuten]]/90),2)</f>
        <v>0.18</v>
      </c>
      <c r="Y13" s="38"/>
    </row>
    <row r="14" spans="1:26" x14ac:dyDescent="0.2">
      <c r="A14" s="11" t="s">
        <v>527</v>
      </c>
      <c r="B14" s="28" t="s">
        <v>6</v>
      </c>
      <c r="C14" s="29">
        <v>1750000</v>
      </c>
      <c r="D14" s="30" t="s">
        <v>135</v>
      </c>
      <c r="E14" s="30">
        <v>19</v>
      </c>
      <c r="F14" s="30" t="s">
        <v>141</v>
      </c>
      <c r="G14" s="47">
        <v>450</v>
      </c>
      <c r="H14" s="48">
        <v>304</v>
      </c>
      <c r="I14" s="45">
        <f>ROUND(Table134[[#This Row],[laatste 5 wed.]]/Table134[[#This Row],['#punten]]*100,2)</f>
        <v>67.56</v>
      </c>
      <c r="J14" s="30">
        <v>15</v>
      </c>
      <c r="K14" s="30">
        <v>8</v>
      </c>
      <c r="L14" s="30">
        <v>770</v>
      </c>
      <c r="M14" s="30">
        <v>364</v>
      </c>
      <c r="N14" s="23">
        <f>ROUND(Table134[[#This Row],[Min laatste 5]]/Table134[[#This Row],['#minuten]]*100,1)</f>
        <v>47.3</v>
      </c>
      <c r="O14" s="30">
        <v>3</v>
      </c>
      <c r="P14" s="30">
        <v>1</v>
      </c>
      <c r="Q14" s="48">
        <v>3</v>
      </c>
      <c r="R14" s="30">
        <v>0</v>
      </c>
      <c r="S14" s="30">
        <v>1</v>
      </c>
      <c r="T14" s="49">
        <f>ROUND(Table134[[#This Row],['#punten]]/Table134[[#This Row],['#Wed]],2)</f>
        <v>30</v>
      </c>
      <c r="U14" s="47">
        <f>ROUND(Table134[[#This Row],['#punten]]/Table134[[#This Row],['#minuten]],2)</f>
        <v>0.57999999999999996</v>
      </c>
      <c r="V14" s="30">
        <f>ROUND(Table134[[#This Row],['#punten]]/(Table134[[#This Row],['#minuten]]/90),2)</f>
        <v>52.6</v>
      </c>
      <c r="W14" s="30">
        <f>ROUND(Table134[[#This Row],[Prijs]]/Table134[[#This Row],['#punten]],0)</f>
        <v>3889</v>
      </c>
      <c r="X14" s="34">
        <f>ROUND((Table134[[#This Row],[Goals]]+Table134[[#This Row],[Asissts]])/(Table134[[#This Row],['#minuten]]/90),2)</f>
        <v>0.47</v>
      </c>
      <c r="Y14" s="38"/>
      <c r="Z14" t="s">
        <v>632</v>
      </c>
    </row>
    <row r="15" spans="1:26" x14ac:dyDescent="0.2">
      <c r="A15" s="11" t="s">
        <v>171</v>
      </c>
      <c r="B15" s="28" t="s">
        <v>6</v>
      </c>
      <c r="C15" s="29">
        <v>2000000</v>
      </c>
      <c r="D15" s="30" t="s">
        <v>135</v>
      </c>
      <c r="E15" s="30">
        <v>19</v>
      </c>
      <c r="F15" s="30" t="s">
        <v>141</v>
      </c>
      <c r="G15" s="47">
        <v>438</v>
      </c>
      <c r="H15" s="48">
        <v>50</v>
      </c>
      <c r="I15" s="45">
        <f>ROUND(Table134[[#This Row],[laatste 5 wed.]]/Table134[[#This Row],['#punten]]*100,1)</f>
        <v>11.4</v>
      </c>
      <c r="J15" s="30">
        <v>14</v>
      </c>
      <c r="K15" s="30">
        <v>7</v>
      </c>
      <c r="L15" s="30">
        <v>576</v>
      </c>
      <c r="M15" s="30">
        <v>142</v>
      </c>
      <c r="N15" s="23">
        <f>ROUND(Table134[[#This Row],[Min laatste 5]]/Table134[[#This Row],['#minuten]]*100,1)</f>
        <v>24.7</v>
      </c>
      <c r="O15" s="30">
        <v>2</v>
      </c>
      <c r="P15" s="30">
        <v>1</v>
      </c>
      <c r="Q15" s="48">
        <v>1</v>
      </c>
      <c r="R15" s="30">
        <v>0</v>
      </c>
      <c r="S15" s="30">
        <v>1</v>
      </c>
      <c r="T15" s="49">
        <f>ROUND(Table134[[#This Row],['#punten]]/Table134[[#This Row],['#Wed]],2)</f>
        <v>31.29</v>
      </c>
      <c r="U15" s="31">
        <f>ROUND(Table134[[#This Row],['#punten]]/Table134[[#This Row],['#minuten]],2)</f>
        <v>0.76</v>
      </c>
      <c r="V15" s="30">
        <f>ROUND(Table134[[#This Row],['#punten]]/(Table134[[#This Row],['#minuten]]/90),2)</f>
        <v>68.44</v>
      </c>
      <c r="W15" s="30">
        <f>ROUND(Table134[[#This Row],[Prijs]]/Table134[[#This Row],['#punten]],0)</f>
        <v>4566</v>
      </c>
      <c r="X15" s="34">
        <f>ROUND((Table134[[#This Row],[Goals]]+Table134[[#This Row],[Asissts]])/(Table134[[#This Row],['#minuten]]/90),2)</f>
        <v>0.47</v>
      </c>
      <c r="Y15" s="38"/>
    </row>
    <row r="16" spans="1:26" x14ac:dyDescent="0.2">
      <c r="A16" s="11" t="s">
        <v>513</v>
      </c>
      <c r="B16" s="28" t="s">
        <v>44</v>
      </c>
      <c r="C16" s="29">
        <v>1500000</v>
      </c>
      <c r="D16" s="30" t="s">
        <v>135</v>
      </c>
      <c r="E16" s="30">
        <v>21</v>
      </c>
      <c r="F16" s="30" t="s">
        <v>514</v>
      </c>
      <c r="G16" s="47">
        <v>924</v>
      </c>
      <c r="H16" s="48">
        <v>330</v>
      </c>
      <c r="I16" s="45">
        <f>ROUND(Table134[[#This Row],[laatste 5 wed.]]/Table134[[#This Row],['#punten]]*100,1)</f>
        <v>35.700000000000003</v>
      </c>
      <c r="J16" s="30">
        <v>16</v>
      </c>
      <c r="K16" s="30">
        <v>9</v>
      </c>
      <c r="L16" s="30">
        <v>853</v>
      </c>
      <c r="M16" s="30">
        <v>420</v>
      </c>
      <c r="N16" s="23">
        <f>ROUND(Table134[[#This Row],[Min laatste 5]]/Table134[[#This Row],['#minuten]]*100,1)</f>
        <v>49.2</v>
      </c>
      <c r="O16" s="30">
        <v>6</v>
      </c>
      <c r="P16" s="30">
        <v>3</v>
      </c>
      <c r="Q16" s="48">
        <v>2</v>
      </c>
      <c r="R16" s="30">
        <v>0</v>
      </c>
      <c r="S16" s="30">
        <v>1</v>
      </c>
      <c r="T16" s="49">
        <f>ROUND(Table134[[#This Row],['#punten]]/Table134[[#This Row],['#Wed]],2)</f>
        <v>57.75</v>
      </c>
      <c r="U16" s="31">
        <f>ROUND(Table134[[#This Row],['#punten]]/Table134[[#This Row],['#minuten]],2)</f>
        <v>1.08</v>
      </c>
      <c r="V16" s="30">
        <f>ROUND(Table134[[#This Row],['#punten]]/(Table134[[#This Row],['#minuten]]/90),2)</f>
        <v>97.49</v>
      </c>
      <c r="W16" s="30">
        <f>ROUND(Table134[[#This Row],[Prijs]]/Table134[[#This Row],['#punten]],0)</f>
        <v>1623</v>
      </c>
      <c r="X16" s="34">
        <f>ROUND((Table134[[#This Row],[Goals]]+Table134[[#This Row],[Asissts]])/(Table134[[#This Row],['#minuten]]/90),2)</f>
        <v>0.95</v>
      </c>
      <c r="Y16" s="38"/>
    </row>
    <row r="17" spans="1:26" x14ac:dyDescent="0.2">
      <c r="A17" s="11" t="s">
        <v>515</v>
      </c>
      <c r="B17" s="28" t="s">
        <v>44</v>
      </c>
      <c r="C17" s="29">
        <v>1000000</v>
      </c>
      <c r="D17" s="30" t="s">
        <v>135</v>
      </c>
      <c r="E17" s="30">
        <v>21</v>
      </c>
      <c r="F17" s="30" t="s">
        <v>141</v>
      </c>
      <c r="G17" s="47">
        <v>876</v>
      </c>
      <c r="H17" s="48">
        <v>218</v>
      </c>
      <c r="I17" s="45">
        <f>ROUND(Table134[[#This Row],[laatste 5 wed.]]/Table134[[#This Row],['#punten]]*100,1)</f>
        <v>24.9</v>
      </c>
      <c r="J17" s="30">
        <v>17</v>
      </c>
      <c r="K17" s="30">
        <v>17</v>
      </c>
      <c r="L17" s="30">
        <v>1386</v>
      </c>
      <c r="M17" s="30">
        <v>403</v>
      </c>
      <c r="N17" s="23">
        <f>ROUND(Table134[[#This Row],[Min laatste 5]]/Table134[[#This Row],['#minuten]]*100,1)</f>
        <v>29.1</v>
      </c>
      <c r="O17" s="30">
        <v>4</v>
      </c>
      <c r="P17" s="30">
        <v>3</v>
      </c>
      <c r="Q17" s="48">
        <v>3</v>
      </c>
      <c r="R17" s="30">
        <v>0</v>
      </c>
      <c r="S17" s="30">
        <v>4</v>
      </c>
      <c r="T17" s="49">
        <f>ROUND(Table134[[#This Row],['#punten]]/Table134[[#This Row],['#Wed]],2)</f>
        <v>51.53</v>
      </c>
      <c r="U17" s="31">
        <f>ROUND(Table134[[#This Row],['#punten]]/Table134[[#This Row],['#minuten]],2)</f>
        <v>0.63</v>
      </c>
      <c r="V17" s="30">
        <f>ROUND(Table134[[#This Row],['#punten]]/(Table134[[#This Row],['#minuten]]/90),2)</f>
        <v>56.88</v>
      </c>
      <c r="W17" s="30">
        <f>ROUND(Table134[[#This Row],[Prijs]]/Table134[[#This Row],['#punten]],0)</f>
        <v>1142</v>
      </c>
      <c r="X17" s="34">
        <f>ROUND((Table134[[#This Row],[Goals]]+Table134[[#This Row],[Asissts]])/(Table134[[#This Row],['#minuten]]/90),2)</f>
        <v>0.45</v>
      </c>
      <c r="Y17" s="38"/>
    </row>
    <row r="18" spans="1:26" x14ac:dyDescent="0.2">
      <c r="A18" s="11" t="s">
        <v>190</v>
      </c>
      <c r="B18" s="28" t="s">
        <v>44</v>
      </c>
      <c r="C18" s="29">
        <v>1000000</v>
      </c>
      <c r="D18" s="30" t="s">
        <v>135</v>
      </c>
      <c r="E18" s="30">
        <v>23</v>
      </c>
      <c r="F18" s="30" t="s">
        <v>141</v>
      </c>
      <c r="G18" s="47">
        <v>746</v>
      </c>
      <c r="H18" s="48">
        <v>64</v>
      </c>
      <c r="I18" s="45">
        <f>ROUND(Table134[[#This Row],[laatste 5 wed.]]/Table134[[#This Row],['#punten]]*100,1)</f>
        <v>8.6</v>
      </c>
      <c r="J18" s="30">
        <v>18</v>
      </c>
      <c r="K18" s="30">
        <v>10</v>
      </c>
      <c r="L18" s="30">
        <v>761</v>
      </c>
      <c r="M18" s="30">
        <v>54</v>
      </c>
      <c r="N18" s="23">
        <f>ROUND(Table134[[#This Row],[Min laatste 5]]/Table134[[#This Row],['#minuten]]*100,1)</f>
        <v>7.1</v>
      </c>
      <c r="O18" s="30">
        <v>5</v>
      </c>
      <c r="P18" s="30">
        <v>2</v>
      </c>
      <c r="Q18" s="48">
        <v>0</v>
      </c>
      <c r="R18" s="30">
        <v>0</v>
      </c>
      <c r="S18" s="30">
        <v>3</v>
      </c>
      <c r="T18" s="49">
        <f>ROUND(Table134[[#This Row],['#punten]]/Table134[[#This Row],['#Wed]],2)</f>
        <v>41.44</v>
      </c>
      <c r="U18" s="24">
        <f>ROUND(Table134[[#This Row],['#punten]]/Table134[[#This Row],['#minuten]],2)</f>
        <v>0.98</v>
      </c>
      <c r="V18" s="30">
        <f>ROUND(Table134[[#This Row],['#punten]]/(Table134[[#This Row],['#minuten]]/90),2)</f>
        <v>88.23</v>
      </c>
      <c r="W18" s="29">
        <f>ROUND(Table134[[#This Row],[Prijs]]/Table134[[#This Row],['#punten]],0)</f>
        <v>1340</v>
      </c>
      <c r="X18" s="34">
        <f>ROUND((Table134[[#This Row],[Goals]]+Table134[[#This Row],[Asissts]])/(Table134[[#This Row],['#minuten]]/90),2)</f>
        <v>0.83</v>
      </c>
      <c r="Y18" s="38"/>
      <c r="Z18" t="s">
        <v>630</v>
      </c>
    </row>
    <row r="19" spans="1:26" x14ac:dyDescent="0.2">
      <c r="A19" s="11" t="s">
        <v>191</v>
      </c>
      <c r="B19" s="28" t="s">
        <v>44</v>
      </c>
      <c r="C19" s="29">
        <v>1000000</v>
      </c>
      <c r="D19" s="30" t="s">
        <v>135</v>
      </c>
      <c r="E19" s="30">
        <v>25</v>
      </c>
      <c r="F19" s="30" t="s">
        <v>169</v>
      </c>
      <c r="G19" s="47">
        <v>664</v>
      </c>
      <c r="H19" s="48">
        <v>180</v>
      </c>
      <c r="I19" s="45">
        <f>ROUND(Table134[[#This Row],[laatste 5 wed.]]/Table134[[#This Row],['#punten]]*100,1)</f>
        <v>27.1</v>
      </c>
      <c r="J19" s="30">
        <v>17</v>
      </c>
      <c r="K19" s="30">
        <v>13</v>
      </c>
      <c r="L19" s="30">
        <v>1006</v>
      </c>
      <c r="M19" s="30">
        <v>244</v>
      </c>
      <c r="N19" s="23">
        <f>ROUND(Table134[[#This Row],[Min laatste 5]]/Table134[[#This Row],['#minuten]]*100,1)</f>
        <v>24.3</v>
      </c>
      <c r="O19" s="30">
        <v>3</v>
      </c>
      <c r="P19" s="30">
        <v>5</v>
      </c>
      <c r="Q19" s="48">
        <v>2</v>
      </c>
      <c r="R19" s="30">
        <v>1</v>
      </c>
      <c r="S19" s="30">
        <v>1</v>
      </c>
      <c r="T19" s="49">
        <f>ROUND(Table134[[#This Row],['#punten]]/Table134[[#This Row],['#Wed]],2)</f>
        <v>39.06</v>
      </c>
      <c r="U19" s="31">
        <f>ROUND(Table134[[#This Row],['#punten]]/Table134[[#This Row],['#minuten]],2)</f>
        <v>0.66</v>
      </c>
      <c r="V19" s="30">
        <f>ROUND(Table134[[#This Row],['#punten]]/(Table134[[#This Row],['#minuten]]/90),2)</f>
        <v>59.4</v>
      </c>
      <c r="W19" s="30">
        <f>ROUND(Table134[[#This Row],[Prijs]]/Table134[[#This Row],['#punten]],0)</f>
        <v>1506</v>
      </c>
      <c r="X19" s="34">
        <f>ROUND((Table134[[#This Row],[Goals]]+Table134[[#This Row],[Asissts]])/(Table134[[#This Row],['#minuten]]/90),2)</f>
        <v>0.72</v>
      </c>
      <c r="Z19" t="s">
        <v>653</v>
      </c>
    </row>
    <row r="20" spans="1:26" x14ac:dyDescent="0.2">
      <c r="A20" s="11" t="s">
        <v>598</v>
      </c>
      <c r="B20" s="28" t="s">
        <v>44</v>
      </c>
      <c r="C20" s="29">
        <v>750000</v>
      </c>
      <c r="D20" s="30" t="s">
        <v>135</v>
      </c>
      <c r="E20" s="30">
        <v>22</v>
      </c>
      <c r="F20" s="30" t="s">
        <v>141</v>
      </c>
      <c r="G20" s="47">
        <v>412</v>
      </c>
      <c r="H20" s="48">
        <v>162</v>
      </c>
      <c r="I20" s="45">
        <f>ROUND(Table134[[#This Row],[laatste 5 wed.]]/Table134[[#This Row],['#punten]]*100,1)</f>
        <v>39.299999999999997</v>
      </c>
      <c r="J20" s="30">
        <v>17</v>
      </c>
      <c r="K20" s="30">
        <v>8</v>
      </c>
      <c r="L20" s="30">
        <v>674</v>
      </c>
      <c r="M20" s="30">
        <v>121</v>
      </c>
      <c r="N20" s="23">
        <f>ROUND(Table134[[#This Row],[Min laatste 5]]/Table134[[#This Row],['#minuten]]*100,1)</f>
        <v>18</v>
      </c>
      <c r="O20" s="30">
        <v>1</v>
      </c>
      <c r="P20" s="30">
        <v>0</v>
      </c>
      <c r="Q20" s="48">
        <v>0</v>
      </c>
      <c r="R20" s="30">
        <v>0</v>
      </c>
      <c r="S20" s="30">
        <v>3</v>
      </c>
      <c r="T20" s="49">
        <f>ROUND(Table134[[#This Row],['#punten]]/Table134[[#This Row],['#Wed]],2)</f>
        <v>24.24</v>
      </c>
      <c r="U20" s="44">
        <f>ROUND(Table134[[#This Row],['#punten]]/Table134[[#This Row],['#minuten]],2)</f>
        <v>0.61</v>
      </c>
      <c r="V20" s="30">
        <f>ROUND(Table134[[#This Row],['#punten]]/(Table134[[#This Row],['#minuten]]/90),2)</f>
        <v>55.01</v>
      </c>
      <c r="W20" s="30">
        <f>ROUND(Table134[[#This Row],[Prijs]]/Table134[[#This Row],['#punten]],0)</f>
        <v>1820</v>
      </c>
      <c r="X20" s="34">
        <f>ROUND((Table134[[#This Row],[Goals]]+Table134[[#This Row],[Asissts]])/(Table134[[#This Row],['#minuten]]/90),2)</f>
        <v>0.13</v>
      </c>
      <c r="Y20" s="38"/>
    </row>
    <row r="21" spans="1:26" x14ac:dyDescent="0.2">
      <c r="A21" s="11" t="s">
        <v>504</v>
      </c>
      <c r="B21" s="51" t="s">
        <v>44</v>
      </c>
      <c r="C21" s="52">
        <v>500000</v>
      </c>
      <c r="D21" s="53" t="s">
        <v>135</v>
      </c>
      <c r="E21" s="53">
        <v>21</v>
      </c>
      <c r="F21" s="53" t="s">
        <v>187</v>
      </c>
      <c r="G21" s="92">
        <v>384</v>
      </c>
      <c r="H21" s="85">
        <v>128</v>
      </c>
      <c r="I21" s="45">
        <f>ROUND(Table134[[#This Row],[laatste 5 wed.]]/Table134[[#This Row],['#punten]]*100,1)</f>
        <v>33.299999999999997</v>
      </c>
      <c r="J21" s="53">
        <v>13</v>
      </c>
      <c r="K21" s="53">
        <v>0</v>
      </c>
      <c r="L21" s="53">
        <v>181</v>
      </c>
      <c r="M21" s="53">
        <v>64</v>
      </c>
      <c r="N21" s="23">
        <f>ROUND(Table134[[#This Row],[Min laatste 5]]/Table134[[#This Row],['#minuten]]*100,1)</f>
        <v>35.4</v>
      </c>
      <c r="O21" s="53">
        <v>3</v>
      </c>
      <c r="P21" s="53">
        <v>0</v>
      </c>
      <c r="Q21" s="85">
        <v>0</v>
      </c>
      <c r="R21" s="53">
        <v>0</v>
      </c>
      <c r="S21" s="53">
        <v>0</v>
      </c>
      <c r="T21" s="94">
        <f>ROUND(Table134[[#This Row],['#punten]]/Table134[[#This Row],['#Wed]],2)</f>
        <v>29.54</v>
      </c>
      <c r="U21" s="91">
        <f>ROUND(Table134[[#This Row],['#punten]]/Table134[[#This Row],['#minuten]],2)</f>
        <v>2.12</v>
      </c>
      <c r="V21" s="53">
        <f>ROUND(Table134[[#This Row],['#punten]]/(Table134[[#This Row],['#minuten]]/90),2)</f>
        <v>190.94</v>
      </c>
      <c r="W21" s="53">
        <f>ROUND(Table134[[#This Row],[Prijs]]/Table134[[#This Row],['#punten]],0)</f>
        <v>1302</v>
      </c>
      <c r="X21" s="57">
        <f>ROUND((Table134[[#This Row],[Goals]]+Table134[[#This Row],[Asissts]])/(Table134[[#This Row],['#minuten]]/90),2)</f>
        <v>1.49</v>
      </c>
      <c r="Y21" s="38"/>
    </row>
    <row r="22" spans="1:26" x14ac:dyDescent="0.2">
      <c r="A22" s="11" t="s">
        <v>33</v>
      </c>
      <c r="B22" s="21" t="s">
        <v>45</v>
      </c>
      <c r="C22" s="22">
        <v>7000000</v>
      </c>
      <c r="D22" s="23" t="s">
        <v>135</v>
      </c>
      <c r="E22" s="23">
        <v>22</v>
      </c>
      <c r="F22" s="23" t="s">
        <v>192</v>
      </c>
      <c r="G22" s="44">
        <v>2086</v>
      </c>
      <c r="H22" s="45">
        <v>302</v>
      </c>
      <c r="I22" s="45">
        <f>ROUND(Table134[[#This Row],[laatste 5 wed.]]/Table134[[#This Row],['#punten]]*100,1)</f>
        <v>14.5</v>
      </c>
      <c r="J22" s="23">
        <v>19</v>
      </c>
      <c r="K22" s="23">
        <v>19</v>
      </c>
      <c r="L22" s="23">
        <v>1564</v>
      </c>
      <c r="M22" s="23">
        <v>434</v>
      </c>
      <c r="N22" s="23">
        <f>ROUND(Table134[[#This Row],[Min laatste 5]]/Table134[[#This Row],['#minuten]]*100,1)</f>
        <v>27.7</v>
      </c>
      <c r="O22" s="23">
        <v>19</v>
      </c>
      <c r="P22" s="23">
        <v>4</v>
      </c>
      <c r="Q22" s="45">
        <v>2</v>
      </c>
      <c r="R22" s="23">
        <v>0</v>
      </c>
      <c r="S22" s="23">
        <v>7</v>
      </c>
      <c r="T22" s="46">
        <f>ROUND(Table134[[#This Row],['#punten]]/Table134[[#This Row],['#Wed]],2)</f>
        <v>109.79</v>
      </c>
      <c r="U22" s="24">
        <f>ROUND(Table134[[#This Row],['#punten]]/Table134[[#This Row],['#minuten]],2)</f>
        <v>1.33</v>
      </c>
      <c r="V22" s="23">
        <f>ROUND(Table134[[#This Row],['#punten]]/(Table134[[#This Row],['#minuten]]/90),2)</f>
        <v>120.04</v>
      </c>
      <c r="W22" s="23">
        <f>ROUND(Table134[[#This Row],[Prijs]]/Table134[[#This Row],['#punten]],0)</f>
        <v>3356</v>
      </c>
      <c r="X22" s="27">
        <f>ROUND((Table134[[#This Row],[Goals]]+Table134[[#This Row],[Asissts]])/(Table134[[#This Row],['#minuten]]/90),2)</f>
        <v>1.32</v>
      </c>
      <c r="Z22" t="s">
        <v>638</v>
      </c>
    </row>
    <row r="23" spans="1:26" x14ac:dyDescent="0.2">
      <c r="A23" s="11" t="s">
        <v>195</v>
      </c>
      <c r="B23" s="28" t="s">
        <v>45</v>
      </c>
      <c r="C23" s="29">
        <v>2500000</v>
      </c>
      <c r="D23" s="30" t="s">
        <v>135</v>
      </c>
      <c r="E23" s="30">
        <v>23</v>
      </c>
      <c r="F23" s="30" t="s">
        <v>196</v>
      </c>
      <c r="G23" s="47">
        <v>982</v>
      </c>
      <c r="H23" s="48">
        <v>218</v>
      </c>
      <c r="I23" s="45">
        <f>ROUND(Table134[[#This Row],[laatste 5 wed.]]/Table134[[#This Row],['#punten]]*100,1)</f>
        <v>22.2</v>
      </c>
      <c r="J23" s="30">
        <v>18</v>
      </c>
      <c r="K23" s="30">
        <v>16</v>
      </c>
      <c r="L23" s="30">
        <v>1180</v>
      </c>
      <c r="M23" s="30">
        <v>235</v>
      </c>
      <c r="N23" s="23">
        <f>ROUND(Table134[[#This Row],[Min laatste 5]]/Table134[[#This Row],['#minuten]]*100,1)</f>
        <v>19.899999999999999</v>
      </c>
      <c r="O23" s="30">
        <v>4</v>
      </c>
      <c r="P23" s="30">
        <v>2</v>
      </c>
      <c r="Q23" s="48">
        <v>3</v>
      </c>
      <c r="R23" s="30">
        <v>0</v>
      </c>
      <c r="S23" s="30">
        <v>6</v>
      </c>
      <c r="T23" s="49">
        <f>ROUND(Table134[[#This Row],['#punten]]/Table134[[#This Row],['#Wed]],2)</f>
        <v>54.56</v>
      </c>
      <c r="U23" s="31">
        <f>ROUND(Table134[[#This Row],['#punten]]/Table134[[#This Row],['#minuten]],2)</f>
        <v>0.83</v>
      </c>
      <c r="V23" s="30">
        <f>ROUND(Table134[[#This Row],['#punten]]/(Table134[[#This Row],['#minuten]]/90),2)</f>
        <v>74.900000000000006</v>
      </c>
      <c r="W23" s="30">
        <f>ROUND(Table134[[#This Row],[Prijs]]/Table134[[#This Row],['#punten]],0)</f>
        <v>2546</v>
      </c>
      <c r="X23" s="34">
        <f>ROUND((Table134[[#This Row],[Goals]]+Table134[[#This Row],[Asissts]])/(Table134[[#This Row],['#minuten]]/90),2)</f>
        <v>0.46</v>
      </c>
    </row>
    <row r="24" spans="1:26" x14ac:dyDescent="0.2">
      <c r="A24" s="11" t="s">
        <v>197</v>
      </c>
      <c r="B24" s="21" t="s">
        <v>45</v>
      </c>
      <c r="C24" s="22">
        <v>2500000</v>
      </c>
      <c r="D24" s="23" t="s">
        <v>135</v>
      </c>
      <c r="E24" s="23">
        <v>19</v>
      </c>
      <c r="F24" s="23" t="s">
        <v>198</v>
      </c>
      <c r="G24" s="44">
        <v>724</v>
      </c>
      <c r="H24" s="45">
        <v>46</v>
      </c>
      <c r="I24" s="45">
        <f>ROUND(Table134[[#This Row],[laatste 5 wed.]]/Table134[[#This Row],['#punten]]*100,1)</f>
        <v>6.4</v>
      </c>
      <c r="J24" s="23">
        <v>13</v>
      </c>
      <c r="K24" s="23">
        <v>6</v>
      </c>
      <c r="L24" s="23">
        <v>594</v>
      </c>
      <c r="M24" s="23">
        <v>95</v>
      </c>
      <c r="N24" s="23">
        <f>ROUND(Table134[[#This Row],[Min laatste 5]]/Table134[[#This Row],['#minuten]]*100,1)</f>
        <v>16</v>
      </c>
      <c r="O24" s="23">
        <v>3</v>
      </c>
      <c r="P24" s="23">
        <v>2</v>
      </c>
      <c r="Q24" s="45">
        <v>0</v>
      </c>
      <c r="R24" s="23">
        <v>0</v>
      </c>
      <c r="S24" s="23">
        <v>3</v>
      </c>
      <c r="T24" s="46">
        <f>ROUND(Table134[[#This Row],['#punten]]/Table134[[#This Row],['#Wed]],2)</f>
        <v>55.69</v>
      </c>
      <c r="U24" s="24">
        <f>ROUND(Table134[[#This Row],['#punten]]/Table134[[#This Row],['#minuten]],2)</f>
        <v>1.22</v>
      </c>
      <c r="V24" s="23">
        <f>ROUND(Table134[[#This Row],['#punten]]/(Table134[[#This Row],['#minuten]]/90),2)</f>
        <v>109.7</v>
      </c>
      <c r="W24" s="23">
        <f>ROUND(Table134[[#This Row],[Prijs]]/Table134[[#This Row],['#punten]],0)</f>
        <v>3453</v>
      </c>
      <c r="X24" s="27">
        <f>ROUND((Table134[[#This Row],[Goals]]+Table134[[#This Row],[Asissts]])/(Table134[[#This Row],['#minuten]]/90),2)</f>
        <v>0.76</v>
      </c>
      <c r="Y24" s="38"/>
    </row>
    <row r="25" spans="1:26" x14ac:dyDescent="0.2">
      <c r="A25" s="11" t="s">
        <v>194</v>
      </c>
      <c r="B25" s="51" t="s">
        <v>45</v>
      </c>
      <c r="C25" s="52">
        <v>2500000</v>
      </c>
      <c r="D25" s="53" t="s">
        <v>135</v>
      </c>
      <c r="E25" s="53">
        <v>25</v>
      </c>
      <c r="F25" s="53" t="s">
        <v>153</v>
      </c>
      <c r="G25" s="92">
        <v>428</v>
      </c>
      <c r="H25" s="85">
        <v>92</v>
      </c>
      <c r="I25" s="45">
        <f>ROUND(Table134[[#This Row],[laatste 5 wed.]]/Table134[[#This Row],['#punten]]*100,1)</f>
        <v>21.5</v>
      </c>
      <c r="J25" s="53">
        <v>11</v>
      </c>
      <c r="K25" s="53">
        <v>7</v>
      </c>
      <c r="L25" s="53">
        <v>553</v>
      </c>
      <c r="M25" s="53">
        <v>170</v>
      </c>
      <c r="N25" s="23">
        <f>ROUND(Table134[[#This Row],[Min laatste 5]]/Table134[[#This Row],['#minuten]]*100,1)</f>
        <v>30.7</v>
      </c>
      <c r="O25" s="53">
        <v>1</v>
      </c>
      <c r="P25" s="53">
        <v>1</v>
      </c>
      <c r="Q25" s="85">
        <v>0</v>
      </c>
      <c r="R25" s="53">
        <v>0</v>
      </c>
      <c r="S25" s="53">
        <v>1</v>
      </c>
      <c r="T25" s="94">
        <f>ROUND(Table134[[#This Row],['#punten]]/Table134[[#This Row],['#Wed]],2)</f>
        <v>38.909999999999997</v>
      </c>
      <c r="U25" s="54">
        <f>ROUND(Table134[[#This Row],['#punten]]/Table134[[#This Row],['#minuten]],2)</f>
        <v>0.77</v>
      </c>
      <c r="V25" s="53">
        <f>ROUND(Table134[[#This Row],['#punten]]/(Table134[[#This Row],['#minuten]]/90),2)</f>
        <v>69.66</v>
      </c>
      <c r="W25" s="53">
        <f>ROUND(Table134[[#This Row],[Prijs]]/Table134[[#This Row],['#punten]],0)</f>
        <v>5841</v>
      </c>
      <c r="X25" s="57">
        <f>ROUND((Table134[[#This Row],[Goals]]+Table134[[#This Row],[Asissts]])/(Table134[[#This Row],['#minuten]]/90),2)</f>
        <v>0.33</v>
      </c>
      <c r="Y25" s="38"/>
    </row>
    <row r="26" spans="1:26" x14ac:dyDescent="0.2">
      <c r="A26" s="11" t="s">
        <v>351</v>
      </c>
      <c r="B26" s="28" t="s">
        <v>46</v>
      </c>
      <c r="C26" s="29">
        <v>2000000</v>
      </c>
      <c r="D26" s="30" t="s">
        <v>135</v>
      </c>
      <c r="E26" s="30">
        <v>25</v>
      </c>
      <c r="F26" s="30" t="s">
        <v>141</v>
      </c>
      <c r="G26" s="47">
        <v>798</v>
      </c>
      <c r="H26" s="48">
        <v>246</v>
      </c>
      <c r="I26" s="45">
        <f>ROUND(Table134[[#This Row],[laatste 5 wed.]]/Table134[[#This Row],['#punten]]*100,1)</f>
        <v>30.8</v>
      </c>
      <c r="J26" s="30">
        <v>18</v>
      </c>
      <c r="K26" s="30">
        <v>14</v>
      </c>
      <c r="L26" s="30">
        <v>1082</v>
      </c>
      <c r="M26" s="30">
        <v>391</v>
      </c>
      <c r="N26" s="23">
        <f>ROUND(Table134[[#This Row],[Min laatste 5]]/Table134[[#This Row],['#minuten]]*100,1)</f>
        <v>36.1</v>
      </c>
      <c r="O26" s="30">
        <v>5</v>
      </c>
      <c r="P26" s="30">
        <v>1</v>
      </c>
      <c r="Q26" s="48">
        <v>2</v>
      </c>
      <c r="R26" s="30">
        <v>0</v>
      </c>
      <c r="S26" s="30">
        <v>4</v>
      </c>
      <c r="T26" s="49">
        <f>ROUND(Table134[[#This Row],['#punten]]/Table134[[#This Row],['#Wed]],2)</f>
        <v>44.33</v>
      </c>
      <c r="U26" s="31">
        <f>ROUND(Table134[[#This Row],['#punten]]/Table134[[#This Row],['#minuten]],2)</f>
        <v>0.74</v>
      </c>
      <c r="V26" s="30">
        <f>ROUND(Table134[[#This Row],['#punten]]/(Table134[[#This Row],['#minuten]]/90),2)</f>
        <v>66.38</v>
      </c>
      <c r="W26" s="30">
        <f>ROUND(Table134[[#This Row],[Prijs]]/Table134[[#This Row],['#punten]],0)</f>
        <v>2506</v>
      </c>
      <c r="X26" s="34">
        <f>ROUND((Table134[[#This Row],[Goals]]+Table134[[#This Row],[Asissts]])/(Table134[[#This Row],['#minuten]]/90),2)</f>
        <v>0.5</v>
      </c>
      <c r="Z26" t="s">
        <v>639</v>
      </c>
    </row>
    <row r="27" spans="1:26" x14ac:dyDescent="0.2">
      <c r="A27" s="11" t="s">
        <v>215</v>
      </c>
      <c r="B27" s="28" t="s">
        <v>46</v>
      </c>
      <c r="C27" s="29">
        <v>1250000</v>
      </c>
      <c r="D27" s="30" t="s">
        <v>135</v>
      </c>
      <c r="E27" s="30">
        <v>26</v>
      </c>
      <c r="F27" s="30" t="s">
        <v>47</v>
      </c>
      <c r="G27" s="47">
        <v>688</v>
      </c>
      <c r="H27" s="30">
        <v>222</v>
      </c>
      <c r="I27" s="45">
        <f>ROUND(Table134[[#This Row],[laatste 5 wed.]]/Table134[[#This Row],['#punten]]*100,1)</f>
        <v>32.299999999999997</v>
      </c>
      <c r="J27" s="30">
        <v>18</v>
      </c>
      <c r="K27" s="30">
        <v>17</v>
      </c>
      <c r="L27" s="30">
        <v>1431</v>
      </c>
      <c r="M27" s="32">
        <v>435</v>
      </c>
      <c r="N27" s="23">
        <f>ROUND(Table134[[#This Row],[Min laatste 5]]/Table134[[#This Row],['#minuten]]*100,1)</f>
        <v>30.4</v>
      </c>
      <c r="O27" s="30">
        <v>1</v>
      </c>
      <c r="P27" s="30">
        <v>2</v>
      </c>
      <c r="Q27" s="30">
        <v>2</v>
      </c>
      <c r="R27" s="30">
        <v>0</v>
      </c>
      <c r="S27" s="30">
        <v>5</v>
      </c>
      <c r="T27" s="30">
        <f>ROUND(Table134[[#This Row],['#punten]]/Table134[[#This Row],['#Wed]],2)</f>
        <v>38.22</v>
      </c>
      <c r="U27" s="24">
        <f>ROUND(Table134[[#This Row],['#punten]]/Table134[[#This Row],['#minuten]],2)</f>
        <v>0.48</v>
      </c>
      <c r="V27" s="23">
        <f>ROUND(Table134[[#This Row],['#punten]]/(Table134[[#This Row],['#minuten]]/90),2)</f>
        <v>43.27</v>
      </c>
      <c r="W27" s="23">
        <f>ROUND(Table134[[#This Row],[Prijs]]/Table134[[#This Row],['#punten]],0)</f>
        <v>1817</v>
      </c>
      <c r="X27" s="27">
        <f>ROUND((Table134[[#This Row],[Goals]]+Table134[[#This Row],[Asissts]])/(Table134[[#This Row],['#minuten]]/90),2)</f>
        <v>0.19</v>
      </c>
      <c r="Y27" s="38"/>
    </row>
    <row r="28" spans="1:26" x14ac:dyDescent="0.2">
      <c r="A28" s="11" t="s">
        <v>600</v>
      </c>
      <c r="B28" s="21" t="s">
        <v>46</v>
      </c>
      <c r="C28" s="22">
        <v>1000000</v>
      </c>
      <c r="D28" s="23" t="s">
        <v>135</v>
      </c>
      <c r="E28" s="23">
        <v>29</v>
      </c>
      <c r="F28" s="23" t="s">
        <v>187</v>
      </c>
      <c r="G28" s="44">
        <v>54</v>
      </c>
      <c r="H28" s="45">
        <v>54</v>
      </c>
      <c r="I28" s="45">
        <f>ROUND(Table134[[#This Row],[laatste 5 wed.]]/Table134[[#This Row],['#punten]]*100,1)</f>
        <v>100</v>
      </c>
      <c r="J28" s="23">
        <v>3</v>
      </c>
      <c r="K28" s="23">
        <v>0</v>
      </c>
      <c r="L28" s="23">
        <v>73</v>
      </c>
      <c r="M28" s="23">
        <v>73</v>
      </c>
      <c r="N28" s="23">
        <f>ROUND(Table134[[#This Row],[Min laatste 5]]/Table134[[#This Row],['#minuten]]*100,1)</f>
        <v>100</v>
      </c>
      <c r="O28" s="23">
        <v>0</v>
      </c>
      <c r="P28" s="23">
        <v>1</v>
      </c>
      <c r="Q28" s="45">
        <v>1</v>
      </c>
      <c r="R28" s="23">
        <v>0</v>
      </c>
      <c r="S28" s="23">
        <v>1</v>
      </c>
      <c r="T28" s="46">
        <f>ROUND(Table134[[#This Row],['#punten]]/Table134[[#This Row],['#Wed]],2)</f>
        <v>18</v>
      </c>
      <c r="U28" s="24">
        <f>ROUND(Table134[[#This Row],['#punten]]/Table134[[#This Row],['#minuten]],2)</f>
        <v>0.74</v>
      </c>
      <c r="V28" s="23">
        <f>ROUND(Table134[[#This Row],['#punten]]/(Table134[[#This Row],['#minuten]]/90),2)</f>
        <v>66.58</v>
      </c>
      <c r="W28" s="23">
        <f>ROUND(Table134[[#This Row],[Prijs]]/Table134[[#This Row],['#punten]],0)</f>
        <v>18519</v>
      </c>
      <c r="X28" s="27">
        <f>ROUND((Table134[[#This Row],[Goals]]+Table134[[#This Row],[Asissts]])/(Table134[[#This Row],['#minuten]]/90),2)</f>
        <v>1.23</v>
      </c>
      <c r="Y28" s="38"/>
    </row>
    <row r="29" spans="1:26" x14ac:dyDescent="0.2">
      <c r="A29" s="11" t="s">
        <v>365</v>
      </c>
      <c r="B29" s="21" t="s">
        <v>39</v>
      </c>
      <c r="C29" s="22">
        <v>1500000</v>
      </c>
      <c r="D29" s="23" t="s">
        <v>135</v>
      </c>
      <c r="E29" s="23">
        <v>27</v>
      </c>
      <c r="F29" s="23" t="s">
        <v>187</v>
      </c>
      <c r="G29" s="44">
        <v>932</v>
      </c>
      <c r="H29" s="45">
        <v>328</v>
      </c>
      <c r="I29" s="45">
        <f>ROUND(Table134[[#This Row],[laatste 5 wed.]]/Table134[[#This Row],['#punten]]*100,1)</f>
        <v>35.200000000000003</v>
      </c>
      <c r="J29" s="23">
        <v>19</v>
      </c>
      <c r="K29" s="23">
        <v>15</v>
      </c>
      <c r="L29" s="23">
        <v>1232</v>
      </c>
      <c r="M29" s="23">
        <v>327</v>
      </c>
      <c r="N29" s="23">
        <f>ROUND(Table134[[#This Row],[Min laatste 5]]/Table134[[#This Row],['#minuten]]*100,1)</f>
        <v>26.5</v>
      </c>
      <c r="O29" s="23">
        <v>5</v>
      </c>
      <c r="P29" s="23">
        <v>1</v>
      </c>
      <c r="Q29" s="45">
        <v>1</v>
      </c>
      <c r="R29" s="23">
        <v>0</v>
      </c>
      <c r="S29" s="23">
        <v>6</v>
      </c>
      <c r="T29" s="46">
        <f>ROUND(Table134[[#This Row],['#punten]]/Table134[[#This Row],['#Wed]],2)</f>
        <v>49.05</v>
      </c>
      <c r="U29" s="24">
        <f>ROUND(Table134[[#This Row],['#punten]]/Table134[[#This Row],['#minuten]],2)</f>
        <v>0.76</v>
      </c>
      <c r="V29" s="23">
        <f>ROUND(Table134[[#This Row],['#punten]]/(Table134[[#This Row],['#minuten]]/90),2)</f>
        <v>68.08</v>
      </c>
      <c r="W29" s="23">
        <f>ROUND(Table134[[#This Row],[Prijs]]/Table134[[#This Row],['#punten]],0)</f>
        <v>1609</v>
      </c>
      <c r="X29" s="27">
        <f>ROUND((Table134[[#This Row],[Goals]]+Table134[[#This Row],[Asissts]])/(Table134[[#This Row],['#minuten]]/90),2)</f>
        <v>0.44</v>
      </c>
      <c r="Y29" s="38"/>
      <c r="Z29" t="s">
        <v>635</v>
      </c>
    </row>
    <row r="30" spans="1:26" x14ac:dyDescent="0.2">
      <c r="A30" s="11" t="s">
        <v>364</v>
      </c>
      <c r="B30" s="21" t="s">
        <v>39</v>
      </c>
      <c r="C30" s="22">
        <v>1250000</v>
      </c>
      <c r="D30" s="23" t="s">
        <v>135</v>
      </c>
      <c r="E30" s="23">
        <v>24</v>
      </c>
      <c r="F30" s="23" t="s">
        <v>179</v>
      </c>
      <c r="G30" s="44">
        <v>904</v>
      </c>
      <c r="H30" s="45">
        <v>124</v>
      </c>
      <c r="I30" s="45">
        <f>ROUND(Table134[[#This Row],[laatste 5 wed.]]/Table134[[#This Row],['#punten]]*100,1)</f>
        <v>13.7</v>
      </c>
      <c r="J30" s="23">
        <v>19</v>
      </c>
      <c r="K30" s="23">
        <v>17</v>
      </c>
      <c r="L30" s="23">
        <v>1427</v>
      </c>
      <c r="M30" s="23">
        <v>360</v>
      </c>
      <c r="N30" s="23">
        <f>ROUND(Table134[[#This Row],[Min laatste 5]]/Table134[[#This Row],['#minuten]]*100,1)</f>
        <v>25.2</v>
      </c>
      <c r="O30" s="23">
        <v>4</v>
      </c>
      <c r="P30" s="23">
        <v>0</v>
      </c>
      <c r="Q30" s="45">
        <v>0</v>
      </c>
      <c r="R30" s="23">
        <v>0</v>
      </c>
      <c r="S30" s="23">
        <v>5</v>
      </c>
      <c r="T30" s="46">
        <f>ROUND(Table134[[#This Row],['#punten]]/Table134[[#This Row],['#Wed]],2)</f>
        <v>47.58</v>
      </c>
      <c r="U30" s="24">
        <f>ROUND(Table134[[#This Row],['#punten]]/Table134[[#This Row],['#minuten]],2)</f>
        <v>0.63</v>
      </c>
      <c r="V30" s="23">
        <f>ROUND(Table134[[#This Row],['#punten]]/(Table134[[#This Row],['#minuten]]/90),2)</f>
        <v>57.01</v>
      </c>
      <c r="W30" s="23">
        <f>ROUND(Table134[[#This Row],[Prijs]]/Table134[[#This Row],['#punten]],0)</f>
        <v>1383</v>
      </c>
      <c r="X30" s="27">
        <f>ROUND((Table134[[#This Row],[Goals]]+Table134[[#This Row],[Asissts]])/(Table134[[#This Row],['#minuten]]/90),2)</f>
        <v>0.25</v>
      </c>
    </row>
    <row r="31" spans="1:26" x14ac:dyDescent="0.2">
      <c r="A31" s="11" t="s">
        <v>605</v>
      </c>
      <c r="B31" s="21" t="s">
        <v>39</v>
      </c>
      <c r="C31" s="22">
        <v>750000</v>
      </c>
      <c r="D31" s="23" t="s">
        <v>135</v>
      </c>
      <c r="E31" s="23">
        <v>24</v>
      </c>
      <c r="F31" s="23" t="s">
        <v>141</v>
      </c>
      <c r="G31" s="44">
        <v>490</v>
      </c>
      <c r="H31" s="45">
        <v>148</v>
      </c>
      <c r="I31" s="45">
        <f>ROUND(Table134[[#This Row],[laatste 5 wed.]]/Table134[[#This Row],['#punten]]*100,1)</f>
        <v>30.2</v>
      </c>
      <c r="J31" s="23">
        <v>15</v>
      </c>
      <c r="K31" s="23">
        <v>12</v>
      </c>
      <c r="L31" s="23">
        <v>914</v>
      </c>
      <c r="M31" s="23">
        <v>247</v>
      </c>
      <c r="N31" s="23">
        <f>ROUND(Table134[[#This Row],[Min laatste 5]]/Table134[[#This Row],['#minuten]]*100,1)</f>
        <v>27</v>
      </c>
      <c r="O31" s="23">
        <v>0</v>
      </c>
      <c r="P31" s="23">
        <v>4</v>
      </c>
      <c r="Q31" s="45">
        <v>2</v>
      </c>
      <c r="R31" s="23">
        <v>1</v>
      </c>
      <c r="S31" s="23">
        <v>6</v>
      </c>
      <c r="T31" s="46">
        <f>ROUND(Table134[[#This Row],['#punten]]/Table134[[#This Row],['#Wed]],2)</f>
        <v>32.67</v>
      </c>
      <c r="U31" s="44">
        <f>ROUND(Table134[[#This Row],['#punten]]/Table134[[#This Row],['#minuten]],2)</f>
        <v>0.54</v>
      </c>
      <c r="V31" s="23">
        <f>ROUND(Table134[[#This Row],['#punten]]/(Table134[[#This Row],['#minuten]]/90),2)</f>
        <v>48.25</v>
      </c>
      <c r="W31" s="23">
        <f>ROUND(Table134[[#This Row],[Prijs]]/Table134[[#This Row],['#punten]],0)</f>
        <v>1531</v>
      </c>
      <c r="X31" s="27">
        <f>ROUND((Table134[[#This Row],[Goals]]+Table134[[#This Row],[Asissts]])/(Table134[[#This Row],['#minuten]]/90),2)</f>
        <v>0.39</v>
      </c>
      <c r="Y31" s="38"/>
    </row>
    <row r="32" spans="1:26" x14ac:dyDescent="0.2">
      <c r="A32" s="11" t="s">
        <v>606</v>
      </c>
      <c r="B32" s="21" t="s">
        <v>39</v>
      </c>
      <c r="C32" s="22">
        <v>750000</v>
      </c>
      <c r="D32" s="23" t="s">
        <v>135</v>
      </c>
      <c r="E32" s="23">
        <v>20</v>
      </c>
      <c r="F32" s="23" t="s">
        <v>156</v>
      </c>
      <c r="G32" s="44">
        <v>332</v>
      </c>
      <c r="H32" s="45">
        <v>108</v>
      </c>
      <c r="I32" s="45">
        <f>ROUND(Table134[[#This Row],[laatste 5 wed.]]/Table134[[#This Row],['#punten]]*100,1)</f>
        <v>32.5</v>
      </c>
      <c r="J32" s="23">
        <v>17</v>
      </c>
      <c r="K32" s="23">
        <v>9</v>
      </c>
      <c r="L32" s="23">
        <v>788</v>
      </c>
      <c r="M32" s="23">
        <v>251</v>
      </c>
      <c r="N32" s="23">
        <f>ROUND(Table134[[#This Row],[Min laatste 5]]/Table134[[#This Row],['#minuten]]*100,1)</f>
        <v>31.9</v>
      </c>
      <c r="O32" s="23">
        <v>0</v>
      </c>
      <c r="P32" s="23">
        <v>1</v>
      </c>
      <c r="Q32" s="45">
        <v>1</v>
      </c>
      <c r="R32" s="23">
        <v>0</v>
      </c>
      <c r="S32" s="23">
        <v>1</v>
      </c>
      <c r="T32" s="46">
        <f>ROUND(Table134[[#This Row],['#punten]]/Table134[[#This Row],['#Wed]],2)</f>
        <v>19.53</v>
      </c>
      <c r="U32" s="44">
        <f>ROUND(Table134[[#This Row],['#punten]]/Table134[[#This Row],['#minuten]],2)</f>
        <v>0.42</v>
      </c>
      <c r="V32" s="23">
        <f>ROUND(Table134[[#This Row],['#punten]]/(Table134[[#This Row],['#minuten]]/90),2)</f>
        <v>37.92</v>
      </c>
      <c r="W32" s="23">
        <f>ROUND(Table134[[#This Row],[Prijs]]/Table134[[#This Row],['#punten]],0)</f>
        <v>2259</v>
      </c>
      <c r="X32" s="27">
        <f>ROUND((Table134[[#This Row],[Goals]]+Table134[[#This Row],[Asissts]])/(Table134[[#This Row],['#minuten]]/90),2)</f>
        <v>0.11</v>
      </c>
      <c r="Y32" s="38"/>
    </row>
    <row r="33" spans="1:26" x14ac:dyDescent="0.2">
      <c r="A33" s="11" t="s">
        <v>607</v>
      </c>
      <c r="B33" s="62" t="s">
        <v>39</v>
      </c>
      <c r="C33" s="63">
        <v>500000</v>
      </c>
      <c r="D33" s="60" t="s">
        <v>135</v>
      </c>
      <c r="E33" s="60">
        <v>21</v>
      </c>
      <c r="F33" s="60" t="s">
        <v>167</v>
      </c>
      <c r="G33" s="91">
        <v>64</v>
      </c>
      <c r="H33" s="86">
        <v>0</v>
      </c>
      <c r="I33" s="45">
        <f>ROUND(Table134[[#This Row],[laatste 5 wed.]]/Table134[[#This Row],['#punten]]*100,1)</f>
        <v>0</v>
      </c>
      <c r="J33" s="60">
        <v>12</v>
      </c>
      <c r="K33" s="60">
        <v>0</v>
      </c>
      <c r="L33" s="60">
        <v>195</v>
      </c>
      <c r="M33" s="60">
        <v>86</v>
      </c>
      <c r="N33" s="23">
        <f>ROUND(Table134[[#This Row],[Min laatste 5]]/Table134[[#This Row],['#minuten]]*100,1)</f>
        <v>44.1</v>
      </c>
      <c r="O33" s="60">
        <v>0</v>
      </c>
      <c r="P33" s="60">
        <v>1</v>
      </c>
      <c r="Q33" s="86">
        <v>0</v>
      </c>
      <c r="R33" s="60">
        <v>0</v>
      </c>
      <c r="S33" s="60">
        <v>0</v>
      </c>
      <c r="T33" s="93">
        <f>ROUND(Table134[[#This Row],['#punten]]/Table134[[#This Row],['#Wed]],2)</f>
        <v>5.33</v>
      </c>
      <c r="U33" s="91">
        <f>ROUND(Table134[[#This Row],['#punten]]/Table134[[#This Row],['#minuten]],2)</f>
        <v>0.33</v>
      </c>
      <c r="V33" s="60">
        <f>ROUND(Table134[[#This Row],['#punten]]/(Table134[[#This Row],['#minuten]]/90),2)</f>
        <v>29.54</v>
      </c>
      <c r="W33" s="60">
        <f>ROUND(Table134[[#This Row],[Prijs]]/Table134[[#This Row],['#punten]],0)</f>
        <v>7813</v>
      </c>
      <c r="X33" s="61">
        <f>ROUND((Table134[[#This Row],[Goals]]+Table134[[#This Row],[Asissts]])/(Table134[[#This Row],['#minuten]]/90),2)</f>
        <v>0.46</v>
      </c>
      <c r="Y33" s="38"/>
    </row>
    <row r="34" spans="1:26" x14ac:dyDescent="0.2">
      <c r="A34" s="11" t="s">
        <v>133</v>
      </c>
      <c r="B34" s="28" t="s">
        <v>48</v>
      </c>
      <c r="C34" s="29">
        <v>1750000</v>
      </c>
      <c r="D34" s="30" t="s">
        <v>135</v>
      </c>
      <c r="E34" s="30">
        <v>22</v>
      </c>
      <c r="F34" s="30" t="s">
        <v>179</v>
      </c>
      <c r="G34" s="44">
        <v>888</v>
      </c>
      <c r="H34" s="45">
        <v>150</v>
      </c>
      <c r="I34" s="45">
        <f>ROUND(Table134[[#This Row],[laatste 5 wed.]]/Table134[[#This Row],['#punten]]*100,1)</f>
        <v>16.899999999999999</v>
      </c>
      <c r="J34" s="23">
        <v>18</v>
      </c>
      <c r="K34" s="23">
        <v>16</v>
      </c>
      <c r="L34" s="23">
        <v>1404</v>
      </c>
      <c r="M34" s="23">
        <v>385</v>
      </c>
      <c r="N34" s="23">
        <f>ROUND(Table134[[#This Row],[Min laatste 5]]/Table134[[#This Row],['#minuten]]*100,1)</f>
        <v>27.4</v>
      </c>
      <c r="O34" s="23">
        <v>4</v>
      </c>
      <c r="P34" s="23">
        <v>2</v>
      </c>
      <c r="Q34" s="45">
        <v>0</v>
      </c>
      <c r="R34" s="23">
        <v>0</v>
      </c>
      <c r="S34" s="23">
        <v>3</v>
      </c>
      <c r="T34" s="49">
        <f>ROUND(Table134[[#This Row],['#punten]]/Table134[[#This Row],['#Wed]],2)</f>
        <v>49.33</v>
      </c>
      <c r="U34" s="31">
        <f>ROUND(Table134[[#This Row],['#punten]]/Table134[[#This Row],['#minuten]],2)</f>
        <v>0.63</v>
      </c>
      <c r="V34" s="30">
        <f>ROUND(Table134[[#This Row],['#punten]]/(Table134[[#This Row],['#minuten]]/90),2)</f>
        <v>56.92</v>
      </c>
      <c r="W34" s="30">
        <f>ROUND(Table134[[#This Row],[Prijs]]/Table134[[#This Row],['#punten]],0)</f>
        <v>1971</v>
      </c>
      <c r="X34" s="34">
        <f>ROUND((Table134[[#This Row],[Goals]]+Table134[[#This Row],[Asissts]])/(Table134[[#This Row],['#minuten]]/90),2)</f>
        <v>0.38</v>
      </c>
    </row>
    <row r="35" spans="1:26" x14ac:dyDescent="0.2">
      <c r="A35" s="11" t="s">
        <v>236</v>
      </c>
      <c r="B35" s="51" t="s">
        <v>48</v>
      </c>
      <c r="C35" s="52">
        <v>1750000</v>
      </c>
      <c r="D35" s="53" t="s">
        <v>135</v>
      </c>
      <c r="E35" s="53">
        <v>24</v>
      </c>
      <c r="F35" s="53" t="s">
        <v>237</v>
      </c>
      <c r="G35" s="92">
        <v>652</v>
      </c>
      <c r="H35" s="85">
        <v>128</v>
      </c>
      <c r="I35" s="45">
        <f>ROUND(Table134[[#This Row],[laatste 5 wed.]]/Table134[[#This Row],['#punten]]*100,1)</f>
        <v>19.600000000000001</v>
      </c>
      <c r="J35" s="53">
        <v>13</v>
      </c>
      <c r="K35" s="53">
        <v>6</v>
      </c>
      <c r="L35" s="53">
        <v>510</v>
      </c>
      <c r="M35" s="53">
        <v>49</v>
      </c>
      <c r="N35" s="23">
        <f>ROUND(Table134[[#This Row],[Min laatste 5]]/Table134[[#This Row],['#minuten]]*100,1)</f>
        <v>9.6</v>
      </c>
      <c r="O35" s="53">
        <v>4</v>
      </c>
      <c r="P35" s="53">
        <v>0</v>
      </c>
      <c r="Q35" s="85">
        <v>0</v>
      </c>
      <c r="R35" s="53">
        <v>0</v>
      </c>
      <c r="S35" s="53">
        <v>1</v>
      </c>
      <c r="T35" s="94">
        <f>ROUND(Table134[[#This Row],['#punten]]/Table134[[#This Row],['#Wed]],2)</f>
        <v>50.15</v>
      </c>
      <c r="U35" s="54">
        <f>ROUND(Table134[[#This Row],['#punten]]/Table134[[#This Row],['#minuten]],2)</f>
        <v>1.28</v>
      </c>
      <c r="V35" s="53">
        <f>ROUND(Table134[[#This Row],['#punten]]/(Table134[[#This Row],['#minuten]]/90),2)</f>
        <v>115.06</v>
      </c>
      <c r="W35" s="53">
        <f>ROUND(Table134[[#This Row],[Prijs]]/Table134[[#This Row],['#punten]],0)</f>
        <v>2684</v>
      </c>
      <c r="X35" s="57">
        <f>ROUND((Table134[[#This Row],[Goals]]+Table134[[#This Row],[Asissts]])/(Table134[[#This Row],['#minuten]]/90),2)</f>
        <v>0.71</v>
      </c>
      <c r="Y35" s="38"/>
      <c r="Z35" t="s">
        <v>653</v>
      </c>
    </row>
    <row r="36" spans="1:26" x14ac:dyDescent="0.2">
      <c r="A36" s="11" t="s">
        <v>238</v>
      </c>
      <c r="B36" s="21" t="s">
        <v>48</v>
      </c>
      <c r="C36" s="22">
        <v>1250000</v>
      </c>
      <c r="D36" s="23" t="s">
        <v>135</v>
      </c>
      <c r="E36" s="23">
        <v>24</v>
      </c>
      <c r="F36" s="23" t="s">
        <v>141</v>
      </c>
      <c r="G36" s="44">
        <v>614</v>
      </c>
      <c r="H36" s="45">
        <v>212</v>
      </c>
      <c r="I36" s="45">
        <f>ROUND(Table134[[#This Row],[laatste 5 wed.]]/Table134[[#This Row],['#punten]]*100,1)</f>
        <v>34.5</v>
      </c>
      <c r="J36" s="23">
        <v>17</v>
      </c>
      <c r="K36" s="23">
        <v>12</v>
      </c>
      <c r="L36" s="23">
        <v>996</v>
      </c>
      <c r="M36" s="23">
        <v>210</v>
      </c>
      <c r="N36" s="23">
        <f>ROUND(Table134[[#This Row],[Min laatste 5]]/Table134[[#This Row],['#minuten]]*100,1)</f>
        <v>21.1</v>
      </c>
      <c r="O36" s="23">
        <v>1</v>
      </c>
      <c r="P36" s="23">
        <v>1</v>
      </c>
      <c r="Q36" s="45">
        <v>0</v>
      </c>
      <c r="R36" s="23">
        <v>0</v>
      </c>
      <c r="S36" s="23">
        <v>3</v>
      </c>
      <c r="T36" s="46">
        <f>ROUND(Table134[[#This Row],['#punten]]/Table134[[#This Row],['#Wed]],2)</f>
        <v>36.119999999999997</v>
      </c>
      <c r="U36" s="24">
        <f>ROUND(Table134[[#This Row],['#punten]]/Table134[[#This Row],['#minuten]],2)</f>
        <v>0.62</v>
      </c>
      <c r="V36" s="23">
        <f>ROUND(Table134[[#This Row],['#punten]]/(Table134[[#This Row],['#minuten]]/90),2)</f>
        <v>55.48</v>
      </c>
      <c r="W36" s="23">
        <f>ROUND(Table134[[#This Row],[Prijs]]/Table134[[#This Row],['#punten]],0)</f>
        <v>2036</v>
      </c>
      <c r="X36" s="27">
        <f>ROUND((Table134[[#This Row],[Goals]]+Table134[[#This Row],[Asissts]])/(Table134[[#This Row],['#minuten]]/90),2)</f>
        <v>0.18</v>
      </c>
      <c r="Y36" s="38"/>
    </row>
    <row r="37" spans="1:26" x14ac:dyDescent="0.2">
      <c r="A37" s="11" t="s">
        <v>583</v>
      </c>
      <c r="B37" s="28" t="s">
        <v>48</v>
      </c>
      <c r="C37" s="29">
        <v>750000</v>
      </c>
      <c r="D37" s="30" t="s">
        <v>135</v>
      </c>
      <c r="E37" s="30">
        <v>22</v>
      </c>
      <c r="F37" s="30" t="s">
        <v>187</v>
      </c>
      <c r="G37" s="44">
        <v>284</v>
      </c>
      <c r="H37" s="45">
        <v>108</v>
      </c>
      <c r="I37" s="45">
        <f>ROUND(Table134[[#This Row],[laatste 5 wed.]]/Table134[[#This Row],['#punten]]*100,1)</f>
        <v>38</v>
      </c>
      <c r="J37" s="23">
        <v>11</v>
      </c>
      <c r="K37" s="23">
        <v>7</v>
      </c>
      <c r="L37" s="23">
        <v>556</v>
      </c>
      <c r="M37" s="23">
        <v>240</v>
      </c>
      <c r="N37" s="23">
        <f>ROUND(Table134[[#This Row],[Min laatste 5]]/Table134[[#This Row],['#minuten]]*100,1)</f>
        <v>43.2</v>
      </c>
      <c r="O37" s="23">
        <v>1</v>
      </c>
      <c r="P37" s="23">
        <v>1</v>
      </c>
      <c r="Q37" s="45">
        <v>2</v>
      </c>
      <c r="R37" s="23">
        <v>0</v>
      </c>
      <c r="S37" s="23">
        <v>1</v>
      </c>
      <c r="T37" s="49">
        <f>ROUND(Table134[[#This Row],['#punten]]/Table134[[#This Row],['#Wed]],2)</f>
        <v>25.82</v>
      </c>
      <c r="U37" s="47">
        <f>ROUND(Table134[[#This Row],['#punten]]/Table134[[#This Row],['#minuten]],2)</f>
        <v>0.51</v>
      </c>
      <c r="V37" s="30">
        <f>ROUND(Table134[[#This Row],['#punten]]/(Table134[[#This Row],['#minuten]]/90),2)</f>
        <v>45.97</v>
      </c>
      <c r="W37" s="30">
        <f>ROUND(Table134[[#This Row],[Prijs]]/Table134[[#This Row],['#punten]],0)</f>
        <v>2641</v>
      </c>
      <c r="X37" s="34">
        <f>ROUND((Table134[[#This Row],[Goals]]+Table134[[#This Row],[Asissts]])/(Table134[[#This Row],['#minuten]]/90),2)</f>
        <v>0.32</v>
      </c>
      <c r="Y37" s="38"/>
    </row>
    <row r="38" spans="1:26" x14ac:dyDescent="0.2">
      <c r="A38" s="11" t="s">
        <v>241</v>
      </c>
      <c r="B38" s="28" t="s">
        <v>239</v>
      </c>
      <c r="C38" s="29">
        <v>1500000</v>
      </c>
      <c r="D38" s="30" t="s">
        <v>135</v>
      </c>
      <c r="E38" s="30">
        <v>25</v>
      </c>
      <c r="F38" s="30" t="s">
        <v>179</v>
      </c>
      <c r="G38" s="47">
        <v>950</v>
      </c>
      <c r="H38" s="48">
        <v>196</v>
      </c>
      <c r="I38" s="45">
        <f>ROUND(Table134[[#This Row],[laatste 5 wed.]]/Table134[[#This Row],['#punten]]*100,1)</f>
        <v>20.6</v>
      </c>
      <c r="J38" s="30">
        <v>19</v>
      </c>
      <c r="K38" s="30">
        <v>19</v>
      </c>
      <c r="L38" s="30">
        <v>1571</v>
      </c>
      <c r="M38" s="30">
        <v>398</v>
      </c>
      <c r="N38" s="23">
        <f>ROUND(Table134[[#This Row],[Min laatste 5]]/Table134[[#This Row],['#minuten]]*100,1)</f>
        <v>25.3</v>
      </c>
      <c r="O38" s="30">
        <v>5</v>
      </c>
      <c r="P38" s="30">
        <v>3</v>
      </c>
      <c r="Q38" s="48">
        <v>2</v>
      </c>
      <c r="R38" s="30">
        <v>0</v>
      </c>
      <c r="S38" s="30">
        <v>1</v>
      </c>
      <c r="T38" s="49">
        <f>ROUND(Table134[[#This Row],['#punten]]/Table134[[#This Row],['#Wed]],2)</f>
        <v>50</v>
      </c>
      <c r="U38" s="31">
        <f>ROUND(Table134[[#This Row],['#punten]]/Table134[[#This Row],['#minuten]],2)</f>
        <v>0.6</v>
      </c>
      <c r="V38" s="30">
        <f>ROUND(Table134[[#This Row],['#punten]]/(Table134[[#This Row],['#minuten]]/90),2)</f>
        <v>54.42</v>
      </c>
      <c r="W38" s="30">
        <f>ROUND(Table134[[#This Row],[Prijs]]/Table134[[#This Row],['#punten]],0)</f>
        <v>1579</v>
      </c>
      <c r="X38" s="34">
        <f>ROUND((Table134[[#This Row],[Goals]]+Table134[[#This Row],[Asissts]])/(Table134[[#This Row],['#minuten]]/90),2)</f>
        <v>0.46</v>
      </c>
      <c r="Z38" t="s">
        <v>641</v>
      </c>
    </row>
    <row r="39" spans="1:26" x14ac:dyDescent="0.2">
      <c r="A39" s="11" t="s">
        <v>242</v>
      </c>
      <c r="B39" s="21" t="s">
        <v>239</v>
      </c>
      <c r="C39" s="22">
        <v>1250000</v>
      </c>
      <c r="D39" s="23" t="s">
        <v>135</v>
      </c>
      <c r="E39" s="23">
        <v>30</v>
      </c>
      <c r="F39" s="23" t="s">
        <v>200</v>
      </c>
      <c r="G39" s="44">
        <v>866</v>
      </c>
      <c r="H39" s="45">
        <v>304</v>
      </c>
      <c r="I39" s="45">
        <f>ROUND(Table134[[#This Row],[laatste 5 wed.]]/Table134[[#This Row],['#punten]]*100,1)</f>
        <v>35.1</v>
      </c>
      <c r="J39" s="23">
        <v>19</v>
      </c>
      <c r="K39" s="23">
        <v>13</v>
      </c>
      <c r="L39" s="23">
        <v>1131</v>
      </c>
      <c r="M39" s="23">
        <v>302</v>
      </c>
      <c r="N39" s="23">
        <f>ROUND(Table134[[#This Row],[Min laatste 5]]/Table134[[#This Row],['#minuten]]*100,1)</f>
        <v>26.7</v>
      </c>
      <c r="O39" s="23">
        <v>5</v>
      </c>
      <c r="P39" s="23">
        <v>2</v>
      </c>
      <c r="Q39" s="45">
        <v>4</v>
      </c>
      <c r="R39" s="23">
        <v>0</v>
      </c>
      <c r="S39" s="23">
        <v>1</v>
      </c>
      <c r="T39" s="46">
        <f>ROUND(Table134[[#This Row],['#punten]]/Table134[[#This Row],['#Wed]],2)</f>
        <v>45.58</v>
      </c>
      <c r="U39" s="24">
        <f>ROUND(Table134[[#This Row],['#punten]]/Table134[[#This Row],['#minuten]],2)</f>
        <v>0.77</v>
      </c>
      <c r="V39" s="23">
        <f>ROUND(Table134[[#This Row],['#punten]]/(Table134[[#This Row],['#minuten]]/90),2)</f>
        <v>68.91</v>
      </c>
      <c r="W39" s="23">
        <f>ROUND(Table134[[#This Row],[Prijs]]/Table134[[#This Row],['#punten]],0)</f>
        <v>1443</v>
      </c>
      <c r="X39" s="27">
        <f>ROUND((Table134[[#This Row],[Goals]]+Table134[[#This Row],[Asissts]])/(Table134[[#This Row],['#minuten]]/90),2)</f>
        <v>0.56000000000000005</v>
      </c>
    </row>
    <row r="40" spans="1:26" x14ac:dyDescent="0.2">
      <c r="A40" s="11" t="s">
        <v>520</v>
      </c>
      <c r="B40" s="21" t="s">
        <v>239</v>
      </c>
      <c r="C40" s="22">
        <v>1250000</v>
      </c>
      <c r="D40" s="23" t="s">
        <v>135</v>
      </c>
      <c r="E40" s="23">
        <v>20</v>
      </c>
      <c r="F40" s="23" t="s">
        <v>141</v>
      </c>
      <c r="G40" s="44">
        <v>712</v>
      </c>
      <c r="H40" s="45">
        <v>84</v>
      </c>
      <c r="I40" s="45">
        <f>ROUND(Table134[[#This Row],[laatste 5 wed.]]/Table134[[#This Row],['#punten]]*100,1)</f>
        <v>11.8</v>
      </c>
      <c r="J40" s="23">
        <v>16</v>
      </c>
      <c r="K40" s="23">
        <v>11</v>
      </c>
      <c r="L40" s="23">
        <v>850</v>
      </c>
      <c r="M40" s="23">
        <v>181</v>
      </c>
      <c r="N40" s="23">
        <f>ROUND(Table134[[#This Row],[Min laatste 5]]/Table134[[#This Row],['#minuten]]*100,1)</f>
        <v>21.3</v>
      </c>
      <c r="O40" s="23">
        <v>4</v>
      </c>
      <c r="P40" s="23">
        <v>0</v>
      </c>
      <c r="Q40" s="45">
        <v>1</v>
      </c>
      <c r="R40" s="23">
        <v>0</v>
      </c>
      <c r="S40" s="23">
        <v>1</v>
      </c>
      <c r="T40" s="46">
        <f>ROUND(Table134[[#This Row],['#punten]]/Table134[[#This Row],['#Wed]],2)</f>
        <v>44.5</v>
      </c>
      <c r="U40" s="24">
        <f>ROUND(Table134[[#This Row],['#punten]]/Table134[[#This Row],['#minuten]],2)</f>
        <v>0.84</v>
      </c>
      <c r="V40" s="23">
        <f>ROUND(Table134[[#This Row],['#punten]]/(Table134[[#This Row],['#minuten]]/90),2)</f>
        <v>75.39</v>
      </c>
      <c r="W40" s="23">
        <f>ROUND(Table134[[#This Row],[Prijs]]/Table134[[#This Row],['#punten]],0)</f>
        <v>1756</v>
      </c>
      <c r="X40" s="27">
        <f>ROUND((Table134[[#This Row],[Goals]]+Table134[[#This Row],[Asissts]])/(Table134[[#This Row],['#minuten]]/90),2)</f>
        <v>0.42</v>
      </c>
    </row>
    <row r="41" spans="1:26" x14ac:dyDescent="0.2">
      <c r="A41" s="11" t="s">
        <v>366</v>
      </c>
      <c r="B41" s="21" t="s">
        <v>239</v>
      </c>
      <c r="C41" s="22">
        <v>750000</v>
      </c>
      <c r="D41" s="23" t="s">
        <v>135</v>
      </c>
      <c r="E41" s="23">
        <v>22</v>
      </c>
      <c r="F41" s="23" t="s">
        <v>167</v>
      </c>
      <c r="G41" s="44">
        <v>402</v>
      </c>
      <c r="H41" s="45">
        <v>102</v>
      </c>
      <c r="I41" s="45">
        <f>ROUND(Table134[[#This Row],[laatste 5 wed.]]/Table134[[#This Row],['#punten]]*100,1)</f>
        <v>25.4</v>
      </c>
      <c r="J41" s="23">
        <v>17</v>
      </c>
      <c r="K41" s="23">
        <v>9</v>
      </c>
      <c r="L41" s="23">
        <v>845</v>
      </c>
      <c r="M41" s="23">
        <v>222</v>
      </c>
      <c r="N41" s="23">
        <f>ROUND(Table134[[#This Row],[Min laatste 5]]/Table134[[#This Row],['#minuten]]*100,1)</f>
        <v>26.3</v>
      </c>
      <c r="O41" s="23">
        <v>1</v>
      </c>
      <c r="P41" s="23">
        <v>0</v>
      </c>
      <c r="Q41" s="45">
        <v>2</v>
      </c>
      <c r="R41" s="23">
        <v>0</v>
      </c>
      <c r="S41" s="23">
        <v>1</v>
      </c>
      <c r="T41" s="46">
        <f>ROUND(Table134[[#This Row],['#punten]]/Table134[[#This Row],['#Wed]],2)</f>
        <v>23.65</v>
      </c>
      <c r="U41" s="24">
        <f>ROUND(Table134[[#This Row],['#punten]]/Table134[[#This Row],['#minuten]],2)</f>
        <v>0.48</v>
      </c>
      <c r="V41" s="23">
        <f>ROUND(Table134[[#This Row],['#punten]]/(Table134[[#This Row],['#minuten]]/90),2)</f>
        <v>42.82</v>
      </c>
      <c r="W41" s="23">
        <f>ROUND(Table134[[#This Row],[Prijs]]/Table134[[#This Row],['#punten]],0)</f>
        <v>1866</v>
      </c>
      <c r="X41" s="27">
        <f>ROUND((Table134[[#This Row],[Goals]]+Table134[[#This Row],[Asissts]])/(Table134[[#This Row],['#minuten]]/90),2)</f>
        <v>0.11</v>
      </c>
      <c r="Y41" s="38"/>
    </row>
    <row r="42" spans="1:26" x14ac:dyDescent="0.2">
      <c r="A42" s="11" t="s">
        <v>611</v>
      </c>
      <c r="B42" s="28" t="s">
        <v>239</v>
      </c>
      <c r="C42" s="29">
        <v>1250000</v>
      </c>
      <c r="D42" s="30" t="s">
        <v>135</v>
      </c>
      <c r="E42" s="30">
        <v>25</v>
      </c>
      <c r="F42" s="30" t="s">
        <v>141</v>
      </c>
      <c r="G42" s="47">
        <v>194</v>
      </c>
      <c r="H42" s="48">
        <v>166</v>
      </c>
      <c r="I42" s="45">
        <f>ROUND(Table134[[#This Row],[laatste 5 wed.]]/Table134[[#This Row],['#punten]]*100,1)</f>
        <v>85.6</v>
      </c>
      <c r="J42" s="30">
        <v>4</v>
      </c>
      <c r="K42" s="30">
        <v>2</v>
      </c>
      <c r="L42" s="30">
        <v>184</v>
      </c>
      <c r="M42" s="30">
        <v>140</v>
      </c>
      <c r="N42" s="23">
        <f>ROUND(Table134[[#This Row],[Min laatste 5]]/Table134[[#This Row],['#minuten]]*100,1)</f>
        <v>76.099999999999994</v>
      </c>
      <c r="O42" s="30">
        <v>2</v>
      </c>
      <c r="P42" s="30">
        <v>0</v>
      </c>
      <c r="Q42" s="48">
        <v>1</v>
      </c>
      <c r="R42" s="30">
        <v>0</v>
      </c>
      <c r="S42" s="30">
        <v>0</v>
      </c>
      <c r="T42" s="49">
        <f>ROUND(Table134[[#This Row],['#punten]]/Table134[[#This Row],['#Wed]],2)</f>
        <v>48.5</v>
      </c>
      <c r="U42" s="47">
        <f>ROUND(Table134[[#This Row],['#punten]]/Table134[[#This Row],['#minuten]],2)</f>
        <v>1.05</v>
      </c>
      <c r="V42" s="30">
        <f>ROUND(Table134[[#This Row],['#punten]]/(Table134[[#This Row],['#minuten]]/90),2)</f>
        <v>94.89</v>
      </c>
      <c r="W42" s="30">
        <f>ROUND(Table134[[#This Row],[Prijs]]/Table134[[#This Row],['#punten]],0)</f>
        <v>6443</v>
      </c>
      <c r="X42" s="34">
        <f>ROUND((Table134[[#This Row],[Goals]]+Table134[[#This Row],[Asissts]])/(Table134[[#This Row],['#minuten]]/90),2)</f>
        <v>0.98</v>
      </c>
      <c r="Y42" s="38"/>
    </row>
    <row r="43" spans="1:26" x14ac:dyDescent="0.2">
      <c r="A43" s="11" t="s">
        <v>255</v>
      </c>
      <c r="B43" s="21" t="s">
        <v>10</v>
      </c>
      <c r="C43" s="22">
        <v>1750000</v>
      </c>
      <c r="D43" s="23" t="s">
        <v>135</v>
      </c>
      <c r="E43" s="23">
        <v>26</v>
      </c>
      <c r="F43" s="23" t="s">
        <v>177</v>
      </c>
      <c r="G43" s="44">
        <v>828</v>
      </c>
      <c r="H43" s="45">
        <v>302</v>
      </c>
      <c r="I43" s="45">
        <f>ROUND(Table134[[#This Row],[laatste 5 wed.]]/Table134[[#This Row],['#punten]]*100,1)</f>
        <v>36.5</v>
      </c>
      <c r="J43" s="23">
        <v>17</v>
      </c>
      <c r="K43" s="23">
        <v>14</v>
      </c>
      <c r="L43" s="23">
        <v>1224</v>
      </c>
      <c r="M43" s="23">
        <v>429</v>
      </c>
      <c r="N43" s="23">
        <f>ROUND(Table134[[#This Row],[Min laatste 5]]/Table134[[#This Row],['#minuten]]*100,1)</f>
        <v>35</v>
      </c>
      <c r="O43" s="23">
        <v>5</v>
      </c>
      <c r="P43" s="23">
        <v>1</v>
      </c>
      <c r="Q43" s="45">
        <v>1</v>
      </c>
      <c r="R43" s="23">
        <v>0</v>
      </c>
      <c r="S43" s="23">
        <v>2</v>
      </c>
      <c r="T43" s="46">
        <f>ROUND(Table134[[#This Row],['#punten]]/Table134[[#This Row],['#Wed]],2)</f>
        <v>48.71</v>
      </c>
      <c r="U43" s="24">
        <f>ROUND(Table134[[#This Row],['#punten]]/Table134[[#This Row],['#minuten]],2)</f>
        <v>0.68</v>
      </c>
      <c r="V43" s="23">
        <f>ROUND(Table134[[#This Row],['#punten]]/(Table134[[#This Row],['#minuten]]/90),2)</f>
        <v>60.88</v>
      </c>
      <c r="W43" s="23">
        <f>ROUND(Table134[[#This Row],[Prijs]]/Table134[[#This Row],['#punten]],0)</f>
        <v>2114</v>
      </c>
      <c r="X43" s="27">
        <f>ROUND((Table134[[#This Row],[Goals]]+Table134[[#This Row],[Asissts]])/(Table134[[#This Row],['#minuten]]/90),2)</f>
        <v>0.44</v>
      </c>
      <c r="Y43" s="38"/>
    </row>
    <row r="44" spans="1:26" x14ac:dyDescent="0.2">
      <c r="A44" s="11" t="s">
        <v>258</v>
      </c>
      <c r="B44" s="51" t="s">
        <v>10</v>
      </c>
      <c r="C44" s="52">
        <v>1000000</v>
      </c>
      <c r="D44" s="53" t="s">
        <v>135</v>
      </c>
      <c r="E44" s="53">
        <v>21</v>
      </c>
      <c r="F44" s="53" t="s">
        <v>141</v>
      </c>
      <c r="G44" s="92">
        <v>790</v>
      </c>
      <c r="H44" s="85">
        <v>302</v>
      </c>
      <c r="I44" s="45">
        <f>ROUND(Table134[[#This Row],[laatste 5 wed.]]/Table134[[#This Row],['#punten]]*100,1)</f>
        <v>38.200000000000003</v>
      </c>
      <c r="J44" s="53">
        <v>19</v>
      </c>
      <c r="K44" s="53">
        <v>17</v>
      </c>
      <c r="L44" s="53">
        <v>1278</v>
      </c>
      <c r="M44" s="53">
        <v>391</v>
      </c>
      <c r="N44" s="23">
        <f>ROUND(Table134[[#This Row],[Min laatste 5]]/Table134[[#This Row],['#minuten]]*100,1)</f>
        <v>30.6</v>
      </c>
      <c r="O44" s="53">
        <v>2</v>
      </c>
      <c r="P44" s="53">
        <v>1</v>
      </c>
      <c r="Q44" s="85">
        <v>1</v>
      </c>
      <c r="R44" s="53">
        <v>0</v>
      </c>
      <c r="S44" s="53">
        <v>3</v>
      </c>
      <c r="T44" s="94">
        <f>ROUND(Table134[[#This Row],['#punten]]/Table134[[#This Row],['#Wed]],2)</f>
        <v>41.58</v>
      </c>
      <c r="U44" s="54">
        <f>ROUND(Table134[[#This Row],['#punten]]/Table134[[#This Row],['#minuten]],2)</f>
        <v>0.62</v>
      </c>
      <c r="V44" s="53">
        <f>ROUND(Table134[[#This Row],['#punten]]/(Table134[[#This Row],['#minuten]]/90),2)</f>
        <v>55.63</v>
      </c>
      <c r="W44" s="53">
        <f>ROUND(Table134[[#This Row],[Prijs]]/Table134[[#This Row],['#punten]],0)</f>
        <v>1266</v>
      </c>
      <c r="X44" s="57">
        <f>ROUND((Table134[[#This Row],[Goals]]+Table134[[#This Row],[Asissts]])/(Table134[[#This Row],['#minuten]]/90),2)</f>
        <v>0.21</v>
      </c>
    </row>
    <row r="45" spans="1:26" x14ac:dyDescent="0.2">
      <c r="A45" s="11" t="s">
        <v>518</v>
      </c>
      <c r="B45" s="21" t="s">
        <v>10</v>
      </c>
      <c r="C45" s="22">
        <v>1000000</v>
      </c>
      <c r="D45" s="23" t="s">
        <v>135</v>
      </c>
      <c r="E45" s="23">
        <v>27</v>
      </c>
      <c r="F45" s="23" t="s">
        <v>141</v>
      </c>
      <c r="G45" s="44">
        <v>734</v>
      </c>
      <c r="H45" s="45">
        <v>62</v>
      </c>
      <c r="I45" s="45">
        <f>ROUND(Table134[[#This Row],[laatste 5 wed.]]/Table134[[#This Row],['#punten]]*100,1)</f>
        <v>8.4</v>
      </c>
      <c r="J45" s="23">
        <v>18</v>
      </c>
      <c r="K45" s="23">
        <v>4</v>
      </c>
      <c r="L45" s="23">
        <v>614</v>
      </c>
      <c r="M45" s="23">
        <v>178</v>
      </c>
      <c r="N45" s="23">
        <f>ROUND(Table134[[#This Row],[Min laatste 5]]/Table134[[#This Row],['#minuten]]*100,1)</f>
        <v>29</v>
      </c>
      <c r="O45" s="23">
        <v>5</v>
      </c>
      <c r="P45" s="23">
        <v>0</v>
      </c>
      <c r="Q45" s="45">
        <v>1</v>
      </c>
      <c r="R45" s="23">
        <v>0</v>
      </c>
      <c r="S45" s="23">
        <v>0</v>
      </c>
      <c r="T45" s="46">
        <f>ROUND(Table134[[#This Row],['#punten]]/Table134[[#This Row],['#Wed]],2)</f>
        <v>40.78</v>
      </c>
      <c r="U45" s="24">
        <f>ROUND(Table134[[#This Row],['#punten]]/Table134[[#This Row],['#minuten]],2)</f>
        <v>1.2</v>
      </c>
      <c r="V45" s="23">
        <f>ROUND(Table134[[#This Row],['#punten]]/(Table134[[#This Row],['#minuten]]/90),2)</f>
        <v>107.59</v>
      </c>
      <c r="W45" s="23">
        <f>ROUND(Table134[[#This Row],[Prijs]]/Table134[[#This Row],['#punten]],0)</f>
        <v>1362</v>
      </c>
      <c r="X45" s="27">
        <f>ROUND((Table134[[#This Row],[Goals]]+Table134[[#This Row],[Asissts]])/(Table134[[#This Row],['#minuten]]/90),2)</f>
        <v>0.73</v>
      </c>
    </row>
    <row r="46" spans="1:26" x14ac:dyDescent="0.2">
      <c r="A46" s="11" t="s">
        <v>261</v>
      </c>
      <c r="B46" s="28" t="s">
        <v>260</v>
      </c>
      <c r="C46" s="29">
        <v>2000000</v>
      </c>
      <c r="D46" s="30" t="s">
        <v>135</v>
      </c>
      <c r="E46" s="30">
        <v>31</v>
      </c>
      <c r="F46" s="30" t="s">
        <v>200</v>
      </c>
      <c r="G46" s="47">
        <v>1180</v>
      </c>
      <c r="H46" s="48">
        <v>432</v>
      </c>
      <c r="I46" s="45">
        <f>ROUND(Table134[[#This Row],[laatste 5 wed.]]/Table134[[#This Row],['#punten]]*100,1)</f>
        <v>36.6</v>
      </c>
      <c r="J46" s="30">
        <v>17</v>
      </c>
      <c r="K46" s="30">
        <v>15</v>
      </c>
      <c r="L46" s="30">
        <v>1325</v>
      </c>
      <c r="M46" s="30">
        <v>425</v>
      </c>
      <c r="N46" s="23">
        <f>ROUND(Table134[[#This Row],[Min laatste 5]]/Table134[[#This Row],['#minuten]]*100,1)</f>
        <v>32.1</v>
      </c>
      <c r="O46" s="30">
        <v>8</v>
      </c>
      <c r="P46" s="30">
        <v>2</v>
      </c>
      <c r="Q46" s="48">
        <v>0</v>
      </c>
      <c r="R46" s="30">
        <v>0</v>
      </c>
      <c r="S46" s="30">
        <v>3</v>
      </c>
      <c r="T46" s="49">
        <f>ROUND(Table134[[#This Row],['#punten]]/Table134[[#This Row],['#Wed]],2)</f>
        <v>69.41</v>
      </c>
      <c r="U46" s="31">
        <f>ROUND(Table134[[#This Row],['#punten]]/Table134[[#This Row],['#minuten]],2)</f>
        <v>0.89</v>
      </c>
      <c r="V46" s="30">
        <f>ROUND(Table134[[#This Row],['#punten]]/(Table134[[#This Row],['#minuten]]/90),2)</f>
        <v>80.150000000000006</v>
      </c>
      <c r="W46" s="30">
        <f>ROUND(Table134[[#This Row],[Prijs]]/Table134[[#This Row],['#punten]],0)</f>
        <v>1695</v>
      </c>
      <c r="X46" s="34">
        <f>ROUND((Table134[[#This Row],[Goals]]+Table134[[#This Row],[Asissts]])/(Table134[[#This Row],['#minuten]]/90),2)</f>
        <v>0.68</v>
      </c>
      <c r="Y46" s="38"/>
    </row>
    <row r="47" spans="1:26" x14ac:dyDescent="0.2">
      <c r="A47" s="11" t="s">
        <v>259</v>
      </c>
      <c r="B47" s="62" t="s">
        <v>260</v>
      </c>
      <c r="C47" s="63">
        <v>1500000</v>
      </c>
      <c r="D47" s="60" t="s">
        <v>135</v>
      </c>
      <c r="E47" s="60">
        <v>25</v>
      </c>
      <c r="F47" s="60" t="s">
        <v>141</v>
      </c>
      <c r="G47" s="91">
        <v>1022</v>
      </c>
      <c r="H47" s="86">
        <v>96</v>
      </c>
      <c r="I47" s="45">
        <f>ROUND(Table134[[#This Row],[laatste 5 wed.]]/Table134[[#This Row],['#punten]]*100,1)</f>
        <v>9.4</v>
      </c>
      <c r="J47" s="60">
        <v>15</v>
      </c>
      <c r="K47" s="60">
        <v>11</v>
      </c>
      <c r="L47" s="60">
        <v>949</v>
      </c>
      <c r="M47" s="60">
        <v>214</v>
      </c>
      <c r="N47" s="23">
        <f>ROUND(Table134[[#This Row],[Min laatste 5]]/Table134[[#This Row],['#minuten]]*100,1)</f>
        <v>22.6</v>
      </c>
      <c r="O47" s="60">
        <v>5</v>
      </c>
      <c r="P47" s="60">
        <v>2</v>
      </c>
      <c r="Q47" s="86">
        <v>2</v>
      </c>
      <c r="R47" s="60">
        <v>0</v>
      </c>
      <c r="S47" s="60">
        <v>1</v>
      </c>
      <c r="T47" s="93">
        <f>ROUND(Table134[[#This Row],['#punten]]/Table134[[#This Row],['#Wed]],2)</f>
        <v>68.13</v>
      </c>
      <c r="U47" s="58">
        <f>ROUND(Table134[[#This Row],['#punten]]/Table134[[#This Row],['#minuten]],2)</f>
        <v>1.08</v>
      </c>
      <c r="V47" s="60">
        <f>ROUND(Table134[[#This Row],['#punten]]/(Table134[[#This Row],['#minuten]]/90),2)</f>
        <v>96.92</v>
      </c>
      <c r="W47" s="60">
        <f>ROUND(Table134[[#This Row],[Prijs]]/Table134[[#This Row],['#punten]],0)</f>
        <v>1468</v>
      </c>
      <c r="X47" s="61">
        <f>ROUND((Table134[[#This Row],[Goals]]+Table134[[#This Row],[Asissts]])/(Table134[[#This Row],['#minuten]]/90),2)</f>
        <v>0.66</v>
      </c>
      <c r="Z47" t="s">
        <v>655</v>
      </c>
    </row>
    <row r="48" spans="1:26" x14ac:dyDescent="0.2">
      <c r="A48" s="11" t="s">
        <v>269</v>
      </c>
      <c r="B48" s="51" t="s">
        <v>11</v>
      </c>
      <c r="C48" s="52">
        <v>5500000</v>
      </c>
      <c r="D48" s="53" t="s">
        <v>135</v>
      </c>
      <c r="E48" s="53">
        <v>33</v>
      </c>
      <c r="F48" s="53" t="s">
        <v>141</v>
      </c>
      <c r="G48" s="92">
        <v>2126</v>
      </c>
      <c r="H48" s="85">
        <v>738</v>
      </c>
      <c r="I48" s="45">
        <f>ROUND(Table134[[#This Row],[laatste 5 wed.]]/Table134[[#This Row],['#punten]]*100,1)</f>
        <v>34.700000000000003</v>
      </c>
      <c r="J48" s="53">
        <v>19</v>
      </c>
      <c r="K48" s="53">
        <v>19</v>
      </c>
      <c r="L48" s="53">
        <v>1499</v>
      </c>
      <c r="M48" s="53">
        <v>389</v>
      </c>
      <c r="N48" s="23">
        <f>ROUND(Table134[[#This Row],[Min laatste 5]]/Table134[[#This Row],['#minuten]]*100,1)</f>
        <v>26</v>
      </c>
      <c r="O48" s="53">
        <v>17</v>
      </c>
      <c r="P48" s="53">
        <v>7</v>
      </c>
      <c r="Q48" s="85">
        <v>2</v>
      </c>
      <c r="R48" s="53">
        <v>0</v>
      </c>
      <c r="S48" s="53">
        <v>12</v>
      </c>
      <c r="T48" s="94">
        <f>ROUND(Table134[[#This Row],['#punten]]/Table134[[#This Row],['#Wed]],2)</f>
        <v>111.89</v>
      </c>
      <c r="U48" s="54">
        <f>ROUND(Table134[[#This Row],['#punten]]/Table134[[#This Row],['#minuten]],2)</f>
        <v>1.42</v>
      </c>
      <c r="V48" s="53">
        <f>ROUND(Table134[[#This Row],['#punten]]/(Table134[[#This Row],['#minuten]]/90),2)</f>
        <v>127.65</v>
      </c>
      <c r="W48" s="53">
        <f>ROUND(Table134[[#This Row],[Prijs]]/Table134[[#This Row],['#punten]],0)</f>
        <v>2587</v>
      </c>
      <c r="X48" s="57">
        <f>ROUND((Table134[[#This Row],[Goals]]+Table134[[#This Row],[Asissts]])/(Table134[[#This Row],['#minuten]]/90),2)</f>
        <v>1.44</v>
      </c>
      <c r="Z48" t="s">
        <v>643</v>
      </c>
    </row>
    <row r="49" spans="1:26" x14ac:dyDescent="0.2">
      <c r="A49" s="11" t="s">
        <v>270</v>
      </c>
      <c r="B49" s="28" t="s">
        <v>11</v>
      </c>
      <c r="C49" s="29">
        <v>3500000</v>
      </c>
      <c r="D49" s="30" t="s">
        <v>135</v>
      </c>
      <c r="E49" s="30">
        <v>20</v>
      </c>
      <c r="F49" s="30" t="s">
        <v>167</v>
      </c>
      <c r="G49" s="47">
        <v>1258</v>
      </c>
      <c r="H49" s="48">
        <v>282</v>
      </c>
      <c r="I49" s="45">
        <f>ROUND(Table134[[#This Row],[laatste 5 wed.]]/Table134[[#This Row],['#punten]]*100,1)</f>
        <v>22.4</v>
      </c>
      <c r="J49" s="30">
        <v>19</v>
      </c>
      <c r="K49" s="30">
        <v>17</v>
      </c>
      <c r="L49" s="30">
        <v>1423</v>
      </c>
      <c r="M49" s="30">
        <v>421</v>
      </c>
      <c r="N49" s="23">
        <f>ROUND(Table134[[#This Row],[Min laatste 5]]/Table134[[#This Row],['#minuten]]*100,1)</f>
        <v>29.6</v>
      </c>
      <c r="O49" s="30">
        <v>4</v>
      </c>
      <c r="P49" s="30">
        <v>8</v>
      </c>
      <c r="Q49" s="48">
        <v>1</v>
      </c>
      <c r="R49" s="30">
        <v>0</v>
      </c>
      <c r="S49" s="30">
        <v>10</v>
      </c>
      <c r="T49" s="49">
        <f>ROUND(Table134[[#This Row],['#punten]]/Table134[[#This Row],['#Wed]],2)</f>
        <v>66.209999999999994</v>
      </c>
      <c r="U49" s="31">
        <f>ROUND(Table134[[#This Row],['#punten]]/Table134[[#This Row],['#minuten]],2)</f>
        <v>0.88</v>
      </c>
      <c r="V49" s="30">
        <f>ROUND(Table134[[#This Row],['#punten]]/(Table134[[#This Row],['#minuten]]/90),2)</f>
        <v>79.56</v>
      </c>
      <c r="W49" s="30">
        <f>ROUND(Table134[[#This Row],[Prijs]]/Table134[[#This Row],['#punten]],0)</f>
        <v>2782</v>
      </c>
      <c r="X49" s="34">
        <f>ROUND((Table134[[#This Row],[Goals]]+Table134[[#This Row],[Asissts]])/(Table134[[#This Row],['#minuten]]/90),2)</f>
        <v>0.76</v>
      </c>
    </row>
    <row r="50" spans="1:26" x14ac:dyDescent="0.2">
      <c r="A50" s="11" t="s">
        <v>352</v>
      </c>
      <c r="B50" s="28" t="s">
        <v>11</v>
      </c>
      <c r="C50" s="29">
        <v>3000000</v>
      </c>
      <c r="D50" s="30" t="s">
        <v>135</v>
      </c>
      <c r="E50" s="30">
        <v>28</v>
      </c>
      <c r="F50" s="30" t="s">
        <v>192</v>
      </c>
      <c r="G50" s="47">
        <v>816</v>
      </c>
      <c r="H50" s="48">
        <v>46</v>
      </c>
      <c r="I50" s="45">
        <f>ROUND(Table134[[#This Row],[laatste 5 wed.]]/Table134[[#This Row],['#punten]]*100,1)</f>
        <v>5.6</v>
      </c>
      <c r="J50" s="30">
        <v>11</v>
      </c>
      <c r="K50" s="30">
        <v>8</v>
      </c>
      <c r="L50" s="30">
        <v>714</v>
      </c>
      <c r="M50" s="30">
        <v>98</v>
      </c>
      <c r="N50" s="23">
        <f>ROUND(Table134[[#This Row],[Min laatste 5]]/Table134[[#This Row],['#minuten]]*100,1)</f>
        <v>13.7</v>
      </c>
      <c r="O50" s="30">
        <v>5</v>
      </c>
      <c r="P50" s="30">
        <v>2</v>
      </c>
      <c r="Q50" s="48">
        <v>0</v>
      </c>
      <c r="R50" s="30">
        <v>0</v>
      </c>
      <c r="S50" s="30">
        <v>7</v>
      </c>
      <c r="T50" s="49">
        <f>ROUND(Table134[[#This Row],['#punten]]/Table134[[#This Row],['#Wed]],2)</f>
        <v>74.180000000000007</v>
      </c>
      <c r="U50" s="31">
        <f>ROUND(Table134[[#This Row],['#punten]]/Table134[[#This Row],['#minuten]],2)</f>
        <v>1.1399999999999999</v>
      </c>
      <c r="V50" s="30">
        <f>ROUND(Table134[[#This Row],['#punten]]/(Table134[[#This Row],['#minuten]]/90),2)</f>
        <v>102.86</v>
      </c>
      <c r="W50" s="30">
        <f>ROUND(Table134[[#This Row],[Prijs]]/Table134[[#This Row],['#punten]],0)</f>
        <v>3676</v>
      </c>
      <c r="X50" s="34">
        <f>ROUND((Table134[[#This Row],[Goals]]+Table134[[#This Row],[Asissts]])/(Table134[[#This Row],['#minuten]]/90),2)</f>
        <v>0.88</v>
      </c>
      <c r="Y50" s="38"/>
    </row>
    <row r="51" spans="1:26" x14ac:dyDescent="0.2">
      <c r="A51" s="11" t="s">
        <v>34</v>
      </c>
      <c r="B51" s="28" t="s">
        <v>11</v>
      </c>
      <c r="C51" s="29">
        <v>3000000</v>
      </c>
      <c r="D51" s="30" t="s">
        <v>135</v>
      </c>
      <c r="E51" s="30">
        <v>24</v>
      </c>
      <c r="F51" s="30" t="s">
        <v>141</v>
      </c>
      <c r="G51" s="47">
        <v>610</v>
      </c>
      <c r="H51" s="48">
        <v>46</v>
      </c>
      <c r="I51" s="45">
        <f>ROUND(Table134[[#This Row],[laatste 5 wed.]]/Table134[[#This Row],['#punten]]*100,1)</f>
        <v>7.5</v>
      </c>
      <c r="J51" s="30">
        <v>11</v>
      </c>
      <c r="K51" s="30">
        <v>8</v>
      </c>
      <c r="L51" s="30">
        <v>588</v>
      </c>
      <c r="M51" s="30">
        <v>94</v>
      </c>
      <c r="N51" s="23">
        <f>ROUND(Table134[[#This Row],[Min laatste 5]]/Table134[[#This Row],['#minuten]]*100,1)</f>
        <v>16</v>
      </c>
      <c r="O51" s="30">
        <v>4</v>
      </c>
      <c r="P51" s="30">
        <v>1</v>
      </c>
      <c r="Q51" s="48">
        <v>0</v>
      </c>
      <c r="R51" s="30">
        <v>0</v>
      </c>
      <c r="S51" s="30">
        <v>6</v>
      </c>
      <c r="T51" s="49">
        <f>ROUND(Table134[[#This Row],['#punten]]/Table134[[#This Row],['#Wed]],2)</f>
        <v>55.45</v>
      </c>
      <c r="U51" s="31">
        <f>ROUND(Table134[[#This Row],['#punten]]/Table134[[#This Row],['#minuten]],2)</f>
        <v>1.04</v>
      </c>
      <c r="V51" s="30">
        <f>ROUND(Table134[[#This Row],['#punten]]/(Table134[[#This Row],['#minuten]]/90),2)</f>
        <v>93.37</v>
      </c>
      <c r="W51" s="30">
        <f>ROUND(Table134[[#This Row],[Prijs]]/Table134[[#This Row],['#punten]],0)</f>
        <v>4918</v>
      </c>
      <c r="X51" s="34">
        <f>ROUND((Table134[[#This Row],[Goals]]+Table134[[#This Row],[Asissts]])/(Table134[[#This Row],['#minuten]]/90),2)</f>
        <v>0.77</v>
      </c>
      <c r="Z51" t="s">
        <v>653</v>
      </c>
    </row>
    <row r="52" spans="1:26" x14ac:dyDescent="0.2">
      <c r="A52" s="11" t="s">
        <v>510</v>
      </c>
      <c r="B52" s="28" t="s">
        <v>11</v>
      </c>
      <c r="C52" s="29">
        <v>3000000</v>
      </c>
      <c r="D52" s="30" t="s">
        <v>135</v>
      </c>
      <c r="E52" s="30">
        <v>20</v>
      </c>
      <c r="F52" s="30" t="s">
        <v>175</v>
      </c>
      <c r="G52" s="47">
        <v>528</v>
      </c>
      <c r="H52" s="48">
        <v>104</v>
      </c>
      <c r="I52" s="45">
        <f>ROUND(Table134[[#This Row],[laatste 5 wed.]]/Table134[[#This Row],['#punten]]*100,1)</f>
        <v>19.7</v>
      </c>
      <c r="J52" s="30">
        <v>16</v>
      </c>
      <c r="K52" s="30">
        <v>0</v>
      </c>
      <c r="L52" s="30">
        <v>216</v>
      </c>
      <c r="M52" s="30">
        <v>67</v>
      </c>
      <c r="N52" s="23">
        <f>ROUND(Table134[[#This Row],[Min laatste 5]]/Table134[[#This Row],['#minuten]]*100,1)</f>
        <v>31</v>
      </c>
      <c r="O52" s="30">
        <v>4</v>
      </c>
      <c r="P52" s="30">
        <v>1</v>
      </c>
      <c r="Q52" s="48">
        <v>2</v>
      </c>
      <c r="R52" s="30">
        <v>0</v>
      </c>
      <c r="S52" s="30">
        <v>0</v>
      </c>
      <c r="T52" s="49">
        <f>ROUND(Table134[[#This Row],['#punten]]/Table134[[#This Row],['#Wed]],2)</f>
        <v>33</v>
      </c>
      <c r="U52" s="31">
        <f>ROUND(Table134[[#This Row],['#punten]]/Table134[[#This Row],['#minuten]],2)</f>
        <v>2.44</v>
      </c>
      <c r="V52" s="30">
        <f>ROUND(Table134[[#This Row],['#punten]]/(Table134[[#This Row],['#minuten]]/90),2)</f>
        <v>220</v>
      </c>
      <c r="W52" s="30">
        <f>ROUND(Table134[[#This Row],[Prijs]]/Table134[[#This Row],['#punten]],0)</f>
        <v>5682</v>
      </c>
      <c r="X52" s="34">
        <f>ROUND((Table134[[#This Row],[Goals]]+Table134[[#This Row],[Asissts]])/(Table134[[#This Row],['#minuten]]/90),2)</f>
        <v>2.08</v>
      </c>
      <c r="Y52" s="38"/>
      <c r="Z52" t="s">
        <v>637</v>
      </c>
    </row>
    <row r="53" spans="1:26" x14ac:dyDescent="0.2">
      <c r="A53" s="11" t="s">
        <v>371</v>
      </c>
      <c r="B53" s="28" t="s">
        <v>11</v>
      </c>
      <c r="C53" s="29">
        <v>2000000</v>
      </c>
      <c r="D53" s="30" t="s">
        <v>135</v>
      </c>
      <c r="E53" s="30">
        <v>22</v>
      </c>
      <c r="F53" s="30" t="s">
        <v>167</v>
      </c>
      <c r="G53" s="47">
        <v>510</v>
      </c>
      <c r="H53" s="48">
        <v>34</v>
      </c>
      <c r="I53" s="45">
        <f>ROUND(Table134[[#This Row],[laatste 5 wed.]]/Table134[[#This Row],['#punten]]*100,1)</f>
        <v>6.7</v>
      </c>
      <c r="J53" s="30">
        <v>17</v>
      </c>
      <c r="K53" s="30">
        <v>3</v>
      </c>
      <c r="L53" s="30">
        <v>426</v>
      </c>
      <c r="M53" s="30">
        <v>134</v>
      </c>
      <c r="N53" s="23">
        <f>ROUND(Table134[[#This Row],[Min laatste 5]]/Table134[[#This Row],['#minuten]]*100,1)</f>
        <v>31.5</v>
      </c>
      <c r="O53" s="30">
        <v>3</v>
      </c>
      <c r="P53" s="30">
        <v>1</v>
      </c>
      <c r="Q53" s="48">
        <v>0</v>
      </c>
      <c r="R53" s="30">
        <v>0</v>
      </c>
      <c r="S53" s="30">
        <v>0</v>
      </c>
      <c r="T53" s="49">
        <f>ROUND(Table134[[#This Row],['#punten]]/Table134[[#This Row],['#Wed]],2)</f>
        <v>30</v>
      </c>
      <c r="U53" s="31">
        <f>ROUND(Table134[[#This Row],['#punten]]/Table134[[#This Row],['#minuten]],2)</f>
        <v>1.2</v>
      </c>
      <c r="V53" s="30">
        <f>ROUND(Table134[[#This Row],['#punten]]/(Table134[[#This Row],['#minuten]]/90),2)</f>
        <v>107.75</v>
      </c>
      <c r="W53" s="30">
        <f>ROUND(Table134[[#This Row],[Prijs]]/Table134[[#This Row],['#punten]],0)</f>
        <v>3922</v>
      </c>
      <c r="X53" s="34">
        <f>ROUND((Table134[[#This Row],[Goals]]+Table134[[#This Row],[Asissts]])/(Table134[[#This Row],['#minuten]]/90),2)</f>
        <v>0.85</v>
      </c>
      <c r="Y53" s="38"/>
      <c r="Z53" t="s">
        <v>631</v>
      </c>
    </row>
    <row r="54" spans="1:26" x14ac:dyDescent="0.2">
      <c r="A54" s="11" t="s">
        <v>291</v>
      </c>
      <c r="B54" s="28" t="s">
        <v>40</v>
      </c>
      <c r="C54" s="29">
        <v>1750000</v>
      </c>
      <c r="D54" s="30" t="s">
        <v>135</v>
      </c>
      <c r="E54" s="30">
        <v>35</v>
      </c>
      <c r="F54" s="30" t="s">
        <v>141</v>
      </c>
      <c r="G54" s="47">
        <v>910</v>
      </c>
      <c r="H54" s="48">
        <v>320</v>
      </c>
      <c r="I54" s="45">
        <f>ROUND(Table134[[#This Row],[laatste 5 wed.]]/Table134[[#This Row],['#punten]]*100,1)</f>
        <v>35.200000000000003</v>
      </c>
      <c r="J54" s="30">
        <v>19</v>
      </c>
      <c r="K54" s="30">
        <v>19</v>
      </c>
      <c r="L54" s="30">
        <v>1633</v>
      </c>
      <c r="M54" s="30">
        <v>417</v>
      </c>
      <c r="N54" s="23">
        <f>ROUND(Table134[[#This Row],[Min laatste 5]]/Table134[[#This Row],['#minuten]]*100,1)</f>
        <v>25.5</v>
      </c>
      <c r="O54" s="30">
        <v>6</v>
      </c>
      <c r="P54" s="30">
        <v>0</v>
      </c>
      <c r="Q54" s="48">
        <v>4</v>
      </c>
      <c r="R54" s="30">
        <v>0</v>
      </c>
      <c r="S54" s="30">
        <v>2</v>
      </c>
      <c r="T54" s="49">
        <f>ROUND(Table134[[#This Row],['#punten]]/Table134[[#This Row],['#Wed]],2)</f>
        <v>47.89</v>
      </c>
      <c r="U54" s="31">
        <f>ROUND(Table134[[#This Row],['#punten]]/Table134[[#This Row],['#minuten]],2)</f>
        <v>0.56000000000000005</v>
      </c>
      <c r="V54" s="30">
        <f>ROUND(Table134[[#This Row],['#punten]]/(Table134[[#This Row],['#minuten]]/90),2)</f>
        <v>50.15</v>
      </c>
      <c r="W54" s="30">
        <f>ROUND(Table134[[#This Row],[Prijs]]/Table134[[#This Row],['#punten]],0)</f>
        <v>1923</v>
      </c>
      <c r="X54" s="34">
        <f>ROUND((Table134[[#This Row],[Goals]]+Table134[[#This Row],[Asissts]])/(Table134[[#This Row],['#minuten]]/90),2)</f>
        <v>0.33</v>
      </c>
      <c r="Z54" t="s">
        <v>644</v>
      </c>
    </row>
    <row r="55" spans="1:26" x14ac:dyDescent="0.2">
      <c r="A55" s="11" t="s">
        <v>293</v>
      </c>
      <c r="B55" s="28" t="s">
        <v>40</v>
      </c>
      <c r="C55" s="29">
        <v>1000000</v>
      </c>
      <c r="D55" s="30" t="s">
        <v>135</v>
      </c>
      <c r="E55" s="30">
        <v>22</v>
      </c>
      <c r="F55" s="30" t="s">
        <v>141</v>
      </c>
      <c r="G55" s="47">
        <v>708</v>
      </c>
      <c r="H55" s="48">
        <v>152</v>
      </c>
      <c r="I55" s="45">
        <f>ROUND(Table134[[#This Row],[laatste 5 wed.]]/Table134[[#This Row],['#punten]]*100,1)</f>
        <v>21.5</v>
      </c>
      <c r="J55" s="30">
        <v>19</v>
      </c>
      <c r="K55" s="30">
        <v>18</v>
      </c>
      <c r="L55" s="30">
        <v>1296</v>
      </c>
      <c r="M55" s="30">
        <v>391</v>
      </c>
      <c r="N55" s="23">
        <f>ROUND(Table134[[#This Row],[Min laatste 5]]/Table134[[#This Row],['#minuten]]*100,1)</f>
        <v>30.2</v>
      </c>
      <c r="O55" s="30">
        <v>1</v>
      </c>
      <c r="P55" s="30">
        <v>2</v>
      </c>
      <c r="Q55" s="48">
        <v>0</v>
      </c>
      <c r="R55" s="30">
        <v>0</v>
      </c>
      <c r="S55" s="30">
        <v>2</v>
      </c>
      <c r="T55" s="49">
        <f>ROUND(Table134[[#This Row],['#punten]]/Table134[[#This Row],['#Wed]],2)</f>
        <v>37.26</v>
      </c>
      <c r="U55" s="31">
        <f>ROUND(Table134[[#This Row],['#punten]]/Table134[[#This Row],['#minuten]],2)</f>
        <v>0.55000000000000004</v>
      </c>
      <c r="V55" s="30">
        <f>ROUND(Table134[[#This Row],['#punten]]/(Table134[[#This Row],['#minuten]]/90),2)</f>
        <v>49.17</v>
      </c>
      <c r="W55" s="30">
        <f>ROUND(Table134[[#This Row],[Prijs]]/Table134[[#This Row],['#punten]],0)</f>
        <v>1412</v>
      </c>
      <c r="X55" s="34">
        <f>ROUND((Table134[[#This Row],[Goals]]+Table134[[#This Row],[Asissts]])/(Table134[[#This Row],['#minuten]]/90),2)</f>
        <v>0.21</v>
      </c>
      <c r="Y55" s="38"/>
    </row>
    <row r="56" spans="1:26" x14ac:dyDescent="0.2">
      <c r="A56" s="11" t="s">
        <v>318</v>
      </c>
      <c r="B56" s="28" t="s">
        <v>40</v>
      </c>
      <c r="C56" s="29">
        <v>1000000</v>
      </c>
      <c r="D56" s="30" t="s">
        <v>135</v>
      </c>
      <c r="E56" s="30">
        <v>31</v>
      </c>
      <c r="F56" s="30" t="s">
        <v>141</v>
      </c>
      <c r="G56" s="47">
        <v>484</v>
      </c>
      <c r="H56" s="48">
        <v>142</v>
      </c>
      <c r="I56" s="45">
        <f>ROUND(Table134[[#This Row],[laatste 5 wed.]]/Table134[[#This Row],['#punten]]*100,1)</f>
        <v>29.3</v>
      </c>
      <c r="J56" s="30">
        <v>17</v>
      </c>
      <c r="K56" s="30">
        <v>13</v>
      </c>
      <c r="L56" s="30">
        <f>172+985</f>
        <v>1157</v>
      </c>
      <c r="M56" s="30">
        <v>171</v>
      </c>
      <c r="N56" s="23">
        <f>ROUND(Table134[[#This Row],[Min laatste 5]]/Table134[[#This Row],['#minuten]]*100,1)</f>
        <v>14.8</v>
      </c>
      <c r="O56" s="30">
        <v>1</v>
      </c>
      <c r="P56" s="30">
        <v>1</v>
      </c>
      <c r="Q56" s="48">
        <v>2</v>
      </c>
      <c r="R56" s="30">
        <v>0</v>
      </c>
      <c r="S56" s="30">
        <v>1</v>
      </c>
      <c r="T56" s="49">
        <f>ROUND(Table134[[#This Row],['#punten]]/Table134[[#This Row],['#Wed]],2)</f>
        <v>28.47</v>
      </c>
      <c r="U56" s="31">
        <f>ROUND(Table134[[#This Row],['#punten]]/Table134[[#This Row],['#minuten]],2)</f>
        <v>0.42</v>
      </c>
      <c r="V56" s="30">
        <f>ROUND(Table134[[#This Row],['#punten]]/(Table134[[#This Row],['#minuten]]/90),2)</f>
        <v>37.65</v>
      </c>
      <c r="W56" s="30">
        <f>ROUND(Table134[[#This Row],[Prijs]]/Table134[[#This Row],['#punten]],0)</f>
        <v>2066</v>
      </c>
      <c r="X56" s="34">
        <f>ROUND((Table134[[#This Row],[Goals]]+Table134[[#This Row],[Asissts]])/(Table134[[#This Row],['#minuten]]/90),2)</f>
        <v>0.16</v>
      </c>
    </row>
    <row r="57" spans="1:26" x14ac:dyDescent="0.2">
      <c r="A57" s="11" t="s">
        <v>292</v>
      </c>
      <c r="B57" s="28" t="s">
        <v>40</v>
      </c>
      <c r="C57" s="29">
        <v>750000</v>
      </c>
      <c r="D57" s="30" t="s">
        <v>135</v>
      </c>
      <c r="E57" s="30">
        <v>27</v>
      </c>
      <c r="F57" s="30" t="s">
        <v>167</v>
      </c>
      <c r="G57" s="47">
        <v>288</v>
      </c>
      <c r="H57" s="48">
        <v>28</v>
      </c>
      <c r="I57" s="45">
        <f>ROUND(Table134[[#This Row],[laatste 5 wed.]]/Table134[[#This Row],['#punten]]*100,1)</f>
        <v>9.6999999999999993</v>
      </c>
      <c r="J57" s="30">
        <v>15</v>
      </c>
      <c r="K57" s="30">
        <v>8</v>
      </c>
      <c r="L57" s="30">
        <v>688</v>
      </c>
      <c r="M57" s="30">
        <v>59</v>
      </c>
      <c r="N57" s="23">
        <f>ROUND(Table134[[#This Row],[Min laatste 5]]/Table134[[#This Row],['#minuten]]*100,1)</f>
        <v>8.6</v>
      </c>
      <c r="O57" s="30">
        <v>0</v>
      </c>
      <c r="P57" s="30">
        <v>0</v>
      </c>
      <c r="Q57" s="48">
        <v>0</v>
      </c>
      <c r="R57" s="30">
        <v>0</v>
      </c>
      <c r="S57" s="30">
        <v>2</v>
      </c>
      <c r="T57" s="49">
        <f>ROUND(Table134[[#This Row],['#punten]]/Table134[[#This Row],['#Wed]],2)</f>
        <v>19.2</v>
      </c>
      <c r="U57" s="31">
        <f>ROUND(Table134[[#This Row],['#punten]]/Table134[[#This Row],['#minuten]],2)</f>
        <v>0.42</v>
      </c>
      <c r="V57" s="30">
        <f>ROUND(Table134[[#This Row],['#punten]]/(Table134[[#This Row],['#minuten]]/90),2)</f>
        <v>37.67</v>
      </c>
      <c r="W57" s="30">
        <f>ROUND(Table134[[#This Row],[Prijs]]/Table134[[#This Row],['#punten]],0)</f>
        <v>2604</v>
      </c>
      <c r="X57" s="34">
        <f>ROUND((Table134[[#This Row],[Goals]]+Table134[[#This Row],[Asissts]])/(Table134[[#This Row],['#minuten]]/90),2)</f>
        <v>0</v>
      </c>
    </row>
    <row r="58" spans="1:26" x14ac:dyDescent="0.2">
      <c r="A58" s="11" t="s">
        <v>294</v>
      </c>
      <c r="B58" s="28" t="s">
        <v>40</v>
      </c>
      <c r="C58" s="29">
        <v>500000</v>
      </c>
      <c r="D58" s="30" t="s">
        <v>135</v>
      </c>
      <c r="E58" s="30">
        <v>24</v>
      </c>
      <c r="F58" s="30" t="s">
        <v>141</v>
      </c>
      <c r="G58" s="47">
        <v>254</v>
      </c>
      <c r="H58" s="48">
        <v>0</v>
      </c>
      <c r="I58" s="45">
        <f>ROUND(Table134[[#This Row],[laatste 5 wed.]]/Table134[[#This Row],['#punten]]*100,1)</f>
        <v>0</v>
      </c>
      <c r="J58" s="30">
        <v>14</v>
      </c>
      <c r="K58" s="30">
        <v>6</v>
      </c>
      <c r="L58" s="30">
        <v>521</v>
      </c>
      <c r="M58" s="30">
        <v>41</v>
      </c>
      <c r="N58" s="23">
        <f>ROUND(Table134[[#This Row],[Min laatste 5]]/Table134[[#This Row],['#minuten]]*100,1)</f>
        <v>7.9</v>
      </c>
      <c r="O58" s="30">
        <v>1</v>
      </c>
      <c r="P58" s="30">
        <v>0</v>
      </c>
      <c r="Q58" s="48">
        <v>1</v>
      </c>
      <c r="R58" s="30">
        <v>0</v>
      </c>
      <c r="S58" s="30">
        <v>0</v>
      </c>
      <c r="T58" s="49">
        <f>ROUND(Table134[[#This Row],['#punten]]/Table134[[#This Row],['#Wed]],2)</f>
        <v>18.14</v>
      </c>
      <c r="U58" s="31">
        <f>ROUND(Table134[[#This Row],['#punten]]/Table134[[#This Row],['#minuten]],2)</f>
        <v>0.49</v>
      </c>
      <c r="V58" s="30">
        <f>ROUND(Table134[[#This Row],['#punten]]/(Table134[[#This Row],['#minuten]]/90),2)</f>
        <v>43.88</v>
      </c>
      <c r="W58" s="30">
        <f>ROUND(Table134[[#This Row],[Prijs]]/Table134[[#This Row],['#punten]],0)</f>
        <v>1969</v>
      </c>
      <c r="X58" s="34">
        <f>ROUND((Table134[[#This Row],[Goals]]+Table134[[#This Row],[Asissts]])/(Table134[[#This Row],['#minuten]]/90),2)</f>
        <v>0.17</v>
      </c>
    </row>
    <row r="59" spans="1:26" x14ac:dyDescent="0.2">
      <c r="A59" s="11" t="s">
        <v>295</v>
      </c>
      <c r="B59" s="28" t="s">
        <v>47</v>
      </c>
      <c r="C59" s="29">
        <v>2500000</v>
      </c>
      <c r="D59" s="30" t="s">
        <v>135</v>
      </c>
      <c r="E59" s="30">
        <v>26</v>
      </c>
      <c r="F59" s="30" t="s">
        <v>179</v>
      </c>
      <c r="G59" s="47">
        <v>1076</v>
      </c>
      <c r="H59" s="48">
        <v>296</v>
      </c>
      <c r="I59" s="45">
        <f>ROUND(Table134[[#This Row],[laatste 5 wed.]]/Table134[[#This Row],['#punten]]*100,1)</f>
        <v>27.5</v>
      </c>
      <c r="J59" s="30">
        <v>18</v>
      </c>
      <c r="K59" s="30">
        <v>17</v>
      </c>
      <c r="L59" s="30">
        <v>1474</v>
      </c>
      <c r="M59" s="30">
        <v>339</v>
      </c>
      <c r="N59" s="23">
        <f>ROUND(Table134[[#This Row],[Min laatste 5]]/Table134[[#This Row],['#minuten]]*100,1)</f>
        <v>23</v>
      </c>
      <c r="O59" s="30">
        <v>5</v>
      </c>
      <c r="P59" s="30">
        <v>5</v>
      </c>
      <c r="Q59" s="48">
        <v>1</v>
      </c>
      <c r="R59" s="30">
        <v>0</v>
      </c>
      <c r="S59" s="30">
        <v>5</v>
      </c>
      <c r="T59" s="49">
        <f>ROUND(Table134[[#This Row],['#punten]]/Table134[[#This Row],['#Wed]],2)</f>
        <v>59.78</v>
      </c>
      <c r="U59" s="31">
        <f>ROUND(Table134[[#This Row],['#punten]]/Table134[[#This Row],['#minuten]],2)</f>
        <v>0.73</v>
      </c>
      <c r="V59" s="30">
        <f>ROUND(Table134[[#This Row],['#punten]]/(Table134[[#This Row],['#minuten]]/90),2)</f>
        <v>65.7</v>
      </c>
      <c r="W59" s="30">
        <f>ROUND(Table134[[#This Row],[Prijs]]/Table134[[#This Row],['#punten]],0)</f>
        <v>2323</v>
      </c>
      <c r="X59" s="34">
        <f>ROUND((Table134[[#This Row],[Goals]]+Table134[[#This Row],[Asissts]])/(Table134[[#This Row],['#minuten]]/90),2)</f>
        <v>0.61</v>
      </c>
      <c r="Y59" s="38"/>
      <c r="Z59" t="s">
        <v>657</v>
      </c>
    </row>
    <row r="60" spans="1:26" x14ac:dyDescent="0.2">
      <c r="A60" s="11" t="s">
        <v>298</v>
      </c>
      <c r="B60" s="28" t="s">
        <v>47</v>
      </c>
      <c r="C60" s="29">
        <v>1000000</v>
      </c>
      <c r="D60" s="30" t="s">
        <v>135</v>
      </c>
      <c r="E60" s="30">
        <v>25</v>
      </c>
      <c r="F60" s="30" t="s">
        <v>299</v>
      </c>
      <c r="G60" s="47">
        <v>482</v>
      </c>
      <c r="H60" s="48">
        <v>136</v>
      </c>
      <c r="I60" s="45">
        <f>ROUND(Table134[[#This Row],[laatste 5 wed.]]/Table134[[#This Row],['#punten]]*100,1)</f>
        <v>28.2</v>
      </c>
      <c r="J60" s="30">
        <v>18</v>
      </c>
      <c r="K60" s="30">
        <v>9</v>
      </c>
      <c r="L60" s="30">
        <v>922</v>
      </c>
      <c r="M60" s="30">
        <v>349</v>
      </c>
      <c r="N60" s="23">
        <f>ROUND(Table134[[#This Row],[Min laatste 5]]/Table134[[#This Row],['#minuten]]*100,1)</f>
        <v>37.9</v>
      </c>
      <c r="O60" s="30">
        <v>2</v>
      </c>
      <c r="P60" s="30">
        <v>1</v>
      </c>
      <c r="Q60" s="48">
        <v>1</v>
      </c>
      <c r="R60" s="30">
        <v>0</v>
      </c>
      <c r="S60" s="30">
        <v>2</v>
      </c>
      <c r="T60" s="49">
        <f>ROUND(Table134[[#This Row],['#punten]]/Table134[[#This Row],['#Wed]],2)</f>
        <v>26.78</v>
      </c>
      <c r="U60" s="31">
        <f>ROUND(Table134[[#This Row],['#punten]]/Table134[[#This Row],['#minuten]],2)</f>
        <v>0.52</v>
      </c>
      <c r="V60" s="30">
        <f>ROUND(Table134[[#This Row],['#punten]]/(Table134[[#This Row],['#minuten]]/90),2)</f>
        <v>47.05</v>
      </c>
      <c r="W60" s="30">
        <f>ROUND(Table134[[#This Row],[Prijs]]/Table134[[#This Row],['#punten]],0)</f>
        <v>2075</v>
      </c>
      <c r="X60" s="34">
        <f>ROUND((Table134[[#This Row],[Goals]]+Table134[[#This Row],[Asissts]])/(Table134[[#This Row],['#minuten]]/90),2)</f>
        <v>0.28999999999999998</v>
      </c>
    </row>
    <row r="61" spans="1:26" x14ac:dyDescent="0.2">
      <c r="A61" s="11" t="s">
        <v>297</v>
      </c>
      <c r="B61" s="28" t="s">
        <v>47</v>
      </c>
      <c r="C61" s="29">
        <v>1750000</v>
      </c>
      <c r="D61" s="30" t="s">
        <v>135</v>
      </c>
      <c r="E61" s="30">
        <v>22</v>
      </c>
      <c r="F61" s="30" t="s">
        <v>177</v>
      </c>
      <c r="G61" s="47">
        <v>348</v>
      </c>
      <c r="H61" s="48">
        <v>0</v>
      </c>
      <c r="I61" s="45">
        <f>ROUND(Table134[[#This Row],[laatste 5 wed.]]/Table134[[#This Row],['#punten]]*100,1)</f>
        <v>0</v>
      </c>
      <c r="J61" s="30">
        <v>6</v>
      </c>
      <c r="K61" s="30">
        <v>5</v>
      </c>
      <c r="L61" s="30">
        <v>402</v>
      </c>
      <c r="M61" s="30">
        <v>26</v>
      </c>
      <c r="N61" s="23">
        <f>ROUND(Table134[[#This Row],[Min laatste 5]]/Table134[[#This Row],['#minuten]]*100,1)</f>
        <v>6.5</v>
      </c>
      <c r="O61" s="30">
        <v>2</v>
      </c>
      <c r="P61" s="30">
        <v>1</v>
      </c>
      <c r="Q61" s="48">
        <v>0</v>
      </c>
      <c r="R61" s="30">
        <v>0</v>
      </c>
      <c r="S61" s="30">
        <v>1</v>
      </c>
      <c r="T61" s="49">
        <f>ROUND(Table134[[#This Row],['#punten]]/Table134[[#This Row],['#Wed]],2)</f>
        <v>58</v>
      </c>
      <c r="U61" s="31">
        <f>ROUND(Table134[[#This Row],['#punten]]/Table134[[#This Row],['#minuten]],2)</f>
        <v>0.87</v>
      </c>
      <c r="V61" s="30">
        <f>ROUND(Table134[[#This Row],['#punten]]/(Table134[[#This Row],['#minuten]]/90),2)</f>
        <v>77.91</v>
      </c>
      <c r="W61" s="30">
        <f>ROUND(Table134[[#This Row],[Prijs]]/Table134[[#This Row],['#punten]],0)</f>
        <v>5029</v>
      </c>
      <c r="X61" s="34">
        <f>ROUND((Table134[[#This Row],[Goals]]+Table134[[#This Row],[Asissts]])/(Table134[[#This Row],['#minuten]]/90),2)</f>
        <v>0.67</v>
      </c>
    </row>
    <row r="62" spans="1:26" x14ac:dyDescent="0.2">
      <c r="A62" s="11" t="s">
        <v>621</v>
      </c>
      <c r="B62" s="28" t="s">
        <v>47</v>
      </c>
      <c r="C62" s="29">
        <v>1000000</v>
      </c>
      <c r="D62" s="30" t="s">
        <v>135</v>
      </c>
      <c r="E62" s="30">
        <v>21</v>
      </c>
      <c r="F62" s="30" t="s">
        <v>177</v>
      </c>
      <c r="G62" s="47">
        <v>172</v>
      </c>
      <c r="H62" s="48">
        <v>172</v>
      </c>
      <c r="I62" s="45">
        <f>ROUND(Table134[[#This Row],[laatste 5 wed.]]/Table134[[#This Row],['#punten]]*100,1)</f>
        <v>100</v>
      </c>
      <c r="J62" s="30">
        <v>3</v>
      </c>
      <c r="K62" s="30">
        <v>3</v>
      </c>
      <c r="L62" s="30">
        <v>175</v>
      </c>
      <c r="M62" s="30">
        <v>175</v>
      </c>
      <c r="N62" s="23">
        <f>ROUND(Table134[[#This Row],[Min laatste 5]]/Table134[[#This Row],['#minuten]]*100,1)</f>
        <v>100</v>
      </c>
      <c r="O62" s="30">
        <v>1</v>
      </c>
      <c r="P62" s="30">
        <v>0</v>
      </c>
      <c r="Q62" s="48">
        <v>0</v>
      </c>
      <c r="R62" s="30">
        <v>0</v>
      </c>
      <c r="S62" s="30">
        <v>1</v>
      </c>
      <c r="T62" s="49">
        <f>ROUND(Table134[[#This Row],['#punten]]/Table134[[#This Row],['#Wed]],2)</f>
        <v>57.33</v>
      </c>
      <c r="U62" s="47">
        <f>ROUND(Table134[[#This Row],['#punten]]/Table134[[#This Row],['#minuten]],2)</f>
        <v>0.98</v>
      </c>
      <c r="V62" s="30">
        <f>ROUND(Table134[[#This Row],['#punten]]/(Table134[[#This Row],['#minuten]]/90),2)</f>
        <v>88.46</v>
      </c>
      <c r="W62" s="30">
        <f>ROUND(Table134[[#This Row],[Prijs]]/Table134[[#This Row],['#punten]],0)</f>
        <v>5814</v>
      </c>
      <c r="X62" s="34">
        <f>ROUND((Table134[[#This Row],[Goals]]+Table134[[#This Row],[Asissts]])/(Table134[[#This Row],['#minuten]]/90),2)</f>
        <v>0.51</v>
      </c>
      <c r="Y62" s="38"/>
    </row>
    <row r="63" spans="1:26" x14ac:dyDescent="0.2">
      <c r="A63" s="11" t="s">
        <v>316</v>
      </c>
      <c r="B63" s="28" t="s">
        <v>49</v>
      </c>
      <c r="C63" s="29">
        <v>2000000</v>
      </c>
      <c r="D63" s="30" t="s">
        <v>135</v>
      </c>
      <c r="E63" s="30">
        <v>22</v>
      </c>
      <c r="F63" s="30" t="s">
        <v>141</v>
      </c>
      <c r="G63" s="47">
        <v>1040</v>
      </c>
      <c r="H63" s="48">
        <v>220</v>
      </c>
      <c r="I63" s="45">
        <f>ROUND(Table134[[#This Row],[laatste 5 wed.]]/Table134[[#This Row],['#punten]]*100,1)</f>
        <v>21.2</v>
      </c>
      <c r="J63" s="30">
        <v>19</v>
      </c>
      <c r="K63" s="30">
        <v>19</v>
      </c>
      <c r="L63" s="30">
        <v>1449</v>
      </c>
      <c r="M63" s="30">
        <v>341</v>
      </c>
      <c r="N63" s="23">
        <f>ROUND(Table134[[#This Row],[Min laatste 5]]/Table134[[#This Row],['#minuten]]*100,1)</f>
        <v>23.5</v>
      </c>
      <c r="O63" s="30">
        <v>2</v>
      </c>
      <c r="P63" s="30">
        <v>7</v>
      </c>
      <c r="Q63" s="48">
        <v>3</v>
      </c>
      <c r="R63" s="30">
        <v>0</v>
      </c>
      <c r="S63" s="30">
        <v>5</v>
      </c>
      <c r="T63" s="49">
        <f>ROUND(Table134[[#This Row],['#punten]]/Table134[[#This Row],['#Wed]],2)</f>
        <v>54.74</v>
      </c>
      <c r="U63" s="31">
        <f>ROUND(Table134[[#This Row],['#punten]]/Table134[[#This Row],['#minuten]],2)</f>
        <v>0.72</v>
      </c>
      <c r="V63" s="30">
        <f>ROUND(Table134[[#This Row],['#punten]]/(Table134[[#This Row],['#minuten]]/90),2)</f>
        <v>64.599999999999994</v>
      </c>
      <c r="W63" s="30">
        <f>ROUND(Table134[[#This Row],[Prijs]]/Table134[[#This Row],['#punten]],0)</f>
        <v>1923</v>
      </c>
      <c r="X63" s="34">
        <f>ROUND((Table134[[#This Row],[Goals]]+Table134[[#This Row],[Asissts]])/(Table134[[#This Row],['#minuten]]/90),2)</f>
        <v>0.56000000000000005</v>
      </c>
    </row>
    <row r="64" spans="1:26" x14ac:dyDescent="0.2">
      <c r="A64" s="11" t="s">
        <v>313</v>
      </c>
      <c r="B64" s="28" t="s">
        <v>49</v>
      </c>
      <c r="C64" s="29">
        <v>1750000</v>
      </c>
      <c r="D64" s="30" t="s">
        <v>135</v>
      </c>
      <c r="E64" s="30">
        <v>34</v>
      </c>
      <c r="F64" s="30" t="s">
        <v>141</v>
      </c>
      <c r="G64" s="47">
        <v>752</v>
      </c>
      <c r="H64" s="48">
        <v>150</v>
      </c>
      <c r="I64" s="45">
        <f>ROUND(Table134[[#This Row],[laatste 5 wed.]]/Table134[[#This Row],['#punten]]*100,1)</f>
        <v>19.899999999999999</v>
      </c>
      <c r="J64" s="30">
        <v>17</v>
      </c>
      <c r="K64" s="30">
        <v>2</v>
      </c>
      <c r="L64" s="30">
        <v>573</v>
      </c>
      <c r="M64" s="30">
        <v>101</v>
      </c>
      <c r="N64" s="23">
        <f>ROUND(Table134[[#This Row],[Min laatste 5]]/Table134[[#This Row],['#minuten]]*100,1)</f>
        <v>17.600000000000001</v>
      </c>
      <c r="O64" s="30">
        <v>7</v>
      </c>
      <c r="P64" s="30">
        <v>0</v>
      </c>
      <c r="Q64" s="48">
        <v>3</v>
      </c>
      <c r="R64" s="30">
        <v>0</v>
      </c>
      <c r="S64" s="30">
        <v>1</v>
      </c>
      <c r="T64" s="49">
        <f>ROUND(Table134[[#This Row],['#punten]]/Table134[[#This Row],['#Wed]],2)</f>
        <v>44.24</v>
      </c>
      <c r="U64" s="31">
        <f>ROUND(Table134[[#This Row],['#punten]]/Table134[[#This Row],['#minuten]],2)</f>
        <v>1.31</v>
      </c>
      <c r="V64" s="30">
        <f>ROUND(Table134[[#This Row],['#punten]]/(Table134[[#This Row],['#minuten]]/90),2)</f>
        <v>118.12</v>
      </c>
      <c r="W64" s="30">
        <f>ROUND(Table134[[#This Row],[Prijs]]/Table134[[#This Row],['#punten]],0)</f>
        <v>2327</v>
      </c>
      <c r="X64" s="34">
        <f>ROUND((Table134[[#This Row],[Goals]]+Table134[[#This Row],[Asissts]])/(Table134[[#This Row],['#minuten]]/90),2)</f>
        <v>1.1000000000000001</v>
      </c>
      <c r="Z64" t="s">
        <v>637</v>
      </c>
    </row>
    <row r="65" spans="1:26" x14ac:dyDescent="0.2">
      <c r="A65" s="11" t="s">
        <v>319</v>
      </c>
      <c r="B65" s="28" t="s">
        <v>317</v>
      </c>
      <c r="C65" s="29">
        <v>1250000</v>
      </c>
      <c r="D65" s="30" t="s">
        <v>135</v>
      </c>
      <c r="E65" s="30">
        <v>22</v>
      </c>
      <c r="F65" s="30" t="s">
        <v>141</v>
      </c>
      <c r="G65" s="47">
        <v>270</v>
      </c>
      <c r="H65" s="48">
        <v>0</v>
      </c>
      <c r="I65" s="45">
        <f>ROUND(Table134[[#This Row],[laatste 5 wed.]]/Table134[[#This Row],['#punten]]*100,1)</f>
        <v>0</v>
      </c>
      <c r="J65" s="30">
        <v>13</v>
      </c>
      <c r="K65" s="30">
        <v>6</v>
      </c>
      <c r="L65" s="30">
        <v>600</v>
      </c>
      <c r="M65" s="30">
        <v>8</v>
      </c>
      <c r="N65" s="23">
        <f>ROUND(Table134[[#This Row],[Min laatste 5]]/Table134[[#This Row],['#minuten]]*100,1)</f>
        <v>1.3</v>
      </c>
      <c r="O65" s="30">
        <v>0</v>
      </c>
      <c r="P65" s="30">
        <v>1</v>
      </c>
      <c r="Q65" s="48">
        <v>2</v>
      </c>
      <c r="R65" s="30">
        <v>0</v>
      </c>
      <c r="S65" s="30">
        <v>0</v>
      </c>
      <c r="T65" s="49">
        <f>ROUND(Table134[[#This Row],['#punten]]/Table134[[#This Row],['#Wed]],2)</f>
        <v>20.77</v>
      </c>
      <c r="U65" s="31">
        <f>ROUND(Table134[[#This Row],['#punten]]/Table134[[#This Row],['#minuten]],2)</f>
        <v>0.45</v>
      </c>
      <c r="V65" s="30">
        <f>ROUND(Table134[[#This Row],['#punten]]/(Table134[[#This Row],['#minuten]]/90),2)</f>
        <v>40.5</v>
      </c>
      <c r="W65" s="30">
        <f>ROUND(Table134[[#This Row],[Prijs]]/Table134[[#This Row],['#punten]],0)</f>
        <v>4630</v>
      </c>
      <c r="X65" s="34">
        <f>ROUND((Table134[[#This Row],[Goals]]+Table134[[#This Row],[Asissts]])/(Table134[[#This Row],['#minuten]]/90),2)</f>
        <v>0.15</v>
      </c>
      <c r="Z65" t="s">
        <v>656</v>
      </c>
    </row>
    <row r="66" spans="1:26" x14ac:dyDescent="0.2">
      <c r="A66" s="11" t="s">
        <v>580</v>
      </c>
      <c r="B66" s="28" t="s">
        <v>317</v>
      </c>
      <c r="C66" s="29">
        <v>2500000</v>
      </c>
      <c r="D66" s="30" t="s">
        <v>135</v>
      </c>
      <c r="E66" s="30">
        <v>26</v>
      </c>
      <c r="F66" s="30" t="s">
        <v>141</v>
      </c>
      <c r="G66" s="47">
        <v>134</v>
      </c>
      <c r="H66" s="48">
        <v>134</v>
      </c>
      <c r="I66" s="45">
        <f>ROUND(Table134[[#This Row],[laatste 5 wed.]]/Table134[[#This Row],['#punten]]*100,1)</f>
        <v>100</v>
      </c>
      <c r="J66" s="30">
        <v>3</v>
      </c>
      <c r="K66" s="30">
        <v>3</v>
      </c>
      <c r="L66" s="30">
        <v>263</v>
      </c>
      <c r="M66" s="30">
        <v>263</v>
      </c>
      <c r="N66" s="23">
        <f>ROUND(Table134[[#This Row],[Min laatste 5]]/Table134[[#This Row],['#minuten]]*100,1)</f>
        <v>100</v>
      </c>
      <c r="O66" s="30">
        <v>0</v>
      </c>
      <c r="P66" s="30">
        <v>1</v>
      </c>
      <c r="Q66" s="48">
        <v>0</v>
      </c>
      <c r="R66" s="30">
        <v>0</v>
      </c>
      <c r="S66" s="30">
        <v>1</v>
      </c>
      <c r="T66" s="49">
        <f>ROUND(Table134[[#This Row],['#punten]]/Table134[[#This Row],['#Wed]],2)</f>
        <v>44.67</v>
      </c>
      <c r="U66" s="47">
        <f>ROUND(Table134[[#This Row],['#punten]]/Table134[[#This Row],['#minuten]],2)</f>
        <v>0.51</v>
      </c>
      <c r="V66" s="30">
        <f>ROUND(Table134[[#This Row],['#punten]]/(Table134[[#This Row],['#minuten]]/90),2)</f>
        <v>45.86</v>
      </c>
      <c r="W66" s="30">
        <f>ROUND(Table134[[#This Row],[Prijs]]/Table134[[#This Row],['#punten]],0)</f>
        <v>18657</v>
      </c>
      <c r="X66" s="34">
        <f>ROUND((Table134[[#This Row],[Goals]]+Table134[[#This Row],[Asissts]])/(Table134[[#This Row],['#minuten]]/90),2)</f>
        <v>0.34</v>
      </c>
      <c r="Y66" s="38"/>
    </row>
    <row r="67" spans="1:26" x14ac:dyDescent="0.2">
      <c r="A67" s="11" t="s">
        <v>338</v>
      </c>
      <c r="B67" s="28" t="s">
        <v>50</v>
      </c>
      <c r="C67" s="29">
        <v>1500000</v>
      </c>
      <c r="D67" s="30" t="s">
        <v>135</v>
      </c>
      <c r="E67" s="30">
        <v>21</v>
      </c>
      <c r="F67" s="30" t="s">
        <v>141</v>
      </c>
      <c r="G67" s="47">
        <v>756</v>
      </c>
      <c r="H67" s="48">
        <v>164</v>
      </c>
      <c r="I67" s="45">
        <f>ROUND(Table134[[#This Row],[laatste 5 wed.]]/Table134[[#This Row],['#punten]]*100,1)</f>
        <v>21.7</v>
      </c>
      <c r="J67" s="30">
        <v>18</v>
      </c>
      <c r="K67" s="30">
        <v>17</v>
      </c>
      <c r="L67" s="30">
        <v>1464</v>
      </c>
      <c r="M67" s="30">
        <v>436</v>
      </c>
      <c r="N67" s="23">
        <f>ROUND(Table134[[#This Row],[Min laatste 5]]/Table134[[#This Row],['#minuten]]*100,1)</f>
        <v>29.8</v>
      </c>
      <c r="O67" s="30">
        <v>4</v>
      </c>
      <c r="P67" s="30">
        <v>0</v>
      </c>
      <c r="Q67" s="48">
        <v>0</v>
      </c>
      <c r="R67" s="30">
        <v>1</v>
      </c>
      <c r="S67" s="30">
        <v>3</v>
      </c>
      <c r="T67" s="49">
        <f>ROUND(Table134[[#This Row],['#punten]]/Table134[[#This Row],['#Wed]],2)</f>
        <v>42</v>
      </c>
      <c r="U67" s="31">
        <f>ROUND(Table134[[#This Row],['#punten]]/Table134[[#This Row],['#minuten]],2)</f>
        <v>0.52</v>
      </c>
      <c r="V67" s="30">
        <f>ROUND(Table134[[#This Row],['#punten]]/(Table134[[#This Row],['#minuten]]/90),2)</f>
        <v>46.48</v>
      </c>
      <c r="W67" s="30">
        <f>ROUND(Table134[[#This Row],[Prijs]]/Table134[[#This Row],['#punten]],0)</f>
        <v>1984</v>
      </c>
      <c r="X67" s="34">
        <f>ROUND((Table134[[#This Row],[Goals]]+Table134[[#This Row],[Asissts]])/(Table134[[#This Row],['#minuten]]/90),2)</f>
        <v>0.25</v>
      </c>
      <c r="Y67" s="38"/>
    </row>
    <row r="68" spans="1:26" x14ac:dyDescent="0.2">
      <c r="A68" s="11" t="s">
        <v>339</v>
      </c>
      <c r="B68" s="28" t="s">
        <v>50</v>
      </c>
      <c r="C68" s="29">
        <v>1000000</v>
      </c>
      <c r="D68" s="30" t="s">
        <v>135</v>
      </c>
      <c r="E68" s="30">
        <v>23</v>
      </c>
      <c r="F68" s="30" t="s">
        <v>160</v>
      </c>
      <c r="G68" s="47">
        <v>476</v>
      </c>
      <c r="H68" s="48">
        <v>282</v>
      </c>
      <c r="I68" s="45">
        <f>ROUND(Table134[[#This Row],[laatste 5 wed.]]/Table134[[#This Row],['#punten]]*100,1)</f>
        <v>59.2</v>
      </c>
      <c r="J68" s="30">
        <v>15</v>
      </c>
      <c r="K68" s="30">
        <v>10</v>
      </c>
      <c r="L68" s="30">
        <v>952</v>
      </c>
      <c r="M68" s="30">
        <v>322</v>
      </c>
      <c r="N68" s="23">
        <f>ROUND(Table134[[#This Row],[Min laatste 5]]/Table134[[#This Row],['#minuten]]*100,1)</f>
        <v>33.799999999999997</v>
      </c>
      <c r="O68" s="30">
        <v>2</v>
      </c>
      <c r="P68" s="30">
        <v>0</v>
      </c>
      <c r="Q68" s="48">
        <v>2</v>
      </c>
      <c r="R68" s="30">
        <v>0</v>
      </c>
      <c r="S68" s="30">
        <v>1</v>
      </c>
      <c r="T68" s="49">
        <f>ROUND(Table134[[#This Row],['#punten]]/Table134[[#This Row],['#Wed]],2)</f>
        <v>31.73</v>
      </c>
      <c r="U68" s="47">
        <f>ROUND(Table134[[#This Row],['#punten]]/Table134[[#This Row],['#minuten]],2)</f>
        <v>0.5</v>
      </c>
      <c r="V68" s="30">
        <f>ROUND(Table134[[#This Row],['#punten]]/(Table134[[#This Row],['#minuten]]/90),2)</f>
        <v>45</v>
      </c>
      <c r="W68" s="30">
        <f>ROUND(Table134[[#This Row],[Prijs]]/Table134[[#This Row],['#punten]],0)</f>
        <v>2101</v>
      </c>
      <c r="X68" s="34">
        <f>ROUND((Table134[[#This Row],[Goals]]+Table134[[#This Row],[Asissts]])/(Table134[[#This Row],['#minuten]]/90),2)</f>
        <v>0.19</v>
      </c>
      <c r="Y68" s="38"/>
    </row>
    <row r="69" spans="1:26" x14ac:dyDescent="0.2">
      <c r="A69" s="11" t="s">
        <v>525</v>
      </c>
      <c r="B69" s="28" t="s">
        <v>50</v>
      </c>
      <c r="C69" s="29">
        <v>750000</v>
      </c>
      <c r="D69" s="30" t="s">
        <v>135</v>
      </c>
      <c r="E69" s="30">
        <v>20</v>
      </c>
      <c r="F69" s="30" t="s">
        <v>141</v>
      </c>
      <c r="G69" s="47">
        <v>222</v>
      </c>
      <c r="H69" s="48">
        <v>138</v>
      </c>
      <c r="I69" s="45">
        <f>ROUND(Table134[[#This Row],[laatste 5 wed.]]/Table134[[#This Row],['#punten]]*100,1)</f>
        <v>62.2</v>
      </c>
      <c r="J69" s="30">
        <v>15</v>
      </c>
      <c r="K69" s="30">
        <v>5</v>
      </c>
      <c r="L69" s="30">
        <v>539</v>
      </c>
      <c r="M69" s="30">
        <v>169</v>
      </c>
      <c r="N69" s="23">
        <f>ROUND(Table134[[#This Row],[Min laatste 5]]/Table134[[#This Row],['#minuten]]*100,1)</f>
        <v>31.4</v>
      </c>
      <c r="O69" s="30">
        <v>1</v>
      </c>
      <c r="P69" s="30">
        <v>0</v>
      </c>
      <c r="Q69" s="48">
        <v>1</v>
      </c>
      <c r="R69" s="30">
        <v>0</v>
      </c>
      <c r="S69" s="30">
        <v>2</v>
      </c>
      <c r="T69" s="49">
        <f>ROUND(Table134[[#This Row],['#punten]]/Table134[[#This Row],['#Wed]],2)</f>
        <v>14.8</v>
      </c>
      <c r="U69" s="31">
        <f>ROUND(Table134[[#This Row],['#punten]]/Table134[[#This Row],['#minuten]],2)</f>
        <v>0.41</v>
      </c>
      <c r="V69" s="30">
        <f>ROUND(Table134[[#This Row],['#punten]]/(Table134[[#This Row],['#minuten]]/90),2)</f>
        <v>37.07</v>
      </c>
      <c r="W69" s="30">
        <f>ROUND(Table134[[#This Row],[Prijs]]/Table134[[#This Row],['#punten]],0)</f>
        <v>3378</v>
      </c>
      <c r="X69" s="34">
        <f>ROUND((Table134[[#This Row],[Goals]]+Table134[[#This Row],[Asissts]])/(Table134[[#This Row],['#minuten]]/90),2)</f>
        <v>0.17</v>
      </c>
    </row>
    <row r="70" spans="1:26" x14ac:dyDescent="0.2">
      <c r="A70" s="11" t="s">
        <v>625</v>
      </c>
      <c r="B70" s="28" t="s">
        <v>50</v>
      </c>
      <c r="C70" s="29">
        <v>750000</v>
      </c>
      <c r="D70" s="30" t="s">
        <v>135</v>
      </c>
      <c r="E70" s="30">
        <v>20</v>
      </c>
      <c r="F70" s="30" t="s">
        <v>141</v>
      </c>
      <c r="G70" s="47">
        <v>0</v>
      </c>
      <c r="H70" s="48">
        <v>0</v>
      </c>
      <c r="I70" s="45">
        <v>0</v>
      </c>
      <c r="J70" s="30">
        <v>0</v>
      </c>
      <c r="K70" s="30">
        <v>0</v>
      </c>
      <c r="L70" s="30">
        <v>0</v>
      </c>
      <c r="M70" s="30">
        <v>0</v>
      </c>
      <c r="N70" s="23">
        <v>0</v>
      </c>
      <c r="O70" s="30">
        <v>0</v>
      </c>
      <c r="P70" s="30">
        <v>0</v>
      </c>
      <c r="Q70" s="48">
        <v>0</v>
      </c>
      <c r="R70" s="30">
        <v>0</v>
      </c>
      <c r="S70" s="30">
        <v>0</v>
      </c>
      <c r="T70" s="49">
        <v>0</v>
      </c>
      <c r="U70" s="47">
        <v>0</v>
      </c>
      <c r="V70" s="30">
        <v>0</v>
      </c>
      <c r="W70" s="30">
        <v>0</v>
      </c>
      <c r="X70" s="34">
        <v>0</v>
      </c>
      <c r="Y70" s="38"/>
    </row>
    <row r="71" spans="1:26" x14ac:dyDescent="0.2">
      <c r="A71" s="11" t="s">
        <v>134</v>
      </c>
      <c r="B71" s="28" t="s">
        <v>51</v>
      </c>
      <c r="C71" s="29">
        <v>750000</v>
      </c>
      <c r="D71" s="30" t="s">
        <v>135</v>
      </c>
      <c r="E71" s="30">
        <v>26</v>
      </c>
      <c r="F71" s="30" t="s">
        <v>141</v>
      </c>
      <c r="G71" s="47">
        <v>724</v>
      </c>
      <c r="H71" s="48">
        <v>260</v>
      </c>
      <c r="I71" s="45">
        <f>ROUND(Table134[[#This Row],[laatste 5 wed.]]/Table134[[#This Row],['#punten]]*100,1)</f>
        <v>35.9</v>
      </c>
      <c r="J71" s="30">
        <v>19</v>
      </c>
      <c r="K71" s="30">
        <v>19</v>
      </c>
      <c r="L71" s="30">
        <v>1591</v>
      </c>
      <c r="M71" s="30">
        <v>382</v>
      </c>
      <c r="N71" s="23">
        <f>ROUND(Table134[[#This Row],[Min laatste 5]]/Table134[[#This Row],['#minuten]]*100,1)</f>
        <v>24</v>
      </c>
      <c r="O71" s="30">
        <v>1</v>
      </c>
      <c r="P71" s="30">
        <v>4</v>
      </c>
      <c r="Q71" s="48">
        <v>3</v>
      </c>
      <c r="R71" s="30">
        <v>0</v>
      </c>
      <c r="S71" s="30">
        <v>1</v>
      </c>
      <c r="T71" s="49">
        <f>ROUND(Table134[[#This Row],['#punten]]/Table134[[#This Row],['#Wed]],2)</f>
        <v>38.11</v>
      </c>
      <c r="U71" s="31">
        <f>ROUND(Table134[[#This Row],['#punten]]/Table134[[#This Row],['#minuten]],2)</f>
        <v>0.46</v>
      </c>
      <c r="V71" s="30">
        <f>ROUND(Table134[[#This Row],['#punten]]/(Table134[[#This Row],['#minuten]]/90),2)</f>
        <v>40.96</v>
      </c>
      <c r="W71" s="30">
        <f>ROUND(Table134[[#This Row],[Prijs]]/Table134[[#This Row],['#punten]],0)</f>
        <v>1036</v>
      </c>
      <c r="X71" s="34">
        <f>ROUND((Table134[[#This Row],[Goals]]+Table134[[#This Row],[Asissts]])/(Table134[[#This Row],['#minuten]]/90),2)</f>
        <v>0.28000000000000003</v>
      </c>
    </row>
    <row r="72" spans="1:26" x14ac:dyDescent="0.2">
      <c r="A72" s="11" t="s">
        <v>341</v>
      </c>
      <c r="B72" s="28" t="s">
        <v>51</v>
      </c>
      <c r="C72" s="29">
        <v>1000000</v>
      </c>
      <c r="D72" s="30" t="s">
        <v>135</v>
      </c>
      <c r="E72" s="30">
        <v>34</v>
      </c>
      <c r="F72" s="30" t="s">
        <v>51</v>
      </c>
      <c r="G72" s="47">
        <v>684</v>
      </c>
      <c r="H72" s="48">
        <v>28</v>
      </c>
      <c r="I72" s="45">
        <f>ROUND(Table134[[#This Row],[laatste 5 wed.]]/Table134[[#This Row],['#punten]]*100,1)</f>
        <v>4.0999999999999996</v>
      </c>
      <c r="J72" s="30">
        <v>14</v>
      </c>
      <c r="K72" s="30">
        <v>13</v>
      </c>
      <c r="L72" s="30">
        <v>1027</v>
      </c>
      <c r="M72" s="30">
        <v>70</v>
      </c>
      <c r="N72" s="23">
        <f>ROUND(Table134[[#This Row],[Min laatste 5]]/Table134[[#This Row],['#minuten]]*100,1)</f>
        <v>6.8</v>
      </c>
      <c r="O72" s="30">
        <v>5</v>
      </c>
      <c r="P72" s="30">
        <v>0</v>
      </c>
      <c r="Q72" s="48">
        <v>0</v>
      </c>
      <c r="R72" s="30">
        <v>1</v>
      </c>
      <c r="S72" s="30">
        <v>1</v>
      </c>
      <c r="T72" s="49">
        <f>ROUND(Table134[[#This Row],['#punten]]/Table134[[#This Row],['#Wed]],2)</f>
        <v>48.86</v>
      </c>
      <c r="U72" s="31">
        <f>ROUND(Table134[[#This Row],['#punten]]/Table134[[#This Row],['#minuten]],2)</f>
        <v>0.67</v>
      </c>
      <c r="V72" s="30">
        <f>ROUND(Table134[[#This Row],['#punten]]/(Table134[[#This Row],['#minuten]]/90),2)</f>
        <v>59.94</v>
      </c>
      <c r="W72" s="30">
        <f>ROUND(Table134[[#This Row],[Prijs]]/Table134[[#This Row],['#punten]],0)</f>
        <v>1462</v>
      </c>
      <c r="X72" s="34">
        <f>ROUND((Table134[[#This Row],[Goals]]+Table134[[#This Row],[Asissts]])/(Table134[[#This Row],['#minuten]]/90),2)</f>
        <v>0.44</v>
      </c>
    </row>
    <row r="73" spans="1:26" x14ac:dyDescent="0.2">
      <c r="A73" s="2" t="s">
        <v>500</v>
      </c>
      <c r="B73" s="28" t="s">
        <v>43</v>
      </c>
      <c r="C73" s="29">
        <v>3000000</v>
      </c>
      <c r="D73" s="30" t="s">
        <v>149</v>
      </c>
      <c r="E73" s="30">
        <v>22</v>
      </c>
      <c r="F73" s="30" t="s">
        <v>200</v>
      </c>
      <c r="G73" s="47">
        <v>536</v>
      </c>
      <c r="H73" s="48">
        <v>186</v>
      </c>
      <c r="I73" s="45">
        <f>ROUND(Table134[[#This Row],[laatste 5 wed.]]/Table134[[#This Row],['#punten]]*100,1)</f>
        <v>34.700000000000003</v>
      </c>
      <c r="J73" s="30">
        <v>13</v>
      </c>
      <c r="K73" s="30">
        <v>11</v>
      </c>
      <c r="L73" s="30">
        <v>1012</v>
      </c>
      <c r="M73" s="30">
        <v>450</v>
      </c>
      <c r="N73" s="23">
        <f>ROUND(Table134[[#This Row],[Min laatste 5]]/Table134[[#This Row],['#minuten]]*100,1)</f>
        <v>44.5</v>
      </c>
      <c r="O73" s="30">
        <v>0</v>
      </c>
      <c r="P73" s="30">
        <v>0</v>
      </c>
      <c r="Q73" s="48">
        <v>0</v>
      </c>
      <c r="R73" s="30">
        <v>0</v>
      </c>
      <c r="S73" s="30">
        <v>2</v>
      </c>
      <c r="T73" s="49">
        <f>ROUND(Table134[[#This Row],['#punten]]/Table134[[#This Row],['#Wed]],2)</f>
        <v>41.23</v>
      </c>
      <c r="U73" s="31">
        <f>ROUND(Table134[[#This Row],['#punten]]/Table134[[#This Row],['#minuten]],2)</f>
        <v>0.53</v>
      </c>
      <c r="V73" s="30">
        <f>ROUND(Table134[[#This Row],['#punten]]/(Table134[[#This Row],['#minuten]]/90),2)</f>
        <v>47.67</v>
      </c>
      <c r="W73" s="30">
        <f>ROUND(Table134[[#This Row],[Prijs]]/Table134[[#This Row],['#punten]],0)</f>
        <v>5597</v>
      </c>
      <c r="X73" s="34">
        <f>ROUND((Table134[[#This Row],[Goals]]+Table134[[#This Row],[Asissts]])/(Table134[[#This Row],['#minuten]]/90),2)</f>
        <v>0</v>
      </c>
      <c r="Y73" s="38"/>
    </row>
    <row r="74" spans="1:26" x14ac:dyDescent="0.2">
      <c r="A74" s="2" t="s">
        <v>161</v>
      </c>
      <c r="B74" s="28" t="s">
        <v>159</v>
      </c>
      <c r="C74" s="29">
        <v>1000000</v>
      </c>
      <c r="D74" s="30" t="s">
        <v>149</v>
      </c>
      <c r="E74" s="30">
        <v>26</v>
      </c>
      <c r="F74" s="30" t="s">
        <v>141</v>
      </c>
      <c r="G74" s="47">
        <v>868</v>
      </c>
      <c r="H74" s="48">
        <v>342</v>
      </c>
      <c r="I74" s="45">
        <f>ROUND(Table134[[#This Row],[laatste 5 wed.]]/Table134[[#This Row],['#punten]]*100,1)</f>
        <v>39.4</v>
      </c>
      <c r="J74" s="30">
        <v>19</v>
      </c>
      <c r="K74" s="30">
        <v>19</v>
      </c>
      <c r="L74" s="30">
        <v>1710</v>
      </c>
      <c r="M74" s="30">
        <v>450</v>
      </c>
      <c r="N74" s="23">
        <f>ROUND(Table134[[#This Row],[Min laatste 5]]/Table134[[#This Row],['#minuten]]*100,1)</f>
        <v>26.3</v>
      </c>
      <c r="O74" s="30">
        <v>0</v>
      </c>
      <c r="P74" s="30">
        <v>0</v>
      </c>
      <c r="Q74" s="48">
        <v>0</v>
      </c>
      <c r="R74" s="30">
        <v>0</v>
      </c>
      <c r="S74" s="30">
        <v>7</v>
      </c>
      <c r="T74" s="49">
        <f>ROUND(Table134[[#This Row],['#punten]]/Table134[[#This Row],['#Wed]],2)</f>
        <v>45.68</v>
      </c>
      <c r="U74" s="31">
        <f>ROUND(Table134[[#This Row],['#punten]]/Table134[[#This Row],['#minuten]],2)</f>
        <v>0.51</v>
      </c>
      <c r="V74" s="30">
        <f>ROUND(Table134[[#This Row],['#punten]]/(Table134[[#This Row],['#minuten]]/90),2)</f>
        <v>45.68</v>
      </c>
      <c r="W74" s="30">
        <f>ROUND(Table134[[#This Row],[Prijs]]/Table134[[#This Row],['#punten]],0)</f>
        <v>1152</v>
      </c>
      <c r="X74" s="34">
        <f>ROUND((Table134[[#This Row],[Goals]]+Table134[[#This Row],[Asissts]])/(Table134[[#This Row],['#minuten]]/90),2)</f>
        <v>0</v>
      </c>
    </row>
    <row r="75" spans="1:26" x14ac:dyDescent="0.2">
      <c r="A75" s="2" t="s">
        <v>181</v>
      </c>
      <c r="B75" s="21" t="s">
        <v>6</v>
      </c>
      <c r="C75" s="22">
        <v>3000000</v>
      </c>
      <c r="D75" s="23" t="s">
        <v>149</v>
      </c>
      <c r="E75" s="23">
        <v>31</v>
      </c>
      <c r="F75" s="23" t="s">
        <v>182</v>
      </c>
      <c r="G75" s="44">
        <v>1098</v>
      </c>
      <c r="H75" s="45">
        <v>54</v>
      </c>
      <c r="I75" s="45">
        <f>ROUND(Table134[[#This Row],[laatste 5 wed.]]/Table134[[#This Row],['#punten]]*100,1)</f>
        <v>4.9000000000000004</v>
      </c>
      <c r="J75" s="23">
        <v>15</v>
      </c>
      <c r="K75" s="23">
        <v>15</v>
      </c>
      <c r="L75" s="23">
        <v>1350</v>
      </c>
      <c r="M75" s="23">
        <v>90</v>
      </c>
      <c r="N75" s="23">
        <f>ROUND(Table134[[#This Row],[Min laatste 5]]/Table134[[#This Row],['#minuten]]*100,1)</f>
        <v>6.7</v>
      </c>
      <c r="O75" s="23">
        <v>0</v>
      </c>
      <c r="P75" s="23">
        <v>0</v>
      </c>
      <c r="Q75" s="45">
        <v>0</v>
      </c>
      <c r="R75" s="23">
        <v>0</v>
      </c>
      <c r="S75" s="23">
        <v>6</v>
      </c>
      <c r="T75" s="46">
        <f>ROUND(Table134[[#This Row],['#punten]]/Table134[[#This Row],['#Wed]],2)</f>
        <v>73.2</v>
      </c>
      <c r="U75" s="24">
        <f>ROUND(Table134[[#This Row],['#punten]]/Table134[[#This Row],['#minuten]],2)</f>
        <v>0.81</v>
      </c>
      <c r="V75" s="23">
        <f>ROUND(Table134[[#This Row],['#punten]]/(Table134[[#This Row],['#minuten]]/90),2)</f>
        <v>73.2</v>
      </c>
      <c r="W75" s="23">
        <f>ROUND(Table134[[#This Row],[Prijs]]/Table134[[#This Row],['#punten]],0)</f>
        <v>2732</v>
      </c>
      <c r="X75" s="27">
        <f>ROUND((Table134[[#This Row],[Goals]]+Table134[[#This Row],[Asissts]])/(Table134[[#This Row],['#minuten]]/90),2)</f>
        <v>0</v>
      </c>
      <c r="Y75" s="38"/>
      <c r="Z75" t="s">
        <v>658</v>
      </c>
    </row>
    <row r="76" spans="1:26" x14ac:dyDescent="0.2">
      <c r="A76" s="2" t="s">
        <v>531</v>
      </c>
      <c r="B76" s="28" t="s">
        <v>6</v>
      </c>
      <c r="C76" s="29">
        <v>2500000</v>
      </c>
      <c r="D76" s="30" t="s">
        <v>149</v>
      </c>
      <c r="E76" s="30">
        <v>19</v>
      </c>
      <c r="F76" s="30" t="s">
        <v>141</v>
      </c>
      <c r="G76" s="47">
        <v>48</v>
      </c>
      <c r="H76" s="48">
        <v>48</v>
      </c>
      <c r="I76" s="45">
        <f>ROUND(Table134[[#This Row],[laatste 5 wed.]]/Table134[[#This Row],['#punten]]*100,1)</f>
        <v>100</v>
      </c>
      <c r="J76" s="30">
        <v>3</v>
      </c>
      <c r="K76" s="30">
        <v>3</v>
      </c>
      <c r="L76" s="30">
        <v>270</v>
      </c>
      <c r="M76" s="30">
        <v>270</v>
      </c>
      <c r="N76" s="23">
        <f>ROUND(Table134[[#This Row],[Min laatste 5]]/Table134[[#This Row],['#minuten]]*100,1)</f>
        <v>100</v>
      </c>
      <c r="O76" s="30">
        <v>0</v>
      </c>
      <c r="P76" s="30">
        <v>0</v>
      </c>
      <c r="Q76" s="48">
        <v>0</v>
      </c>
      <c r="R76" s="30">
        <v>0</v>
      </c>
      <c r="S76" s="30">
        <v>0</v>
      </c>
      <c r="T76" s="49">
        <f>ROUND(Table134[[#This Row],['#punten]]/Table134[[#This Row],['#Wed]],2)</f>
        <v>16</v>
      </c>
      <c r="U76" s="31">
        <f>ROUND(Table134[[#This Row],['#punten]]/Table134[[#This Row],['#minuten]],2)</f>
        <v>0.18</v>
      </c>
      <c r="V76" s="30">
        <f>ROUND(Table134[[#This Row],['#punten]]/(Table134[[#This Row],['#minuten]]/90),2)</f>
        <v>16</v>
      </c>
      <c r="W76" s="30">
        <f>ROUND(Table134[[#This Row],[Prijs]]/Table134[[#This Row],['#punten]],0)</f>
        <v>52083</v>
      </c>
      <c r="X76" s="34">
        <f>ROUND((Table134[[#This Row],[Goals]]+Table134[[#This Row],[Asissts]])/(Table134[[#This Row],['#minuten]]/90),2)</f>
        <v>0</v>
      </c>
      <c r="Y76" s="38"/>
    </row>
    <row r="77" spans="1:26" x14ac:dyDescent="0.2">
      <c r="A77" s="2" t="s">
        <v>183</v>
      </c>
      <c r="B77" s="21" t="s">
        <v>44</v>
      </c>
      <c r="C77" s="22">
        <v>1500000</v>
      </c>
      <c r="D77" s="23" t="s">
        <v>149</v>
      </c>
      <c r="E77" s="23">
        <v>27</v>
      </c>
      <c r="F77" s="23" t="s">
        <v>141</v>
      </c>
      <c r="G77" s="44">
        <v>730</v>
      </c>
      <c r="H77" s="45">
        <v>202</v>
      </c>
      <c r="I77" s="45">
        <f>ROUND(Table134[[#This Row],[laatste 5 wed.]]/Table134[[#This Row],['#punten]]*100,1)</f>
        <v>27.7</v>
      </c>
      <c r="J77" s="23">
        <v>19</v>
      </c>
      <c r="K77" s="23">
        <v>19</v>
      </c>
      <c r="L77" s="23">
        <v>1710</v>
      </c>
      <c r="M77" s="23">
        <v>450</v>
      </c>
      <c r="N77" s="23">
        <f>ROUND(Table134[[#This Row],[Min laatste 5]]/Table134[[#This Row],['#minuten]]*100,1)</f>
        <v>26.3</v>
      </c>
      <c r="O77" s="23">
        <v>0</v>
      </c>
      <c r="P77" s="23">
        <v>0</v>
      </c>
      <c r="Q77" s="45">
        <v>0</v>
      </c>
      <c r="R77" s="23">
        <v>0</v>
      </c>
      <c r="S77" s="23">
        <v>4</v>
      </c>
      <c r="T77" s="46">
        <f>ROUND(Table134[[#This Row],['#punten]]/Table134[[#This Row],['#Wed]],2)</f>
        <v>38.42</v>
      </c>
      <c r="U77" s="24">
        <f>ROUND(Table134[[#This Row],['#punten]]/Table134[[#This Row],['#minuten]],2)</f>
        <v>0.43</v>
      </c>
      <c r="V77" s="23">
        <f>ROUND(Table134[[#This Row],['#punten]]/(Table134[[#This Row],['#minuten]]/90),2)</f>
        <v>38.42</v>
      </c>
      <c r="W77" s="23">
        <f>ROUND(Table134[[#This Row],[Prijs]]/Table134[[#This Row],['#punten]],0)</f>
        <v>2055</v>
      </c>
      <c r="X77" s="27">
        <f>ROUND((Table134[[#This Row],[Goals]]+Table134[[#This Row],[Asissts]])/(Table134[[#This Row],['#minuten]]/90),2)</f>
        <v>0</v>
      </c>
    </row>
    <row r="78" spans="1:26" x14ac:dyDescent="0.2">
      <c r="A78" s="2" t="s">
        <v>18</v>
      </c>
      <c r="B78" s="28" t="s">
        <v>45</v>
      </c>
      <c r="C78" s="29">
        <v>3500000</v>
      </c>
      <c r="D78" s="30" t="s">
        <v>149</v>
      </c>
      <c r="E78" s="30">
        <v>25</v>
      </c>
      <c r="F78" s="30" t="s">
        <v>141</v>
      </c>
      <c r="G78" s="47">
        <v>776</v>
      </c>
      <c r="H78" s="48">
        <v>326</v>
      </c>
      <c r="I78" s="45">
        <f>ROUND(Table134[[#This Row],[laatste 5 wed.]]/Table134[[#This Row],['#punten]]*100,1)</f>
        <v>42</v>
      </c>
      <c r="J78" s="30">
        <v>12</v>
      </c>
      <c r="K78" s="30">
        <v>12</v>
      </c>
      <c r="L78" s="30">
        <v>1080</v>
      </c>
      <c r="M78" s="30">
        <v>450</v>
      </c>
      <c r="N78" s="23">
        <f>ROUND(Table134[[#This Row],[Min laatste 5]]/Table134[[#This Row],['#minuten]]*100,1)</f>
        <v>41.7</v>
      </c>
      <c r="O78" s="30">
        <v>0</v>
      </c>
      <c r="P78" s="30">
        <v>0</v>
      </c>
      <c r="Q78" s="48">
        <v>1</v>
      </c>
      <c r="R78" s="30">
        <v>0</v>
      </c>
      <c r="S78" s="30">
        <v>5</v>
      </c>
      <c r="T78" s="49">
        <f>ROUND(Table134[[#This Row],['#punten]]/Table134[[#This Row],['#Wed]],2)</f>
        <v>64.67</v>
      </c>
      <c r="U78" s="31">
        <f>ROUND(Table134[[#This Row],['#punten]]/Table134[[#This Row],['#minuten]],2)</f>
        <v>0.72</v>
      </c>
      <c r="V78" s="30">
        <f>ROUND(Table134[[#This Row],['#punten]]/(Table134[[#This Row],['#minuten]]/90),2)</f>
        <v>64.67</v>
      </c>
      <c r="W78" s="30">
        <f>ROUND(Table134[[#This Row],[Prijs]]/Table134[[#This Row],['#punten]],0)</f>
        <v>4510</v>
      </c>
      <c r="X78" s="34">
        <f>ROUND((Table134[[#This Row],[Goals]]+Table134[[#This Row],[Asissts]])/(Table134[[#This Row],['#minuten]]/90),2)</f>
        <v>0</v>
      </c>
    </row>
    <row r="79" spans="1:26" x14ac:dyDescent="0.2">
      <c r="A79" s="2" t="s">
        <v>199</v>
      </c>
      <c r="B79" s="28" t="s">
        <v>45</v>
      </c>
      <c r="C79" s="29">
        <v>3000000</v>
      </c>
      <c r="D79" s="30" t="s">
        <v>149</v>
      </c>
      <c r="E79" s="30">
        <v>28</v>
      </c>
      <c r="F79" s="30" t="s">
        <v>200</v>
      </c>
      <c r="G79" s="47">
        <v>446</v>
      </c>
      <c r="H79" s="48">
        <v>0</v>
      </c>
      <c r="I79" s="45">
        <f>ROUND(Table134[[#This Row],[laatste 5 wed.]]/Table134[[#This Row],['#punten]]*100,1)</f>
        <v>0</v>
      </c>
      <c r="J79" s="30">
        <v>7</v>
      </c>
      <c r="K79" s="30">
        <v>7</v>
      </c>
      <c r="L79" s="30">
        <v>630</v>
      </c>
      <c r="M79" s="30">
        <v>0</v>
      </c>
      <c r="N79" s="23">
        <f>ROUND(Table134[[#This Row],[Min laatste 5]]/Table134[[#This Row],['#minuten]]*100,1)</f>
        <v>0</v>
      </c>
      <c r="O79" s="30">
        <v>0</v>
      </c>
      <c r="P79" s="30">
        <v>0</v>
      </c>
      <c r="Q79" s="48">
        <v>1</v>
      </c>
      <c r="R79" s="30">
        <v>0</v>
      </c>
      <c r="S79" s="30">
        <v>2</v>
      </c>
      <c r="T79" s="49">
        <f>ROUND(Table134[[#This Row],['#punten]]/Table134[[#This Row],['#Wed]],2)</f>
        <v>63.71</v>
      </c>
      <c r="U79" s="31">
        <f>ROUND(Table134[[#This Row],['#punten]]/Table134[[#This Row],['#minuten]],2)</f>
        <v>0.71</v>
      </c>
      <c r="V79" s="30">
        <f>ROUND(Table134[[#This Row],['#punten]]/(Table134[[#This Row],['#minuten]]/90),2)</f>
        <v>63.71</v>
      </c>
      <c r="W79" s="30">
        <f>ROUND(Table134[[#This Row],[Prijs]]/Table134[[#This Row],['#punten]],0)</f>
        <v>6726</v>
      </c>
      <c r="X79" s="34">
        <f>ROUND((Table134[[#This Row],[Goals]]+Table134[[#This Row],[Asissts]])/(Table134[[#This Row],['#minuten]]/90),2)</f>
        <v>0</v>
      </c>
      <c r="Y79" s="38"/>
    </row>
    <row r="80" spans="1:26" x14ac:dyDescent="0.2">
      <c r="A80" s="2" t="s">
        <v>588</v>
      </c>
      <c r="B80" s="21" t="s">
        <v>46</v>
      </c>
      <c r="C80" s="22">
        <v>1500000</v>
      </c>
      <c r="D80" s="23" t="s">
        <v>149</v>
      </c>
      <c r="E80" s="23">
        <v>27</v>
      </c>
      <c r="F80" s="23" t="s">
        <v>141</v>
      </c>
      <c r="G80" s="44">
        <v>118</v>
      </c>
      <c r="H80" s="45">
        <v>118</v>
      </c>
      <c r="I80" s="45">
        <f>ROUND(Table134[[#This Row],[laatste 5 wed.]]/Table134[[#This Row],['#punten]]*100,1)</f>
        <v>100</v>
      </c>
      <c r="J80" s="23">
        <v>1</v>
      </c>
      <c r="K80" s="23">
        <v>1</v>
      </c>
      <c r="L80" s="23">
        <v>90</v>
      </c>
      <c r="M80" s="23">
        <v>90</v>
      </c>
      <c r="N80" s="23">
        <f>ROUND(Table134[[#This Row],[Min laatste 5]]/Table134[[#This Row],['#minuten]]*100,1)</f>
        <v>100</v>
      </c>
      <c r="O80" s="23">
        <v>0</v>
      </c>
      <c r="P80" s="23">
        <v>0</v>
      </c>
      <c r="Q80" s="45">
        <v>0</v>
      </c>
      <c r="R80" s="23">
        <v>0</v>
      </c>
      <c r="S80" s="23">
        <v>1</v>
      </c>
      <c r="T80" s="46">
        <f>ROUND(Table134[[#This Row],['#punten]]/Table134[[#This Row],['#Wed]],2)</f>
        <v>118</v>
      </c>
      <c r="U80" s="24">
        <f>ROUND(Table134[[#This Row],['#punten]]/Table134[[#This Row],['#minuten]],2)</f>
        <v>1.31</v>
      </c>
      <c r="V80" s="23">
        <f>ROUND(Table134[[#This Row],['#punten]]/(Table134[[#This Row],['#minuten]]/90),2)</f>
        <v>118</v>
      </c>
      <c r="W80" s="23">
        <f>ROUND(Table134[[#This Row],[Prijs]]/Table134[[#This Row],['#punten]],0)</f>
        <v>12712</v>
      </c>
      <c r="X80" s="27">
        <f>ROUND((Table134[[#This Row],[Goals]]+Table134[[#This Row],[Asissts]])/(Table134[[#This Row],['#minuten]]/90),2)</f>
        <v>0</v>
      </c>
      <c r="Y80" s="38"/>
    </row>
    <row r="81" spans="1:26" x14ac:dyDescent="0.2">
      <c r="A81" s="2" t="s">
        <v>223</v>
      </c>
      <c r="B81" s="21" t="s">
        <v>39</v>
      </c>
      <c r="C81" s="22">
        <v>2000000</v>
      </c>
      <c r="D81" s="23" t="s">
        <v>149</v>
      </c>
      <c r="E81" s="23">
        <v>25</v>
      </c>
      <c r="F81" s="23" t="s">
        <v>141</v>
      </c>
      <c r="G81" s="44">
        <v>1014</v>
      </c>
      <c r="H81" s="45">
        <v>202</v>
      </c>
      <c r="I81" s="45">
        <f>ROUND(Table134[[#This Row],[laatste 5 wed.]]/Table134[[#This Row],['#punten]]*100,1)</f>
        <v>19.899999999999999</v>
      </c>
      <c r="J81" s="23">
        <v>19</v>
      </c>
      <c r="K81" s="23">
        <v>19</v>
      </c>
      <c r="L81" s="23">
        <v>1710</v>
      </c>
      <c r="M81" s="23">
        <v>450</v>
      </c>
      <c r="N81" s="23">
        <f>ROUND(Table134[[#This Row],[Min laatste 5]]/Table134[[#This Row],['#minuten]]*100,1)</f>
        <v>26.3</v>
      </c>
      <c r="O81" s="23">
        <v>0</v>
      </c>
      <c r="P81" s="23">
        <v>0</v>
      </c>
      <c r="Q81" s="45">
        <v>0</v>
      </c>
      <c r="R81" s="23">
        <v>0</v>
      </c>
      <c r="S81" s="23">
        <v>6</v>
      </c>
      <c r="T81" s="46">
        <f>ROUND(Table134[[#This Row],['#punten]]/Table134[[#This Row],['#Wed]],2)</f>
        <v>53.37</v>
      </c>
      <c r="U81" s="24">
        <f>ROUND(Table134[[#This Row],['#punten]]/Table134[[#This Row],['#minuten]],2)</f>
        <v>0.59</v>
      </c>
      <c r="V81" s="23">
        <f>ROUND(Table134[[#This Row],['#punten]]/(Table134[[#This Row],['#minuten]]/90),2)</f>
        <v>53.37</v>
      </c>
      <c r="W81" s="23">
        <f>ROUND(Table134[[#This Row],[Prijs]]/Table134[[#This Row],['#punten]],0)</f>
        <v>1972</v>
      </c>
      <c r="X81" s="27">
        <f>ROUND((Table134[[#This Row],[Goals]]+Table134[[#This Row],[Asissts]])/(Table134[[#This Row],['#minuten]]/90),2)</f>
        <v>0</v>
      </c>
    </row>
    <row r="82" spans="1:26" x14ac:dyDescent="0.2">
      <c r="A82" s="2" t="s">
        <v>224</v>
      </c>
      <c r="B82" s="28" t="s">
        <v>48</v>
      </c>
      <c r="C82" s="29">
        <v>2000000</v>
      </c>
      <c r="D82" s="30" t="s">
        <v>149</v>
      </c>
      <c r="E82" s="30">
        <v>29</v>
      </c>
      <c r="F82" s="30" t="s">
        <v>141</v>
      </c>
      <c r="G82" s="47">
        <v>730</v>
      </c>
      <c r="H82" s="48">
        <v>72</v>
      </c>
      <c r="I82" s="45">
        <f>ROUND(Table134[[#This Row],[laatste 5 wed.]]/Table134[[#This Row],['#punten]]*100,1)</f>
        <v>9.9</v>
      </c>
      <c r="J82" s="30">
        <v>19</v>
      </c>
      <c r="K82" s="30">
        <v>19</v>
      </c>
      <c r="L82" s="30">
        <v>1710</v>
      </c>
      <c r="M82" s="30">
        <v>450</v>
      </c>
      <c r="N82" s="23">
        <f>ROUND(Table134[[#This Row],[Min laatste 5]]/Table134[[#This Row],['#minuten]]*100,1)</f>
        <v>26.3</v>
      </c>
      <c r="O82" s="30">
        <v>0</v>
      </c>
      <c r="P82" s="30">
        <v>0</v>
      </c>
      <c r="Q82" s="48">
        <v>0</v>
      </c>
      <c r="R82" s="30">
        <v>0</v>
      </c>
      <c r="S82" s="30">
        <v>4</v>
      </c>
      <c r="T82" s="49">
        <f>ROUND(Table134[[#This Row],['#punten]]/Table134[[#This Row],['#Wed]],2)</f>
        <v>38.42</v>
      </c>
      <c r="U82" s="31">
        <f>ROUND(Table134[[#This Row],['#punten]]/Table134[[#This Row],['#minuten]],2)</f>
        <v>0.43</v>
      </c>
      <c r="V82" s="30">
        <f>ROUND(Table134[[#This Row],['#punten]]/(Table134[[#This Row],['#minuten]]/90),2)</f>
        <v>38.42</v>
      </c>
      <c r="W82" s="30">
        <f>ROUND(Table134[[#This Row],[Prijs]]/Table134[[#This Row],['#punten]],0)</f>
        <v>2740</v>
      </c>
      <c r="X82" s="34">
        <f>ROUND((Table134[[#This Row],[Goals]]+Table134[[#This Row],[Asissts]])/(Table134[[#This Row],['#minuten]]/90),2)</f>
        <v>0</v>
      </c>
      <c r="Y82" s="38"/>
    </row>
    <row r="83" spans="1:26" x14ac:dyDescent="0.2">
      <c r="A83" s="2" t="s">
        <v>610</v>
      </c>
      <c r="B83" s="21" t="s">
        <v>48</v>
      </c>
      <c r="C83" s="22">
        <v>1500000</v>
      </c>
      <c r="D83" s="23" t="s">
        <v>149</v>
      </c>
      <c r="E83" s="23">
        <v>29</v>
      </c>
      <c r="F83" s="23" t="s">
        <v>141</v>
      </c>
      <c r="G83" s="44">
        <v>0</v>
      </c>
      <c r="H83" s="45">
        <v>0</v>
      </c>
      <c r="I83" s="45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45">
        <v>0</v>
      </c>
      <c r="R83" s="23">
        <v>0</v>
      </c>
      <c r="S83" s="23">
        <v>0</v>
      </c>
      <c r="T83" s="46">
        <v>0</v>
      </c>
      <c r="U83" s="44">
        <v>0</v>
      </c>
      <c r="V83" s="23">
        <v>0</v>
      </c>
      <c r="W83" s="23">
        <v>0</v>
      </c>
      <c r="X83" s="27">
        <v>0</v>
      </c>
      <c r="Y83" s="38"/>
    </row>
    <row r="84" spans="1:26" x14ac:dyDescent="0.2">
      <c r="A84" s="2" t="s">
        <v>248</v>
      </c>
      <c r="B84" s="28" t="s">
        <v>239</v>
      </c>
      <c r="C84" s="29">
        <v>1250000</v>
      </c>
      <c r="D84" s="30" t="s">
        <v>149</v>
      </c>
      <c r="E84" s="30">
        <v>30</v>
      </c>
      <c r="F84" s="30" t="s">
        <v>141</v>
      </c>
      <c r="G84" s="47">
        <v>494</v>
      </c>
      <c r="H84" s="48">
        <v>148</v>
      </c>
      <c r="I84" s="45">
        <f>ROUND(Table134[[#This Row],[laatste 5 wed.]]/Table134[[#This Row],['#punten]]*100,1)</f>
        <v>30</v>
      </c>
      <c r="J84" s="30">
        <v>19</v>
      </c>
      <c r="K84" s="30">
        <v>19</v>
      </c>
      <c r="L84" s="30">
        <v>1710</v>
      </c>
      <c r="M84" s="30">
        <v>450</v>
      </c>
      <c r="N84" s="23">
        <f>ROUND(Table134[[#This Row],[Min laatste 5]]/Table134[[#This Row],['#minuten]]*100,1)</f>
        <v>26.3</v>
      </c>
      <c r="O84" s="30">
        <v>0</v>
      </c>
      <c r="P84" s="30">
        <v>1</v>
      </c>
      <c r="Q84" s="48">
        <v>0</v>
      </c>
      <c r="R84" s="30">
        <v>0</v>
      </c>
      <c r="S84" s="30">
        <v>1</v>
      </c>
      <c r="T84" s="49">
        <f>ROUND(Table134[[#This Row],['#punten]]/Table134[[#This Row],['#Wed]],2)</f>
        <v>26</v>
      </c>
      <c r="U84" s="31">
        <f>ROUND(Table134[[#This Row],['#punten]]/Table134[[#This Row],['#minuten]],2)</f>
        <v>0.28999999999999998</v>
      </c>
      <c r="V84" s="30">
        <f>ROUND(Table134[[#This Row],['#punten]]/(Table134[[#This Row],['#minuten]]/90),2)</f>
        <v>26</v>
      </c>
      <c r="W84" s="30">
        <f>ROUND(Table134[[#This Row],[Prijs]]/Table134[[#This Row],['#punten]],0)</f>
        <v>2530</v>
      </c>
      <c r="X84" s="34">
        <f>ROUND((Table134[[#This Row],[Goals]]+Table134[[#This Row],[Asissts]])/(Table134[[#This Row],['#minuten]]/90),2)</f>
        <v>0.05</v>
      </c>
      <c r="Y84" s="38"/>
    </row>
    <row r="85" spans="1:26" x14ac:dyDescent="0.2">
      <c r="A85" s="2" t="s">
        <v>249</v>
      </c>
      <c r="B85" s="28" t="s">
        <v>10</v>
      </c>
      <c r="C85" s="29">
        <v>1750000</v>
      </c>
      <c r="D85" s="30" t="s">
        <v>149</v>
      </c>
      <c r="E85" s="30">
        <v>34</v>
      </c>
      <c r="F85" s="30" t="s">
        <v>141</v>
      </c>
      <c r="G85" s="47">
        <v>530</v>
      </c>
      <c r="H85" s="48">
        <v>238</v>
      </c>
      <c r="I85" s="45">
        <f>ROUND(Table134[[#This Row],[laatste 5 wed.]]/Table134[[#This Row],['#punten]]*100,1)</f>
        <v>44.9</v>
      </c>
      <c r="J85" s="30">
        <v>16</v>
      </c>
      <c r="K85" s="30">
        <v>16</v>
      </c>
      <c r="L85" s="30">
        <v>1381</v>
      </c>
      <c r="M85" s="30">
        <v>450</v>
      </c>
      <c r="N85" s="23">
        <f>ROUND(Table134[[#This Row],[Min laatste 5]]/Table134[[#This Row],['#minuten]]*100,1)</f>
        <v>32.6</v>
      </c>
      <c r="O85" s="30">
        <v>0</v>
      </c>
      <c r="P85" s="30">
        <v>0</v>
      </c>
      <c r="Q85" s="48">
        <v>1</v>
      </c>
      <c r="R85" s="30">
        <v>0</v>
      </c>
      <c r="S85" s="30">
        <v>2</v>
      </c>
      <c r="T85" s="49">
        <f>ROUND(Table134[[#This Row],['#punten]]/Table134[[#This Row],['#Wed]],2)</f>
        <v>33.130000000000003</v>
      </c>
      <c r="U85" s="31">
        <f>ROUND(Table134[[#This Row],['#punten]]/Table134[[#This Row],['#minuten]],2)</f>
        <v>0.38</v>
      </c>
      <c r="V85" s="30">
        <f>ROUND(Table134[[#This Row],['#punten]]/(Table134[[#This Row],['#minuten]]/90),2)</f>
        <v>34.54</v>
      </c>
      <c r="W85" s="30">
        <f>ROUND(Table134[[#This Row],[Prijs]]/Table134[[#This Row],['#punten]],0)</f>
        <v>3302</v>
      </c>
      <c r="X85" s="34">
        <f>ROUND((Table134[[#This Row],[Goals]]+Table134[[#This Row],[Asissts]])/(Table134[[#This Row],['#minuten]]/90),2)</f>
        <v>0</v>
      </c>
    </row>
    <row r="86" spans="1:26" x14ac:dyDescent="0.2">
      <c r="A86" s="2" t="s">
        <v>268</v>
      </c>
      <c r="B86" s="28" t="s">
        <v>260</v>
      </c>
      <c r="C86" s="29">
        <v>1750000</v>
      </c>
      <c r="D86" s="30" t="s">
        <v>149</v>
      </c>
      <c r="E86" s="30">
        <v>23</v>
      </c>
      <c r="F86" s="30" t="s">
        <v>141</v>
      </c>
      <c r="G86" s="47">
        <v>734</v>
      </c>
      <c r="H86" s="48">
        <v>184</v>
      </c>
      <c r="I86" s="45">
        <f>ROUND(Table134[[#This Row],[laatste 5 wed.]]/Table134[[#This Row],['#punten]]*100,1)</f>
        <v>25.1</v>
      </c>
      <c r="J86" s="30">
        <v>19</v>
      </c>
      <c r="K86" s="30">
        <v>19</v>
      </c>
      <c r="L86" s="30">
        <v>1710</v>
      </c>
      <c r="M86" s="30">
        <v>450</v>
      </c>
      <c r="N86" s="23">
        <f>ROUND(Table134[[#This Row],[Min laatste 5]]/Table134[[#This Row],['#minuten]]*100,1)</f>
        <v>26.3</v>
      </c>
      <c r="O86" s="30"/>
      <c r="P86" s="30">
        <v>0</v>
      </c>
      <c r="Q86" s="48">
        <v>0</v>
      </c>
      <c r="R86" s="30">
        <v>0</v>
      </c>
      <c r="S86" s="30">
        <v>4</v>
      </c>
      <c r="T86" s="49">
        <f>ROUND(Table134[[#This Row],['#punten]]/Table134[[#This Row],['#Wed]],2)</f>
        <v>38.630000000000003</v>
      </c>
      <c r="U86" s="31">
        <f>ROUND(Table134[[#This Row],['#punten]]/Table134[[#This Row],['#minuten]],2)</f>
        <v>0.43</v>
      </c>
      <c r="V86" s="30">
        <f>ROUND(Table134[[#This Row],['#punten]]/(Table134[[#This Row],['#minuten]]/90),2)</f>
        <v>38.630000000000003</v>
      </c>
      <c r="W86" s="30">
        <f>ROUND(Table134[[#This Row],[Prijs]]/Table134[[#This Row],['#punten]],0)</f>
        <v>2384</v>
      </c>
      <c r="X86" s="34">
        <f>ROUND((Table134[[#This Row],[Goals]]+Table134[[#This Row],[Asissts]])/(Table134[[#This Row],['#minuten]]/90),2)</f>
        <v>0</v>
      </c>
      <c r="Y86" s="38"/>
    </row>
    <row r="87" spans="1:26" x14ac:dyDescent="0.2">
      <c r="A87" s="2" t="s">
        <v>283</v>
      </c>
      <c r="B87" s="62" t="s">
        <v>11</v>
      </c>
      <c r="C87" s="63">
        <v>4000000</v>
      </c>
      <c r="D87" s="60" t="s">
        <v>149</v>
      </c>
      <c r="E87" s="60">
        <v>30</v>
      </c>
      <c r="F87" s="60" t="s">
        <v>158</v>
      </c>
      <c r="G87" s="91">
        <v>1734</v>
      </c>
      <c r="H87" s="86">
        <v>450</v>
      </c>
      <c r="I87" s="45">
        <f>ROUND(Table134[[#This Row],[laatste 5 wed.]]/Table134[[#This Row],['#punten]]*100,1)</f>
        <v>26</v>
      </c>
      <c r="J87" s="60">
        <v>19</v>
      </c>
      <c r="K87" s="60">
        <v>19</v>
      </c>
      <c r="L87" s="60">
        <v>1710</v>
      </c>
      <c r="M87" s="60">
        <v>450</v>
      </c>
      <c r="N87" s="23">
        <f>ROUND(Table134[[#This Row],[Min laatste 5]]/Table134[[#This Row],['#minuten]]*100,1)</f>
        <v>26.3</v>
      </c>
      <c r="O87" s="60">
        <v>0</v>
      </c>
      <c r="P87" s="60">
        <v>0</v>
      </c>
      <c r="Q87" s="86">
        <v>1</v>
      </c>
      <c r="R87" s="60">
        <v>0</v>
      </c>
      <c r="S87" s="60">
        <v>12</v>
      </c>
      <c r="T87" s="93">
        <f>ROUND(Table134[[#This Row],['#punten]]/Table134[[#This Row],['#Wed]],2)</f>
        <v>91.26</v>
      </c>
      <c r="U87" s="58">
        <f>ROUND(Table134[[#This Row],['#punten]]/Table134[[#This Row],['#minuten]],2)</f>
        <v>1.01</v>
      </c>
      <c r="V87" s="60">
        <f>ROUND(Table134[[#This Row],['#punten]]/(Table134[[#This Row],['#minuten]]/90),2)</f>
        <v>91.26</v>
      </c>
      <c r="W87" s="60">
        <f>ROUND(Table134[[#This Row],[Prijs]]/Table134[[#This Row],['#punten]],0)</f>
        <v>2307</v>
      </c>
      <c r="X87" s="61">
        <f>ROUND((Table134[[#This Row],[Goals]]+Table134[[#This Row],[Asissts]])/(Table134[[#This Row],['#minuten]]/90),2)</f>
        <v>0</v>
      </c>
      <c r="Y87" s="38"/>
    </row>
    <row r="88" spans="1:26" x14ac:dyDescent="0.2">
      <c r="A88" s="2" t="s">
        <v>27</v>
      </c>
      <c r="B88" s="28" t="s">
        <v>40</v>
      </c>
      <c r="C88" s="29">
        <v>1500000</v>
      </c>
      <c r="D88" s="30" t="s">
        <v>149</v>
      </c>
      <c r="E88" s="30">
        <v>28</v>
      </c>
      <c r="F88" s="30" t="s">
        <v>141</v>
      </c>
      <c r="G88" s="47">
        <v>516</v>
      </c>
      <c r="H88" s="48">
        <v>160</v>
      </c>
      <c r="I88" s="45">
        <f>ROUND(Table134[[#This Row],[laatste 5 wed.]]/Table134[[#This Row],['#punten]]*100,1)</f>
        <v>31</v>
      </c>
      <c r="J88" s="30">
        <v>15</v>
      </c>
      <c r="K88" s="30">
        <v>15</v>
      </c>
      <c r="L88" s="30">
        <v>1350</v>
      </c>
      <c r="M88" s="30">
        <v>450</v>
      </c>
      <c r="N88" s="23">
        <f>ROUND(Table134[[#This Row],[Min laatste 5]]/Table134[[#This Row],['#minuten]]*100,1)</f>
        <v>33.299999999999997</v>
      </c>
      <c r="O88" s="30">
        <v>0</v>
      </c>
      <c r="P88" s="30">
        <v>0</v>
      </c>
      <c r="Q88" s="48">
        <v>2</v>
      </c>
      <c r="R88" s="30">
        <v>0</v>
      </c>
      <c r="S88" s="30">
        <v>2</v>
      </c>
      <c r="T88" s="46">
        <f>ROUND(Table134[[#This Row],['#punten]]/Table134[[#This Row],['#Wed]],2)</f>
        <v>34.4</v>
      </c>
      <c r="U88" s="24">
        <f>ROUND(Table134[[#This Row],['#punten]]/Table134[[#This Row],['#minuten]],2)</f>
        <v>0.38</v>
      </c>
      <c r="V88" s="23">
        <f>ROUND(Table134[[#This Row],['#punten]]/(Table134[[#This Row],['#minuten]]/90),2)</f>
        <v>34.4</v>
      </c>
      <c r="W88" s="23">
        <f>ROUND(Table134[[#This Row],[Prijs]]/Table134[[#This Row],['#punten]],0)</f>
        <v>2907</v>
      </c>
      <c r="X88" s="27">
        <f>ROUND((Table134[[#This Row],[Goals]]+Table134[[#This Row],[Asissts]])/(Table134[[#This Row],['#minuten]]/90),2)</f>
        <v>0</v>
      </c>
      <c r="Y88" s="38"/>
      <c r="Z88" t="s">
        <v>649</v>
      </c>
    </row>
    <row r="89" spans="1:26" x14ac:dyDescent="0.2">
      <c r="A89" s="2" t="s">
        <v>308</v>
      </c>
      <c r="B89" s="28" t="s">
        <v>47</v>
      </c>
      <c r="C89" s="29">
        <v>2500000</v>
      </c>
      <c r="D89" s="30" t="s">
        <v>149</v>
      </c>
      <c r="E89" s="30">
        <v>28</v>
      </c>
      <c r="F89" s="30" t="s">
        <v>141</v>
      </c>
      <c r="G89" s="47">
        <v>1048</v>
      </c>
      <c r="H89" s="48">
        <v>266</v>
      </c>
      <c r="I89" s="45">
        <f>ROUND(Table134[[#This Row],[laatste 5 wed.]]/Table134[[#This Row],['#punten]]*100,1)</f>
        <v>25.4</v>
      </c>
      <c r="J89" s="30">
        <v>19</v>
      </c>
      <c r="K89" s="30">
        <v>19</v>
      </c>
      <c r="L89" s="30">
        <v>1710</v>
      </c>
      <c r="M89" s="30">
        <v>450</v>
      </c>
      <c r="N89" s="23">
        <f>ROUND(Table134[[#This Row],[Min laatste 5]]/Table134[[#This Row],['#minuten]]*100,1)</f>
        <v>26.3</v>
      </c>
      <c r="O89" s="30">
        <v>0</v>
      </c>
      <c r="P89" s="30">
        <v>0</v>
      </c>
      <c r="Q89" s="48">
        <v>0</v>
      </c>
      <c r="R89" s="30">
        <v>0</v>
      </c>
      <c r="S89" s="30">
        <v>5</v>
      </c>
      <c r="T89" s="49">
        <f>ROUND(Table134[[#This Row],['#punten]]/Table134[[#This Row],['#Wed]],2)</f>
        <v>55.16</v>
      </c>
      <c r="U89" s="31">
        <f>ROUND(Table134[[#This Row],['#punten]]/Table134[[#This Row],['#minuten]],2)</f>
        <v>0.61</v>
      </c>
      <c r="V89" s="30">
        <f>ROUND(Table134[[#This Row],['#punten]]/(Table134[[#This Row],['#minuten]]/90),2)</f>
        <v>55.16</v>
      </c>
      <c r="W89" s="30">
        <f>ROUND(Table134[[#This Row],[Prijs]]/Table134[[#This Row],['#punten]],0)</f>
        <v>2385</v>
      </c>
      <c r="X89" s="34">
        <f>ROUND((Table134[[#This Row],[Goals]]+Table134[[#This Row],[Asissts]])/(Table134[[#This Row],['#minuten]]/90),2)</f>
        <v>0</v>
      </c>
      <c r="Z89" t="s">
        <v>649</v>
      </c>
    </row>
    <row r="90" spans="1:26" x14ac:dyDescent="0.2">
      <c r="A90" s="2" t="s">
        <v>123</v>
      </c>
      <c r="B90" s="28" t="s">
        <v>49</v>
      </c>
      <c r="C90" s="29">
        <v>3000000</v>
      </c>
      <c r="D90" s="30" t="s">
        <v>149</v>
      </c>
      <c r="E90" s="30">
        <v>33</v>
      </c>
      <c r="F90" s="30" t="s">
        <v>200</v>
      </c>
      <c r="G90" s="47">
        <v>1152</v>
      </c>
      <c r="H90" s="48">
        <v>308</v>
      </c>
      <c r="I90" s="45">
        <f>ROUND(Table134[[#This Row],[laatste 5 wed.]]/Table134[[#This Row],['#punten]]*100,1)</f>
        <v>26.7</v>
      </c>
      <c r="J90" s="30">
        <v>19</v>
      </c>
      <c r="K90" s="30">
        <v>19</v>
      </c>
      <c r="L90" s="30">
        <v>1710</v>
      </c>
      <c r="M90" s="30">
        <v>450</v>
      </c>
      <c r="N90" s="23">
        <f>ROUND(Table134[[#This Row],[Min laatste 5]]/Table134[[#This Row],['#minuten]]*100,1)</f>
        <v>26.3</v>
      </c>
      <c r="O90" s="30">
        <v>0</v>
      </c>
      <c r="P90" s="30">
        <v>0</v>
      </c>
      <c r="Q90" s="48">
        <v>1</v>
      </c>
      <c r="R90" s="30">
        <v>0</v>
      </c>
      <c r="S90" s="30">
        <v>5</v>
      </c>
      <c r="T90" s="49">
        <f>ROUND(Table134[[#This Row],['#punten]]/Table134[[#This Row],['#Wed]],2)</f>
        <v>60.63</v>
      </c>
      <c r="U90" s="31">
        <f>ROUND(Table134[[#This Row],['#punten]]/Table134[[#This Row],['#minuten]],2)</f>
        <v>0.67</v>
      </c>
      <c r="V90" s="30">
        <f>ROUND(Table134[[#This Row],['#punten]]/(Table134[[#This Row],['#minuten]]/90),2)</f>
        <v>60.63</v>
      </c>
      <c r="W90" s="30">
        <f>ROUND(Table134[[#This Row],[Prijs]]/Table134[[#This Row],['#punten]],0)</f>
        <v>2604</v>
      </c>
      <c r="X90" s="34">
        <f>ROUND((Table134[[#This Row],[Goals]]+Table134[[#This Row],[Asissts]])/(Table134[[#This Row],['#minuten]]/90),2)</f>
        <v>0</v>
      </c>
      <c r="Z90" t="s">
        <v>649</v>
      </c>
    </row>
    <row r="91" spans="1:26" x14ac:dyDescent="0.2">
      <c r="A91" s="2" t="s">
        <v>328</v>
      </c>
      <c r="B91" s="28" t="s">
        <v>317</v>
      </c>
      <c r="C91" s="29">
        <v>1750000</v>
      </c>
      <c r="D91" s="30" t="s">
        <v>149</v>
      </c>
      <c r="E91" s="30">
        <v>29</v>
      </c>
      <c r="F91" s="30" t="s">
        <v>169</v>
      </c>
      <c r="G91" s="47">
        <v>808</v>
      </c>
      <c r="H91" s="48">
        <v>350</v>
      </c>
      <c r="I91" s="45">
        <f>ROUND(Table134[[#This Row],[laatste 5 wed.]]/Table134[[#This Row],['#punten]]*100,1)</f>
        <v>43.3</v>
      </c>
      <c r="J91" s="30">
        <v>18</v>
      </c>
      <c r="K91" s="30">
        <v>18</v>
      </c>
      <c r="L91" s="30">
        <v>1620</v>
      </c>
      <c r="M91" s="30">
        <v>450</v>
      </c>
      <c r="N91" s="23">
        <f>ROUND(Table134[[#This Row],[Min laatste 5]]/Table134[[#This Row],['#minuten]]*100,1)</f>
        <v>27.8</v>
      </c>
      <c r="O91" s="30">
        <v>0</v>
      </c>
      <c r="P91" s="30">
        <v>0</v>
      </c>
      <c r="Q91" s="48">
        <v>2</v>
      </c>
      <c r="R91" s="30">
        <v>0</v>
      </c>
      <c r="S91" s="30">
        <v>3</v>
      </c>
      <c r="T91" s="49">
        <f>ROUND(Table134[[#This Row],['#punten]]/Table134[[#This Row],['#Wed]],2)</f>
        <v>44.89</v>
      </c>
      <c r="U91" s="31">
        <f>ROUND(Table134[[#This Row],['#punten]]/Table134[[#This Row],['#minuten]],2)</f>
        <v>0.5</v>
      </c>
      <c r="V91" s="30">
        <f>ROUND(Table134[[#This Row],['#punten]]/(Table134[[#This Row],['#minuten]]/90),2)</f>
        <v>44.89</v>
      </c>
      <c r="W91" s="30">
        <f>ROUND(Table134[[#This Row],[Prijs]]/Table134[[#This Row],['#punten]],0)</f>
        <v>2166</v>
      </c>
      <c r="X91" s="34">
        <f>ROUND((Table134[[#This Row],[Goals]]+Table134[[#This Row],[Asissts]])/(Table134[[#This Row],['#minuten]]/90),2)</f>
        <v>0</v>
      </c>
      <c r="Z91" t="s">
        <v>649</v>
      </c>
    </row>
    <row r="92" spans="1:26" x14ac:dyDescent="0.2">
      <c r="A92" s="2" t="s">
        <v>329</v>
      </c>
      <c r="B92" s="28" t="s">
        <v>50</v>
      </c>
      <c r="C92" s="29">
        <v>1250000</v>
      </c>
      <c r="D92" s="30" t="s">
        <v>149</v>
      </c>
      <c r="E92" s="30">
        <v>34</v>
      </c>
      <c r="F92" s="30" t="s">
        <v>141</v>
      </c>
      <c r="G92" s="47">
        <v>716</v>
      </c>
      <c r="H92" s="48">
        <v>300</v>
      </c>
      <c r="I92" s="45">
        <f>ROUND(Table134[[#This Row],[laatste 5 wed.]]/Table134[[#This Row],['#punten]]*100,1)</f>
        <v>41.9</v>
      </c>
      <c r="J92" s="30">
        <v>19</v>
      </c>
      <c r="K92" s="30">
        <v>19</v>
      </c>
      <c r="L92" s="30">
        <v>1710</v>
      </c>
      <c r="M92" s="30">
        <v>450</v>
      </c>
      <c r="N92" s="23">
        <f>ROUND(Table134[[#This Row],[Min laatste 5]]/Table134[[#This Row],['#minuten]]*100,1)</f>
        <v>26.3</v>
      </c>
      <c r="O92" s="30">
        <v>0</v>
      </c>
      <c r="P92" s="30">
        <v>0</v>
      </c>
      <c r="Q92" s="48">
        <v>1</v>
      </c>
      <c r="R92" s="30">
        <v>0</v>
      </c>
      <c r="S92" s="30">
        <v>3</v>
      </c>
      <c r="T92" s="49">
        <f>ROUND(Table134[[#This Row],['#punten]]/Table134[[#This Row],['#Wed]],2)</f>
        <v>37.68</v>
      </c>
      <c r="U92" s="31">
        <f>ROUND(Table134[[#This Row],['#punten]]/Table134[[#This Row],['#minuten]],2)</f>
        <v>0.42</v>
      </c>
      <c r="V92" s="30">
        <f>ROUND(Table134[[#This Row],['#punten]]/(Table134[[#This Row],['#minuten]]/90),2)</f>
        <v>37.68</v>
      </c>
      <c r="W92" s="30">
        <f>ROUND(Table134[[#This Row],[Prijs]]/Table134[[#This Row],['#punten]],0)</f>
        <v>1746</v>
      </c>
      <c r="X92" s="34">
        <f>ROUND((Table134[[#This Row],[Goals]]+Table134[[#This Row],[Asissts]])/(Table134[[#This Row],['#minuten]]/90),2)</f>
        <v>0</v>
      </c>
      <c r="Y92" s="38"/>
      <c r="Z92" t="s">
        <v>650</v>
      </c>
    </row>
    <row r="93" spans="1:26" x14ac:dyDescent="0.2">
      <c r="A93" s="2" t="s">
        <v>345</v>
      </c>
      <c r="B93" s="28" t="s">
        <v>51</v>
      </c>
      <c r="C93" s="29">
        <v>750000</v>
      </c>
      <c r="D93" s="30" t="s">
        <v>149</v>
      </c>
      <c r="E93" s="30">
        <v>19</v>
      </c>
      <c r="F93" s="30" t="s">
        <v>200</v>
      </c>
      <c r="G93" s="47">
        <v>364</v>
      </c>
      <c r="H93" s="48">
        <v>156</v>
      </c>
      <c r="I93" s="45">
        <f>ROUND(Table134[[#This Row],[laatste 5 wed.]]/Table134[[#This Row],['#punten]]*100,1)</f>
        <v>42.9</v>
      </c>
      <c r="J93" s="30">
        <v>19</v>
      </c>
      <c r="K93" s="30">
        <v>19</v>
      </c>
      <c r="L93" s="30">
        <v>1710</v>
      </c>
      <c r="M93" s="30">
        <v>450</v>
      </c>
      <c r="N93" s="23">
        <f>ROUND(Table134[[#This Row],[Min laatste 5]]/Table134[[#This Row],['#minuten]]*100,1)</f>
        <v>26.3</v>
      </c>
      <c r="O93" s="30">
        <v>0</v>
      </c>
      <c r="P93" s="30">
        <v>0</v>
      </c>
      <c r="Q93" s="48">
        <v>3</v>
      </c>
      <c r="R93" s="30">
        <v>0</v>
      </c>
      <c r="S93" s="30">
        <v>1</v>
      </c>
      <c r="T93" s="49">
        <f>ROUND(Table134[[#This Row],['#punten]]/Table134[[#This Row],['#Wed]],2)</f>
        <v>19.16</v>
      </c>
      <c r="U93" s="31">
        <f>ROUND(Table134[[#This Row],['#punten]]/Table134[[#This Row],['#minuten]],2)</f>
        <v>0.21</v>
      </c>
      <c r="V93" s="30">
        <f>ROUND(Table134[[#This Row],['#punten]]/(Table134[[#This Row],['#minuten]]/90),2)</f>
        <v>19.16</v>
      </c>
      <c r="W93" s="30">
        <f>ROUND(Table134[[#This Row],[Prijs]]/Table134[[#This Row],['#punten]],0)</f>
        <v>2060</v>
      </c>
      <c r="X93" s="34">
        <f>ROUND((Table134[[#This Row],[Goals]]+Table134[[#This Row],[Asissts]])/(Table134[[#This Row],['#minuten]]/90),2)</f>
        <v>0</v>
      </c>
      <c r="Y93" s="38"/>
    </row>
    <row r="94" spans="1:26" x14ac:dyDescent="0.2">
      <c r="A94" s="39" t="s">
        <v>146</v>
      </c>
      <c r="B94" s="28" t="s">
        <v>43</v>
      </c>
      <c r="C94" s="29">
        <v>2500000</v>
      </c>
      <c r="D94" s="30" t="s">
        <v>140</v>
      </c>
      <c r="E94" s="30">
        <v>21</v>
      </c>
      <c r="F94" s="30" t="s">
        <v>141</v>
      </c>
      <c r="G94" s="47">
        <v>712</v>
      </c>
      <c r="H94" s="48">
        <v>238</v>
      </c>
      <c r="I94" s="45">
        <f>ROUND(Table134[[#This Row],[laatste 5 wed.]]/Table134[[#This Row],['#punten]]*100,1)</f>
        <v>33.4</v>
      </c>
      <c r="J94" s="30">
        <v>19</v>
      </c>
      <c r="K94" s="30">
        <v>16</v>
      </c>
      <c r="L94" s="30">
        <v>1440</v>
      </c>
      <c r="M94" s="30">
        <v>433</v>
      </c>
      <c r="N94" s="23">
        <f>ROUND(Table134[[#This Row],[Min laatste 5]]/Table134[[#This Row],['#minuten]]*100,1)</f>
        <v>30.1</v>
      </c>
      <c r="O94" s="30">
        <v>1</v>
      </c>
      <c r="P94" s="30">
        <v>3</v>
      </c>
      <c r="Q94" s="48">
        <v>2</v>
      </c>
      <c r="R94" s="30">
        <v>0</v>
      </c>
      <c r="S94" s="30">
        <v>2</v>
      </c>
      <c r="T94" s="49">
        <f>ROUND(Table134[[#This Row],['#punten]]/Table134[[#This Row],['#Wed]],2)</f>
        <v>37.47</v>
      </c>
      <c r="U94" s="31">
        <f>ROUND(Table134[[#This Row],['#punten]]/Table134[[#This Row],['#minuten]],2)</f>
        <v>0.49</v>
      </c>
      <c r="V94" s="30">
        <f>ROUND(Table134[[#This Row],['#punten]]/(Table134[[#This Row],['#minuten]]/90),2)</f>
        <v>44.5</v>
      </c>
      <c r="W94" s="30">
        <f>ROUND(Table134[[#This Row],[Prijs]]/Table134[[#This Row],['#punten]],0)</f>
        <v>3511</v>
      </c>
      <c r="X94" s="34">
        <f>ROUND((Table134[[#This Row],[Goals]]+Table134[[#This Row],[Asissts]])/(Table134[[#This Row],['#minuten]]/90),2)</f>
        <v>0.25</v>
      </c>
    </row>
    <row r="95" spans="1:26" x14ac:dyDescent="0.2">
      <c r="A95" s="39" t="s">
        <v>147</v>
      </c>
      <c r="B95" s="28" t="s">
        <v>43</v>
      </c>
      <c r="C95" s="29">
        <v>2500000</v>
      </c>
      <c r="D95" s="30" t="s">
        <v>140</v>
      </c>
      <c r="E95" s="30">
        <v>20</v>
      </c>
      <c r="F95" s="30" t="s">
        <v>144</v>
      </c>
      <c r="G95" s="47">
        <v>674</v>
      </c>
      <c r="H95" s="48">
        <v>318</v>
      </c>
      <c r="I95" s="45">
        <f>ROUND(Table134[[#This Row],[laatste 5 wed.]]/Table134[[#This Row],['#punten]]*100,1)</f>
        <v>47.2</v>
      </c>
      <c r="J95" s="30">
        <v>14</v>
      </c>
      <c r="K95" s="30">
        <v>12</v>
      </c>
      <c r="L95" s="30">
        <v>1083</v>
      </c>
      <c r="M95" s="30">
        <v>450</v>
      </c>
      <c r="N95" s="23">
        <f>ROUND(Table134[[#This Row],[Min laatste 5]]/Table134[[#This Row],['#minuten]]*100,1)</f>
        <v>41.6</v>
      </c>
      <c r="O95" s="30">
        <v>2</v>
      </c>
      <c r="P95" s="30">
        <v>3</v>
      </c>
      <c r="Q95" s="48">
        <v>3</v>
      </c>
      <c r="R95" s="30">
        <v>0</v>
      </c>
      <c r="S95" s="30">
        <v>2</v>
      </c>
      <c r="T95" s="49">
        <f>ROUND(Table134[[#This Row],['#punten]]/Table134[[#This Row],['#Wed]],2)</f>
        <v>48.14</v>
      </c>
      <c r="U95" s="31">
        <f>ROUND(Table134[[#This Row],['#punten]]/Table134[[#This Row],['#minuten]],2)</f>
        <v>0.62</v>
      </c>
      <c r="V95" s="30">
        <f>ROUND(Table134[[#This Row],['#punten]]/(Table134[[#This Row],['#minuten]]/90),2)</f>
        <v>56.01</v>
      </c>
      <c r="W95" s="30">
        <f>ROUND(Table134[[#This Row],[Prijs]]/Table134[[#This Row],['#punten]],0)</f>
        <v>3709</v>
      </c>
      <c r="X95" s="34">
        <f>ROUND((Table134[[#This Row],[Goals]]+Table134[[#This Row],[Asissts]])/(Table134[[#This Row],['#minuten]]/90),2)</f>
        <v>0.42</v>
      </c>
      <c r="Y95" s="38"/>
    </row>
    <row r="96" spans="1:26" x14ac:dyDescent="0.2">
      <c r="A96" s="39" t="s">
        <v>145</v>
      </c>
      <c r="B96" s="28" t="s">
        <v>43</v>
      </c>
      <c r="C96" s="29">
        <v>3000000</v>
      </c>
      <c r="D96" s="30" t="s">
        <v>140</v>
      </c>
      <c r="E96" s="30">
        <v>28</v>
      </c>
      <c r="F96" s="30" t="s">
        <v>141</v>
      </c>
      <c r="G96" s="47">
        <v>506</v>
      </c>
      <c r="H96" s="48">
        <v>0</v>
      </c>
      <c r="I96" s="45">
        <f>ROUND(Table134[[#This Row],[laatste 5 wed.]]/Table134[[#This Row],['#punten]]*100,1)</f>
        <v>0</v>
      </c>
      <c r="J96" s="30">
        <v>9</v>
      </c>
      <c r="K96" s="30">
        <v>7</v>
      </c>
      <c r="L96" s="30">
        <v>621</v>
      </c>
      <c r="M96" s="30">
        <v>0</v>
      </c>
      <c r="N96" s="23">
        <f>ROUND(Table134[[#This Row],[Min laatste 5]]/Table134[[#This Row],['#minuten]]*100,1)</f>
        <v>0</v>
      </c>
      <c r="O96" s="30">
        <v>2</v>
      </c>
      <c r="P96" s="30">
        <v>1</v>
      </c>
      <c r="Q96" s="48">
        <v>1</v>
      </c>
      <c r="R96" s="30">
        <v>0</v>
      </c>
      <c r="S96" s="30">
        <v>2</v>
      </c>
      <c r="T96" s="49">
        <f>ROUND(Table134[[#This Row],['#punten]]/Table134[[#This Row],['#Wed]],2)</f>
        <v>56.22</v>
      </c>
      <c r="U96" s="31">
        <f>ROUND(Table134[[#This Row],['#punten]]/Table134[[#This Row],['#minuten]],2)</f>
        <v>0.81</v>
      </c>
      <c r="V96" s="30">
        <f>ROUND(Table134[[#This Row],['#punten]]/(Table134[[#This Row],['#minuten]]/90),2)</f>
        <v>73.33</v>
      </c>
      <c r="W96" s="30">
        <f>ROUND(Table134[[#This Row],[Prijs]]/Table134[[#This Row],['#punten]],0)</f>
        <v>5929</v>
      </c>
      <c r="X96" s="34">
        <f>ROUND((Table134[[#This Row],[Goals]]+Table134[[#This Row],[Asissts]])/(Table134[[#This Row],['#minuten]]/90),2)</f>
        <v>0.43</v>
      </c>
      <c r="Z96" t="s">
        <v>653</v>
      </c>
    </row>
    <row r="97" spans="1:26" x14ac:dyDescent="0.2">
      <c r="A97" s="39" t="s">
        <v>529</v>
      </c>
      <c r="B97" s="21" t="s">
        <v>43</v>
      </c>
      <c r="C97" s="22">
        <v>3500000</v>
      </c>
      <c r="D97" s="23" t="s">
        <v>140</v>
      </c>
      <c r="E97" s="23">
        <v>19</v>
      </c>
      <c r="F97" s="23" t="s">
        <v>218</v>
      </c>
      <c r="G97" s="44">
        <v>290</v>
      </c>
      <c r="H97" s="45">
        <v>290</v>
      </c>
      <c r="I97" s="45">
        <f>ROUND(Table134[[#This Row],[laatste 5 wed.]]/Table134[[#This Row],['#punten]]*100,1)</f>
        <v>100</v>
      </c>
      <c r="J97" s="23">
        <v>15</v>
      </c>
      <c r="K97" s="23">
        <v>12</v>
      </c>
      <c r="L97" s="23">
        <v>1011</v>
      </c>
      <c r="M97" s="23">
        <v>337</v>
      </c>
      <c r="N97" s="23">
        <f>ROUND(Table134[[#This Row],[Min laatste 5]]/Table134[[#This Row],['#minuten]]*100,1)</f>
        <v>33.299999999999997</v>
      </c>
      <c r="O97" s="23">
        <v>6</v>
      </c>
      <c r="P97" s="23">
        <v>1</v>
      </c>
      <c r="Q97" s="45">
        <v>1</v>
      </c>
      <c r="R97" s="23">
        <v>0</v>
      </c>
      <c r="S97" s="23">
        <v>3</v>
      </c>
      <c r="T97" s="46">
        <f>ROUND(Table134[[#This Row],['#punten]]/Table134[[#This Row],['#Wed]],2)</f>
        <v>19.329999999999998</v>
      </c>
      <c r="U97" s="24">
        <f>ROUND(Table134[[#This Row],['#punten]]/Table134[[#This Row],['#minuten]],2)</f>
        <v>0.28999999999999998</v>
      </c>
      <c r="V97" s="23">
        <f>ROUND(Table134[[#This Row],['#punten]]/(Table134[[#This Row],['#minuten]]/90),2)</f>
        <v>25.82</v>
      </c>
      <c r="W97" s="23">
        <f>ROUND(Table134[[#This Row],[Prijs]]/Table134[[#This Row],['#punten]],0)</f>
        <v>12069</v>
      </c>
      <c r="X97" s="27">
        <f>ROUND((Table134[[#This Row],[Goals]]+Table134[[#This Row],[Asissts]])/(Table134[[#This Row],['#minuten]]/90),2)</f>
        <v>0.62</v>
      </c>
      <c r="Y97" s="38"/>
      <c r="Z97" t="s">
        <v>592</v>
      </c>
    </row>
    <row r="98" spans="1:26" x14ac:dyDescent="0.2">
      <c r="A98" s="39" t="s">
        <v>590</v>
      </c>
      <c r="B98" s="28" t="s">
        <v>43</v>
      </c>
      <c r="C98" s="29">
        <v>2500000</v>
      </c>
      <c r="D98" s="30" t="s">
        <v>140</v>
      </c>
      <c r="E98" s="30">
        <v>33</v>
      </c>
      <c r="F98" s="30" t="s">
        <v>142</v>
      </c>
      <c r="G98" s="47">
        <v>0</v>
      </c>
      <c r="H98" s="48">
        <v>0</v>
      </c>
      <c r="I98" s="45">
        <v>0</v>
      </c>
      <c r="J98" s="30">
        <v>0</v>
      </c>
      <c r="K98" s="30">
        <v>0</v>
      </c>
      <c r="L98" s="30">
        <v>0</v>
      </c>
      <c r="M98" s="30">
        <v>0</v>
      </c>
      <c r="N98" s="23">
        <v>0</v>
      </c>
      <c r="O98" s="30">
        <v>0</v>
      </c>
      <c r="P98" s="30">
        <v>0</v>
      </c>
      <c r="Q98" s="48">
        <v>0</v>
      </c>
      <c r="R98" s="30">
        <v>0</v>
      </c>
      <c r="S98" s="30">
        <v>0</v>
      </c>
      <c r="T98" s="49">
        <v>0</v>
      </c>
      <c r="U98" s="47">
        <v>0</v>
      </c>
      <c r="V98" s="30">
        <v>0</v>
      </c>
      <c r="W98" s="30">
        <v>0</v>
      </c>
      <c r="X98" s="34">
        <v>0</v>
      </c>
      <c r="Y98" s="38"/>
    </row>
    <row r="99" spans="1:26" x14ac:dyDescent="0.2">
      <c r="A99" s="39" t="s">
        <v>30</v>
      </c>
      <c r="B99" s="21" t="s">
        <v>159</v>
      </c>
      <c r="C99" s="22">
        <v>1000000</v>
      </c>
      <c r="D99" s="23" t="s">
        <v>140</v>
      </c>
      <c r="E99" s="23">
        <v>23</v>
      </c>
      <c r="F99" s="23" t="s">
        <v>141</v>
      </c>
      <c r="G99" s="44">
        <v>652</v>
      </c>
      <c r="H99" s="45">
        <v>298</v>
      </c>
      <c r="I99" s="45">
        <f>ROUND(Table134[[#This Row],[laatste 5 wed.]]/Table134[[#This Row],['#punten]]*100,1)</f>
        <v>45.7</v>
      </c>
      <c r="J99" s="23">
        <v>19</v>
      </c>
      <c r="K99" s="23">
        <v>19</v>
      </c>
      <c r="L99" s="23">
        <v>1698</v>
      </c>
      <c r="M99" s="23">
        <v>445</v>
      </c>
      <c r="N99" s="23">
        <f>ROUND(Table134[[#This Row],[Min laatste 5]]/Table134[[#This Row],['#minuten]]*100,1)</f>
        <v>26.2</v>
      </c>
      <c r="O99" s="23">
        <v>0</v>
      </c>
      <c r="P99" s="23">
        <v>3</v>
      </c>
      <c r="Q99" s="45">
        <v>4</v>
      </c>
      <c r="R99" s="23">
        <v>0</v>
      </c>
      <c r="S99" s="23">
        <v>7</v>
      </c>
      <c r="T99" s="46">
        <f>ROUND(Table134[[#This Row],['#punten]]/Table134[[#This Row],['#Wed]],2)</f>
        <v>34.32</v>
      </c>
      <c r="U99" s="24">
        <f>ROUND(Table134[[#This Row],['#punten]]/Table134[[#This Row],['#minuten]],2)</f>
        <v>0.38</v>
      </c>
      <c r="V99" s="23">
        <f>ROUND(Table134[[#This Row],['#punten]]/(Table134[[#This Row],['#minuten]]/90),2)</f>
        <v>34.56</v>
      </c>
      <c r="W99" s="23">
        <f>ROUND(Table134[[#This Row],[Prijs]]/Table134[[#This Row],['#punten]],0)</f>
        <v>1534</v>
      </c>
      <c r="X99" s="27">
        <f>ROUND((Table134[[#This Row],[Goals]]+Table134[[#This Row],[Asissts]])/(Table134[[#This Row],['#minuten]]/90),2)</f>
        <v>0.16</v>
      </c>
    </row>
    <row r="100" spans="1:26" x14ac:dyDescent="0.2">
      <c r="A100" s="39" t="s">
        <v>358</v>
      </c>
      <c r="B100" s="21" t="s">
        <v>159</v>
      </c>
      <c r="C100" s="22">
        <v>750000</v>
      </c>
      <c r="D100" s="23" t="s">
        <v>140</v>
      </c>
      <c r="E100" s="23">
        <v>20</v>
      </c>
      <c r="F100" s="23" t="s">
        <v>141</v>
      </c>
      <c r="G100" s="44">
        <v>600</v>
      </c>
      <c r="H100" s="45">
        <v>130</v>
      </c>
      <c r="I100" s="45">
        <f>ROUND(Table134[[#This Row],[laatste 5 wed.]]/Table134[[#This Row],['#punten]]*100,1)</f>
        <v>21.7</v>
      </c>
      <c r="J100" s="23">
        <v>16</v>
      </c>
      <c r="K100" s="23">
        <v>11</v>
      </c>
      <c r="L100" s="23">
        <v>898</v>
      </c>
      <c r="M100" s="23">
        <v>254</v>
      </c>
      <c r="N100" s="23">
        <f>ROUND(Table134[[#This Row],[Min laatste 5]]/Table134[[#This Row],['#minuten]]*100,1)</f>
        <v>28.3</v>
      </c>
      <c r="O100" s="23">
        <v>2</v>
      </c>
      <c r="P100" s="23">
        <v>1</v>
      </c>
      <c r="Q100" s="45">
        <v>0</v>
      </c>
      <c r="R100" s="23">
        <v>0</v>
      </c>
      <c r="S100" s="23">
        <v>3</v>
      </c>
      <c r="T100" s="46">
        <f>ROUND(Table134[[#This Row],['#punten]]/Table134[[#This Row],['#Wed]],2)</f>
        <v>37.5</v>
      </c>
      <c r="U100" s="24">
        <f>ROUND(Table134[[#This Row],['#punten]]/Table134[[#This Row],['#minuten]],2)</f>
        <v>0.67</v>
      </c>
      <c r="V100" s="23">
        <f>ROUND(Table134[[#This Row],['#punten]]/(Table134[[#This Row],['#minuten]]/90),2)</f>
        <v>60.13</v>
      </c>
      <c r="W100" s="23">
        <f>ROUND(Table134[[#This Row],[Prijs]]/Table134[[#This Row],['#punten]],0)</f>
        <v>1250</v>
      </c>
      <c r="X100" s="27">
        <f>ROUND((Table134[[#This Row],[Goals]]+Table134[[#This Row],[Asissts]])/(Table134[[#This Row],['#minuten]]/90),2)</f>
        <v>0.3</v>
      </c>
      <c r="Y100" s="38"/>
    </row>
    <row r="101" spans="1:26" x14ac:dyDescent="0.2">
      <c r="A101" s="39" t="s">
        <v>359</v>
      </c>
      <c r="B101" s="21" t="s">
        <v>159</v>
      </c>
      <c r="C101" s="22">
        <v>750000</v>
      </c>
      <c r="D101" s="23" t="s">
        <v>140</v>
      </c>
      <c r="E101" s="23">
        <v>20</v>
      </c>
      <c r="F101" s="23" t="s">
        <v>141</v>
      </c>
      <c r="G101" s="44">
        <v>512</v>
      </c>
      <c r="H101" s="45">
        <v>194</v>
      </c>
      <c r="I101" s="45">
        <f>ROUND(Table134[[#This Row],[laatste 5 wed.]]/Table134[[#This Row],['#punten]]*100,1)</f>
        <v>37.9</v>
      </c>
      <c r="J101" s="23">
        <v>18</v>
      </c>
      <c r="K101" s="23">
        <v>15</v>
      </c>
      <c r="L101" s="23">
        <v>1413</v>
      </c>
      <c r="M101" s="23">
        <v>417</v>
      </c>
      <c r="N101" s="23">
        <f>ROUND(Table134[[#This Row],[Min laatste 5]]/Table134[[#This Row],['#minuten]]*100,1)</f>
        <v>29.5</v>
      </c>
      <c r="O101" s="23">
        <v>0</v>
      </c>
      <c r="P101" s="23">
        <v>0</v>
      </c>
      <c r="Q101" s="45">
        <v>4</v>
      </c>
      <c r="R101" s="23">
        <v>0</v>
      </c>
      <c r="S101" s="23">
        <v>7</v>
      </c>
      <c r="T101" s="46">
        <f>ROUND(Table134[[#This Row],['#punten]]/Table134[[#This Row],['#Wed]],2)</f>
        <v>28.44</v>
      </c>
      <c r="U101" s="24">
        <f>ROUND(Table134[[#This Row],['#punten]]/Table134[[#This Row],['#minuten]],2)</f>
        <v>0.36</v>
      </c>
      <c r="V101" s="23">
        <f>ROUND(Table134[[#This Row],['#punten]]/(Table134[[#This Row],['#minuten]]/90),2)</f>
        <v>32.61</v>
      </c>
      <c r="W101" s="23">
        <f>ROUND(Table134[[#This Row],[Prijs]]/Table134[[#This Row],['#punten]],0)</f>
        <v>1465</v>
      </c>
      <c r="X101" s="27">
        <f>ROUND((Table134[[#This Row],[Goals]]+Table134[[#This Row],[Asissts]])/(Table134[[#This Row],['#minuten]]/90),2)</f>
        <v>0</v>
      </c>
      <c r="Y101" s="38"/>
    </row>
    <row r="102" spans="1:26" x14ac:dyDescent="0.2">
      <c r="A102" s="39" t="s">
        <v>163</v>
      </c>
      <c r="B102" s="62" t="s">
        <v>159</v>
      </c>
      <c r="C102" s="63">
        <v>5000000</v>
      </c>
      <c r="D102" s="60" t="s">
        <v>140</v>
      </c>
      <c r="E102" s="60">
        <v>32</v>
      </c>
      <c r="F102" s="60" t="s">
        <v>47</v>
      </c>
      <c r="G102" s="91">
        <v>200</v>
      </c>
      <c r="H102" s="86">
        <v>152</v>
      </c>
      <c r="I102" s="45">
        <f>ROUND(Table134[[#This Row],[laatste 5 wed.]]/Table134[[#This Row],['#punten]]*100,1)</f>
        <v>76</v>
      </c>
      <c r="J102" s="60">
        <v>10</v>
      </c>
      <c r="K102" s="60">
        <v>5</v>
      </c>
      <c r="L102" s="60">
        <v>458</v>
      </c>
      <c r="M102" s="60">
        <v>101</v>
      </c>
      <c r="N102" s="23">
        <f>ROUND(Table134[[#This Row],[Min laatste 5]]/Table134[[#This Row],['#minuten]]*100,1)</f>
        <v>22.1</v>
      </c>
      <c r="O102" s="60">
        <v>1</v>
      </c>
      <c r="P102" s="60">
        <v>0</v>
      </c>
      <c r="Q102" s="86">
        <v>1</v>
      </c>
      <c r="R102" s="60">
        <v>0</v>
      </c>
      <c r="S102" s="60">
        <v>0</v>
      </c>
      <c r="T102" s="93">
        <f>ROUND(Table134[[#This Row],['#punten]]/Table134[[#This Row],['#Wed]],2)</f>
        <v>20</v>
      </c>
      <c r="U102" s="58">
        <f>ROUND(Table134[[#This Row],['#punten]]/Table134[[#This Row],['#minuten]],2)</f>
        <v>0.44</v>
      </c>
      <c r="V102" s="60">
        <f>ROUND(Table134[[#This Row],['#punten]]/(Table134[[#This Row],['#minuten]]/90),2)</f>
        <v>39.299999999999997</v>
      </c>
      <c r="W102" s="60">
        <f>ROUND(Table134[[#This Row],[Prijs]]/Table134[[#This Row],['#punten]],0)</f>
        <v>25000</v>
      </c>
      <c r="X102" s="61">
        <f>ROUND((Table134[[#This Row],[Goals]]+Table134[[#This Row],[Asissts]])/(Table134[[#This Row],['#minuten]]/90),2)</f>
        <v>0.2</v>
      </c>
    </row>
    <row r="103" spans="1:26" x14ac:dyDescent="0.2">
      <c r="A103" s="39" t="s">
        <v>31</v>
      </c>
      <c r="B103" s="21" t="s">
        <v>6</v>
      </c>
      <c r="C103" s="22">
        <v>3000000</v>
      </c>
      <c r="D103" s="23" t="s">
        <v>140</v>
      </c>
      <c r="E103" s="23">
        <v>25</v>
      </c>
      <c r="F103" s="23" t="s">
        <v>141</v>
      </c>
      <c r="G103" s="44">
        <v>1168</v>
      </c>
      <c r="H103" s="45">
        <v>200</v>
      </c>
      <c r="I103" s="45">
        <f>ROUND(Table134[[#This Row],[laatste 5 wed.]]/Table134[[#This Row],['#punten]]*100,1)</f>
        <v>17.100000000000001</v>
      </c>
      <c r="J103" s="23">
        <v>18</v>
      </c>
      <c r="K103" s="23">
        <v>15</v>
      </c>
      <c r="L103" s="23">
        <v>1321</v>
      </c>
      <c r="M103" s="23">
        <v>281</v>
      </c>
      <c r="N103" s="23">
        <f>ROUND(Table134[[#This Row],[Min laatste 5]]/Table134[[#This Row],['#minuten]]*100,1)</f>
        <v>21.3</v>
      </c>
      <c r="O103" s="23">
        <v>5</v>
      </c>
      <c r="P103" s="23">
        <v>3</v>
      </c>
      <c r="Q103" s="45">
        <v>4</v>
      </c>
      <c r="R103" s="23">
        <v>0</v>
      </c>
      <c r="S103" s="23">
        <v>5</v>
      </c>
      <c r="T103" s="46">
        <f>ROUND(Table134[[#This Row],['#punten]]/Table134[[#This Row],['#Wed]],2)</f>
        <v>64.89</v>
      </c>
      <c r="U103" s="24">
        <f>ROUND(Table134[[#This Row],['#punten]]/Table134[[#This Row],['#minuten]],2)</f>
        <v>0.88</v>
      </c>
      <c r="V103" s="23">
        <f>ROUND(Table134[[#This Row],['#punten]]/(Table134[[#This Row],['#minuten]]/90),2)</f>
        <v>79.58</v>
      </c>
      <c r="W103" s="23">
        <f>ROUND(Table134[[#This Row],[Prijs]]/Table134[[#This Row],['#punten]],0)</f>
        <v>2568</v>
      </c>
      <c r="X103" s="27">
        <f>ROUND((Table134[[#This Row],[Goals]]+Table134[[#This Row],[Asissts]])/(Table134[[#This Row],['#minuten]]/90),2)</f>
        <v>0.55000000000000004</v>
      </c>
      <c r="Y103" s="38"/>
      <c r="Z103" t="s">
        <v>637</v>
      </c>
    </row>
    <row r="104" spans="1:26" x14ac:dyDescent="0.2">
      <c r="A104" s="39" t="s">
        <v>176</v>
      </c>
      <c r="B104" s="28" t="s">
        <v>6</v>
      </c>
      <c r="C104" s="29">
        <v>2500000</v>
      </c>
      <c r="D104" s="30" t="s">
        <v>140</v>
      </c>
      <c r="E104" s="30">
        <v>32</v>
      </c>
      <c r="F104" s="30" t="s">
        <v>141</v>
      </c>
      <c r="G104" s="47">
        <v>968</v>
      </c>
      <c r="H104" s="48">
        <v>70</v>
      </c>
      <c r="I104" s="45">
        <f>ROUND(Table134[[#This Row],[laatste 5 wed.]]/Table134[[#This Row],['#punten]]*100,1)</f>
        <v>7.2</v>
      </c>
      <c r="J104" s="30">
        <v>18</v>
      </c>
      <c r="K104" s="30">
        <v>18</v>
      </c>
      <c r="L104" s="30">
        <v>1588</v>
      </c>
      <c r="M104" s="30">
        <v>450</v>
      </c>
      <c r="N104" s="23">
        <f>ROUND(Table134[[#This Row],[Min laatste 5]]/Table134[[#This Row],['#minuten]]*100,1)</f>
        <v>28.3</v>
      </c>
      <c r="O104" s="30">
        <v>2</v>
      </c>
      <c r="P104" s="30">
        <v>3</v>
      </c>
      <c r="Q104" s="48">
        <v>2</v>
      </c>
      <c r="R104" s="30">
        <v>0</v>
      </c>
      <c r="S104" s="30">
        <v>6</v>
      </c>
      <c r="T104" s="49">
        <f>ROUND(Table134[[#This Row],['#punten]]/Table134[[#This Row],['#Wed]],2)</f>
        <v>53.78</v>
      </c>
      <c r="U104" s="31">
        <f>ROUND(Table134[[#This Row],['#punten]]/Table134[[#This Row],['#minuten]],2)</f>
        <v>0.61</v>
      </c>
      <c r="V104" s="30">
        <f>ROUND(Table134[[#This Row],['#punten]]/(Table134[[#This Row],['#minuten]]/90),2)</f>
        <v>54.86</v>
      </c>
      <c r="W104" s="30">
        <f>ROUND(Table134[[#This Row],[Prijs]]/Table134[[#This Row],['#punten]],0)</f>
        <v>2583</v>
      </c>
      <c r="X104" s="34">
        <f>ROUND((Table134[[#This Row],[Goals]]+Table134[[#This Row],[Asissts]])/(Table134[[#This Row],['#minuten]]/90),2)</f>
        <v>0.28000000000000003</v>
      </c>
    </row>
    <row r="105" spans="1:26" x14ac:dyDescent="0.2">
      <c r="A105" s="39" t="s">
        <v>173</v>
      </c>
      <c r="B105" s="28" t="s">
        <v>6</v>
      </c>
      <c r="C105" s="29">
        <v>3000000</v>
      </c>
      <c r="D105" s="30" t="s">
        <v>140</v>
      </c>
      <c r="E105" s="30">
        <v>23</v>
      </c>
      <c r="F105" s="30" t="s">
        <v>141</v>
      </c>
      <c r="G105" s="47">
        <v>878</v>
      </c>
      <c r="H105" s="48">
        <v>158</v>
      </c>
      <c r="I105" s="45">
        <f>ROUND(Table134[[#This Row],[laatste 5 wed.]]/Table134[[#This Row],['#punten]]*100,1)</f>
        <v>18</v>
      </c>
      <c r="J105" s="30">
        <v>1</v>
      </c>
      <c r="K105" s="30">
        <v>3</v>
      </c>
      <c r="L105" s="30">
        <v>1095</v>
      </c>
      <c r="M105" s="30">
        <v>105</v>
      </c>
      <c r="N105" s="23">
        <f>ROUND(Table134[[#This Row],[Min laatste 5]]/Table134[[#This Row],['#minuten]]*100,1)</f>
        <v>9.6</v>
      </c>
      <c r="O105" s="30">
        <v>1</v>
      </c>
      <c r="P105" s="30">
        <v>3</v>
      </c>
      <c r="Q105" s="48">
        <v>1</v>
      </c>
      <c r="R105" s="30">
        <v>0</v>
      </c>
      <c r="S105" s="30">
        <v>5</v>
      </c>
      <c r="T105" s="49">
        <f>ROUND(Table134[[#This Row],['#punten]]/Table134[[#This Row],['#Wed]],2)</f>
        <v>878</v>
      </c>
      <c r="U105" s="31">
        <f>ROUND(Table134[[#This Row],['#punten]]/Table134[[#This Row],['#minuten]],2)</f>
        <v>0.8</v>
      </c>
      <c r="V105" s="30">
        <f>ROUND(Table134[[#This Row],['#punten]]/(Table134[[#This Row],['#minuten]]/90),2)</f>
        <v>72.16</v>
      </c>
      <c r="W105" s="30">
        <f>ROUND(Table134[[#This Row],[Prijs]]/Table134[[#This Row],['#punten]],0)</f>
        <v>3417</v>
      </c>
      <c r="X105" s="34">
        <f>ROUND((Table134[[#This Row],[Goals]]+Table134[[#This Row],[Asissts]])/(Table134[[#This Row],['#minuten]]/90),2)</f>
        <v>0.33</v>
      </c>
      <c r="Y105" s="38"/>
    </row>
    <row r="106" spans="1:26" x14ac:dyDescent="0.2">
      <c r="A106" s="39" t="s">
        <v>189</v>
      </c>
      <c r="B106" s="21" t="s">
        <v>44</v>
      </c>
      <c r="C106" s="22">
        <v>1250000</v>
      </c>
      <c r="D106" s="23" t="s">
        <v>140</v>
      </c>
      <c r="E106" s="23">
        <v>21</v>
      </c>
      <c r="F106" s="23" t="s">
        <v>141</v>
      </c>
      <c r="G106" s="44">
        <v>690</v>
      </c>
      <c r="H106" s="45">
        <v>158</v>
      </c>
      <c r="I106" s="45">
        <f>ROUND(Table134[[#This Row],[laatste 5 wed.]]/Table134[[#This Row],['#punten]]*100,1)</f>
        <v>22.9</v>
      </c>
      <c r="J106" s="23">
        <v>19</v>
      </c>
      <c r="K106" s="23">
        <v>19</v>
      </c>
      <c r="L106" s="23">
        <v>1652</v>
      </c>
      <c r="M106" s="23">
        <v>426</v>
      </c>
      <c r="N106" s="23">
        <f>ROUND(Table134[[#This Row],[Min laatste 5]]/Table134[[#This Row],['#minuten]]*100,1)</f>
        <v>25.8</v>
      </c>
      <c r="O106" s="23">
        <v>2</v>
      </c>
      <c r="P106" s="23">
        <v>1</v>
      </c>
      <c r="Q106" s="45">
        <v>4</v>
      </c>
      <c r="R106" s="23">
        <v>0</v>
      </c>
      <c r="S106" s="23">
        <v>4</v>
      </c>
      <c r="T106" s="46">
        <f>ROUND(Table134[[#This Row],['#punten]]/Table134[[#This Row],['#Wed]],2)</f>
        <v>36.32</v>
      </c>
      <c r="U106" s="24">
        <f>ROUND(Table134[[#This Row],['#punten]]/Table134[[#This Row],['#minuten]],2)</f>
        <v>0.42</v>
      </c>
      <c r="V106" s="23">
        <f>ROUND(Table134[[#This Row],['#punten]]/(Table134[[#This Row],['#minuten]]/90),2)</f>
        <v>37.590000000000003</v>
      </c>
      <c r="W106" s="23">
        <f>ROUND(Table134[[#This Row],[Prijs]]/Table134[[#This Row],['#punten]],0)</f>
        <v>1812</v>
      </c>
      <c r="X106" s="27">
        <f>ROUND((Table134[[#This Row],[Goals]]+Table134[[#This Row],[Asissts]])/(Table134[[#This Row],['#minuten]]/90),2)</f>
        <v>0.16</v>
      </c>
    </row>
    <row r="107" spans="1:26" x14ac:dyDescent="0.2">
      <c r="A107" s="39" t="s">
        <v>29</v>
      </c>
      <c r="B107" s="28" t="s">
        <v>44</v>
      </c>
      <c r="C107" s="29">
        <v>750000</v>
      </c>
      <c r="D107" s="30" t="s">
        <v>140</v>
      </c>
      <c r="E107" s="30">
        <v>21</v>
      </c>
      <c r="F107" s="30" t="s">
        <v>141</v>
      </c>
      <c r="G107" s="47">
        <v>218</v>
      </c>
      <c r="H107" s="48">
        <v>174</v>
      </c>
      <c r="I107" s="45">
        <f>ROUND(Table134[[#This Row],[laatste 5 wed.]]/Table134[[#This Row],['#punten]]*100,1)</f>
        <v>79.8</v>
      </c>
      <c r="J107" s="30">
        <v>10</v>
      </c>
      <c r="K107" s="30">
        <v>7</v>
      </c>
      <c r="L107" s="30">
        <v>563</v>
      </c>
      <c r="M107" s="30">
        <v>371</v>
      </c>
      <c r="N107" s="23">
        <f>ROUND(Table134[[#This Row],[Min laatste 5]]/Table134[[#This Row],['#minuten]]*100,1)</f>
        <v>65.900000000000006</v>
      </c>
      <c r="O107" s="30">
        <v>0</v>
      </c>
      <c r="P107" s="30">
        <v>1</v>
      </c>
      <c r="Q107" s="48">
        <v>1</v>
      </c>
      <c r="R107" s="30">
        <v>0</v>
      </c>
      <c r="S107" s="30">
        <v>1</v>
      </c>
      <c r="T107" s="49">
        <f>ROUND(Table134[[#This Row],['#punten]]/Table134[[#This Row],['#Wed]],2)</f>
        <v>21.8</v>
      </c>
      <c r="U107" s="31">
        <f>ROUND(Table134[[#This Row],['#punten]]/Table134[[#This Row],['#minuten]],2)</f>
        <v>0.39</v>
      </c>
      <c r="V107" s="30">
        <f>ROUND(Table134[[#This Row],['#punten]]/(Table134[[#This Row],['#minuten]]/90),2)</f>
        <v>34.85</v>
      </c>
      <c r="W107" s="30">
        <f>ROUND(Table134[[#This Row],[Prijs]]/Table134[[#This Row],['#punten]],0)</f>
        <v>3440</v>
      </c>
      <c r="X107" s="34">
        <f>ROUND((Table134[[#This Row],[Goals]]+Table134[[#This Row],[Asissts]])/(Table134[[#This Row],['#minuten]]/90),2)</f>
        <v>0.16</v>
      </c>
    </row>
    <row r="108" spans="1:26" x14ac:dyDescent="0.2">
      <c r="A108" s="39" t="s">
        <v>579</v>
      </c>
      <c r="B108" s="21" t="s">
        <v>44</v>
      </c>
      <c r="C108" s="22">
        <v>750000</v>
      </c>
      <c r="D108" s="23" t="s">
        <v>140</v>
      </c>
      <c r="E108" s="23">
        <v>22</v>
      </c>
      <c r="F108" s="23" t="s">
        <v>141</v>
      </c>
      <c r="G108" s="44">
        <v>162</v>
      </c>
      <c r="H108" s="45">
        <v>100</v>
      </c>
      <c r="I108" s="45">
        <f>ROUND(Table134[[#This Row],[laatste 5 wed.]]/Table134[[#This Row],['#punten]]*100,1)</f>
        <v>61.7</v>
      </c>
      <c r="J108" s="23">
        <v>11</v>
      </c>
      <c r="K108" s="23">
        <v>4</v>
      </c>
      <c r="L108" s="23">
        <v>270</v>
      </c>
      <c r="M108" s="23">
        <v>270</v>
      </c>
      <c r="N108" s="23">
        <f>ROUND(Table134[[#This Row],[Min laatste 5]]/Table134[[#This Row],['#minuten]]*100,1)</f>
        <v>100</v>
      </c>
      <c r="O108" s="23">
        <v>0</v>
      </c>
      <c r="P108" s="23">
        <v>0</v>
      </c>
      <c r="Q108" s="45">
        <v>1</v>
      </c>
      <c r="R108" s="23">
        <v>0</v>
      </c>
      <c r="S108" s="23">
        <v>1</v>
      </c>
      <c r="T108" s="46">
        <f>ROUND(Table134[[#This Row],['#punten]]/Table134[[#This Row],['#Wed]],2)</f>
        <v>14.73</v>
      </c>
      <c r="U108" s="44">
        <f>ROUND(Table134[[#This Row],['#punten]]/Table134[[#This Row],['#minuten]],2)</f>
        <v>0.6</v>
      </c>
      <c r="V108" s="23">
        <f>ROUND(Table134[[#This Row],['#punten]]/(Table134[[#This Row],['#minuten]]/90),2)</f>
        <v>54</v>
      </c>
      <c r="W108" s="23">
        <f>ROUND(Table134[[#This Row],[Prijs]]/Table134[[#This Row],['#punten]],0)</f>
        <v>4630</v>
      </c>
      <c r="X108" s="27">
        <f>ROUND((Table134[[#This Row],[Goals]]+Table134[[#This Row],[Asissts]])/(Table134[[#This Row],['#minuten]]/90),2)</f>
        <v>0</v>
      </c>
      <c r="Y108" s="38"/>
    </row>
    <row r="109" spans="1:26" x14ac:dyDescent="0.2">
      <c r="A109" s="39" t="s">
        <v>201</v>
      </c>
      <c r="B109" s="21" t="s">
        <v>45</v>
      </c>
      <c r="C109" s="22">
        <v>4000000</v>
      </c>
      <c r="D109" s="23" t="s">
        <v>140</v>
      </c>
      <c r="E109" s="23">
        <v>22</v>
      </c>
      <c r="F109" s="23" t="s">
        <v>141</v>
      </c>
      <c r="G109" s="44">
        <v>1570</v>
      </c>
      <c r="H109" s="45">
        <v>378</v>
      </c>
      <c r="I109" s="45">
        <f>ROUND(Table134[[#This Row],[laatste 5 wed.]]/Table134[[#This Row],['#punten]]*100,1)</f>
        <v>24.1</v>
      </c>
      <c r="J109" s="23">
        <v>19</v>
      </c>
      <c r="K109" s="23">
        <v>19</v>
      </c>
      <c r="L109" s="23">
        <v>1638</v>
      </c>
      <c r="M109" s="23">
        <v>441</v>
      </c>
      <c r="N109" s="23">
        <f>ROUND(Table134[[#This Row],[Min laatste 5]]/Table134[[#This Row],['#minuten]]*100,1)</f>
        <v>26.9</v>
      </c>
      <c r="O109" s="23">
        <v>6</v>
      </c>
      <c r="P109" s="23">
        <v>6</v>
      </c>
      <c r="Q109" s="45">
        <v>2</v>
      </c>
      <c r="R109" s="23">
        <v>0</v>
      </c>
      <c r="S109" s="23">
        <v>7</v>
      </c>
      <c r="T109" s="46">
        <f>ROUND(Table134[[#This Row],['#punten]]/Table134[[#This Row],['#Wed]],2)</f>
        <v>82.63</v>
      </c>
      <c r="U109" s="24">
        <f>ROUND(Table134[[#This Row],['#punten]]/Table134[[#This Row],['#minuten]],2)</f>
        <v>0.96</v>
      </c>
      <c r="V109" s="23">
        <f>ROUND(Table134[[#This Row],['#punten]]/(Table134[[#This Row],['#minuten]]/90),2)</f>
        <v>86.26</v>
      </c>
      <c r="W109" s="23">
        <f>ROUND(Table134[[#This Row],[Prijs]]/Table134[[#This Row],['#punten]],0)</f>
        <v>2548</v>
      </c>
      <c r="X109" s="27">
        <f>ROUND((Table134[[#This Row],[Goals]]+Table134[[#This Row],[Asissts]])/(Table134[[#This Row],['#minuten]]/90),2)</f>
        <v>0.66</v>
      </c>
    </row>
    <row r="110" spans="1:26" x14ac:dyDescent="0.2">
      <c r="A110" s="39" t="s">
        <v>121</v>
      </c>
      <c r="B110" s="21" t="s">
        <v>45</v>
      </c>
      <c r="C110" s="22">
        <v>4500000</v>
      </c>
      <c r="D110" s="23" t="s">
        <v>140</v>
      </c>
      <c r="E110" s="23">
        <v>25</v>
      </c>
      <c r="F110" s="23" t="s">
        <v>141</v>
      </c>
      <c r="G110" s="44">
        <v>1514</v>
      </c>
      <c r="H110" s="45">
        <v>338</v>
      </c>
      <c r="I110" s="45">
        <f>ROUND(Table134[[#This Row],[laatste 5 wed.]]/Table134[[#This Row],['#punten]]*100,1)</f>
        <v>22.3</v>
      </c>
      <c r="J110" s="23">
        <v>17</v>
      </c>
      <c r="K110" s="23">
        <v>17</v>
      </c>
      <c r="L110" s="23">
        <v>1353</v>
      </c>
      <c r="M110" s="23">
        <v>240</v>
      </c>
      <c r="N110" s="23">
        <f>ROUND(Table134[[#This Row],[Min laatste 5]]/Table134[[#This Row],['#minuten]]*100,1)</f>
        <v>17.7</v>
      </c>
      <c r="O110" s="23">
        <v>5</v>
      </c>
      <c r="P110" s="23">
        <v>8</v>
      </c>
      <c r="Q110" s="45">
        <v>0</v>
      </c>
      <c r="R110" s="23">
        <v>0</v>
      </c>
      <c r="S110" s="23">
        <v>6</v>
      </c>
      <c r="T110" s="46">
        <f>ROUND(Table134[[#This Row],['#punten]]/Table134[[#This Row],['#Wed]],2)</f>
        <v>89.06</v>
      </c>
      <c r="U110" s="24">
        <f>ROUND(Table134[[#This Row],['#punten]]/Table134[[#This Row],['#minuten]],2)</f>
        <v>1.1200000000000001</v>
      </c>
      <c r="V110" s="23">
        <f>ROUND(Table134[[#This Row],['#punten]]/(Table134[[#This Row],['#minuten]]/90),2)</f>
        <v>100.71</v>
      </c>
      <c r="W110" s="23">
        <f>ROUND(Table134[[#This Row],[Prijs]]/Table134[[#This Row],['#punten]],0)</f>
        <v>2972</v>
      </c>
      <c r="X110" s="27">
        <f>ROUND((Table134[[#This Row],[Goals]]+Table134[[#This Row],[Asissts]])/(Table134[[#This Row],['#minuten]]/90),2)</f>
        <v>0.86</v>
      </c>
    </row>
    <row r="111" spans="1:26" x14ac:dyDescent="0.2">
      <c r="A111" s="39" t="s">
        <v>32</v>
      </c>
      <c r="B111" s="28" t="s">
        <v>45</v>
      </c>
      <c r="C111" s="29">
        <v>3000000</v>
      </c>
      <c r="D111" s="30" t="s">
        <v>140</v>
      </c>
      <c r="E111" s="30">
        <v>24</v>
      </c>
      <c r="F111" s="30" t="s">
        <v>141</v>
      </c>
      <c r="G111" s="47">
        <v>1044</v>
      </c>
      <c r="H111" s="48">
        <v>274</v>
      </c>
      <c r="I111" s="45">
        <f>ROUND(Table134[[#This Row],[laatste 5 wed.]]/Table134[[#This Row],['#punten]]*100,1)</f>
        <v>26.2</v>
      </c>
      <c r="J111" s="30">
        <v>18</v>
      </c>
      <c r="K111" s="30">
        <v>18</v>
      </c>
      <c r="L111" s="30">
        <v>1601</v>
      </c>
      <c r="M111" s="30">
        <v>450</v>
      </c>
      <c r="N111" s="23">
        <f>ROUND(Table134[[#This Row],[Min laatste 5]]/Table134[[#This Row],['#minuten]]*100,1)</f>
        <v>28.1</v>
      </c>
      <c r="O111" s="30">
        <v>2</v>
      </c>
      <c r="P111" s="30">
        <v>2</v>
      </c>
      <c r="Q111" s="48">
        <v>2</v>
      </c>
      <c r="R111" s="30">
        <v>0</v>
      </c>
      <c r="S111" s="30">
        <v>7</v>
      </c>
      <c r="T111" s="49">
        <f>ROUND(Table134[[#This Row],['#punten]]/Table134[[#This Row],['#Wed]],2)</f>
        <v>58</v>
      </c>
      <c r="U111" s="31">
        <f>ROUND(Table134[[#This Row],['#punten]]/Table134[[#This Row],['#minuten]],2)</f>
        <v>0.65</v>
      </c>
      <c r="V111" s="30">
        <f>ROUND(Table134[[#This Row],['#punten]]/(Table134[[#This Row],['#minuten]]/90),2)</f>
        <v>58.69</v>
      </c>
      <c r="W111" s="30">
        <f>ROUND(Table134[[#This Row],[Prijs]]/Table134[[#This Row],['#punten]],0)</f>
        <v>2874</v>
      </c>
      <c r="X111" s="34">
        <f>ROUND((Table134[[#This Row],[Goals]]+Table134[[#This Row],[Asissts]])/(Table134[[#This Row],['#minuten]]/90),2)</f>
        <v>0.22</v>
      </c>
    </row>
    <row r="112" spans="1:26" x14ac:dyDescent="0.2">
      <c r="A112" s="39" t="s">
        <v>212</v>
      </c>
      <c r="B112" s="28" t="s">
        <v>46</v>
      </c>
      <c r="C112" s="29">
        <v>2000000</v>
      </c>
      <c r="D112" s="30" t="s">
        <v>140</v>
      </c>
      <c r="E112" s="30">
        <v>27</v>
      </c>
      <c r="F112" s="30" t="s">
        <v>153</v>
      </c>
      <c r="G112" s="47">
        <v>818</v>
      </c>
      <c r="H112" s="48">
        <v>194</v>
      </c>
      <c r="I112" s="45">
        <f>ROUND(Table134[[#This Row],[laatste 5 wed.]]/Table134[[#This Row],['#punten]]*100,1)</f>
        <v>23.7</v>
      </c>
      <c r="J112" s="30">
        <v>19</v>
      </c>
      <c r="K112" s="30">
        <v>19</v>
      </c>
      <c r="L112" s="30">
        <v>1592</v>
      </c>
      <c r="M112" s="30">
        <v>390</v>
      </c>
      <c r="N112" s="23">
        <f>ROUND(Table134[[#This Row],[Min laatste 5]]/Table134[[#This Row],['#minuten]]*100,1)</f>
        <v>24.5</v>
      </c>
      <c r="O112" s="30">
        <v>2</v>
      </c>
      <c r="P112" s="30">
        <v>2</v>
      </c>
      <c r="Q112" s="48">
        <v>1</v>
      </c>
      <c r="R112" s="30">
        <v>0</v>
      </c>
      <c r="S112" s="30">
        <v>6</v>
      </c>
      <c r="T112" s="49">
        <f>ROUND(Table134[[#This Row],['#punten]]/Table134[[#This Row],['#Wed]],2)</f>
        <v>43.05</v>
      </c>
      <c r="U112" s="31">
        <f>ROUND(Table134[[#This Row],['#punten]]/Table134[[#This Row],['#minuten]],2)</f>
        <v>0.51</v>
      </c>
      <c r="V112" s="30">
        <f>ROUND(Table134[[#This Row],['#punten]]/(Table134[[#This Row],['#minuten]]/90),2)</f>
        <v>46.24</v>
      </c>
      <c r="W112" s="30">
        <f>ROUND(Table134[[#This Row],[Prijs]]/Table134[[#This Row],['#punten]],0)</f>
        <v>2445</v>
      </c>
      <c r="X112" s="34">
        <f>ROUND((Table134[[#This Row],[Goals]]+Table134[[#This Row],[Asissts]])/(Table134[[#This Row],['#minuten]]/90),2)</f>
        <v>0.23</v>
      </c>
      <c r="Y112" s="38"/>
    </row>
    <row r="113" spans="1:26" x14ac:dyDescent="0.2">
      <c r="A113" s="39" t="s">
        <v>213</v>
      </c>
      <c r="B113" s="28" t="s">
        <v>46</v>
      </c>
      <c r="C113" s="29">
        <v>1250000</v>
      </c>
      <c r="D113" s="30" t="s">
        <v>140</v>
      </c>
      <c r="E113" s="30">
        <v>24</v>
      </c>
      <c r="F113" s="30" t="s">
        <v>141</v>
      </c>
      <c r="G113" s="47">
        <v>546</v>
      </c>
      <c r="H113" s="48">
        <v>74</v>
      </c>
      <c r="I113" s="45">
        <f>ROUND(Table134[[#This Row],[laatste 5 wed.]]/Table134[[#This Row],['#punten]]*100,1)</f>
        <v>13.6</v>
      </c>
      <c r="J113" s="30">
        <v>16</v>
      </c>
      <c r="K113" s="30">
        <v>15</v>
      </c>
      <c r="L113" s="30">
        <v>1385</v>
      </c>
      <c r="M113" s="30">
        <v>170</v>
      </c>
      <c r="N113" s="23">
        <f>ROUND(Table134[[#This Row],[Min laatste 5]]/Table134[[#This Row],['#minuten]]*100,1)</f>
        <v>12.3</v>
      </c>
      <c r="O113" s="30">
        <v>1</v>
      </c>
      <c r="P113" s="30">
        <v>0</v>
      </c>
      <c r="Q113" s="48">
        <v>3</v>
      </c>
      <c r="R113" s="30">
        <v>0</v>
      </c>
      <c r="S113" s="30">
        <v>4</v>
      </c>
      <c r="T113" s="49">
        <f>ROUND(Table134[[#This Row],['#punten]]/Table134[[#This Row],['#Wed]],2)</f>
        <v>34.130000000000003</v>
      </c>
      <c r="U113" s="31">
        <f>ROUND(Table134[[#This Row],['#punten]]/Table134[[#This Row],['#minuten]],2)</f>
        <v>0.39</v>
      </c>
      <c r="V113" s="30">
        <f>ROUND(Table134[[#This Row],['#punten]]/(Table134[[#This Row],['#minuten]]/90),2)</f>
        <v>35.479999999999997</v>
      </c>
      <c r="W113" s="30">
        <f>ROUND(Table134[[#This Row],[Prijs]]/Table134[[#This Row],['#punten]],0)</f>
        <v>2289</v>
      </c>
      <c r="X113" s="34">
        <f>ROUND((Table134[[#This Row],[Goals]]+Table134[[#This Row],[Asissts]])/(Table134[[#This Row],['#minuten]]/90),2)</f>
        <v>0.06</v>
      </c>
      <c r="Y113" s="38"/>
      <c r="Z113" t="s">
        <v>659</v>
      </c>
    </row>
    <row r="114" spans="1:26" x14ac:dyDescent="0.2">
      <c r="A114" s="39" t="s">
        <v>214</v>
      </c>
      <c r="B114" s="28" t="s">
        <v>46</v>
      </c>
      <c r="C114" s="29">
        <v>1250000</v>
      </c>
      <c r="D114" s="30" t="s">
        <v>140</v>
      </c>
      <c r="E114" s="30">
        <v>25</v>
      </c>
      <c r="F114" s="30" t="s">
        <v>160</v>
      </c>
      <c r="G114" s="47">
        <v>526</v>
      </c>
      <c r="H114" s="48">
        <v>120</v>
      </c>
      <c r="I114" s="45">
        <f>ROUND(Table134[[#This Row],[laatste 5 wed.]]/Table134[[#This Row],['#punten]]*100,1)</f>
        <v>22.8</v>
      </c>
      <c r="J114" s="30">
        <v>18</v>
      </c>
      <c r="K114" s="30">
        <v>14</v>
      </c>
      <c r="L114" s="30">
        <v>1239</v>
      </c>
      <c r="M114" s="30">
        <v>294</v>
      </c>
      <c r="N114" s="23">
        <f>ROUND(Table134[[#This Row],[Min laatste 5]]/Table134[[#This Row],['#minuten]]*100,1)</f>
        <v>23.7</v>
      </c>
      <c r="O114" s="30">
        <v>1</v>
      </c>
      <c r="P114" s="30">
        <v>0</v>
      </c>
      <c r="Q114" s="48">
        <v>4</v>
      </c>
      <c r="R114" s="30">
        <v>0</v>
      </c>
      <c r="S114" s="30">
        <v>5</v>
      </c>
      <c r="T114" s="49">
        <f>ROUND(Table134[[#This Row],['#punten]]/Table134[[#This Row],['#Wed]],2)</f>
        <v>29.22</v>
      </c>
      <c r="U114" s="31">
        <f>ROUND(Table134[[#This Row],['#punten]]/Table134[[#This Row],['#minuten]],2)</f>
        <v>0.42</v>
      </c>
      <c r="V114" s="30">
        <f>ROUND(Table134[[#This Row],['#punten]]/(Table134[[#This Row],['#minuten]]/90),2)</f>
        <v>38.21</v>
      </c>
      <c r="W114" s="30">
        <f>ROUND(Table134[[#This Row],[Prijs]]/Table134[[#This Row],['#punten]],0)</f>
        <v>2376</v>
      </c>
      <c r="X114" s="34">
        <f>ROUND((Table134[[#This Row],[Goals]]+Table134[[#This Row],[Asissts]])/(Table134[[#This Row],['#minuten]]/90),2)</f>
        <v>7.0000000000000007E-2</v>
      </c>
      <c r="Y114" s="38"/>
    </row>
    <row r="115" spans="1:26" x14ac:dyDescent="0.2">
      <c r="A115" s="39" t="s">
        <v>601</v>
      </c>
      <c r="B115" s="28" t="s">
        <v>46</v>
      </c>
      <c r="C115" s="29">
        <v>750000</v>
      </c>
      <c r="D115" s="30" t="s">
        <v>140</v>
      </c>
      <c r="E115" s="30">
        <v>26</v>
      </c>
      <c r="F115" s="30" t="s">
        <v>200</v>
      </c>
      <c r="G115" s="47">
        <v>304</v>
      </c>
      <c r="H115" s="48">
        <v>258</v>
      </c>
      <c r="I115" s="45">
        <f>ROUND(Table134[[#This Row],[laatste 5 wed.]]/Table134[[#This Row],['#punten]]*100,1)</f>
        <v>84.9</v>
      </c>
      <c r="J115" s="30">
        <v>12</v>
      </c>
      <c r="K115" s="30">
        <v>6</v>
      </c>
      <c r="L115" s="30">
        <v>473</v>
      </c>
      <c r="M115" s="30">
        <v>355</v>
      </c>
      <c r="N115" s="23">
        <f>ROUND(Table134[[#This Row],[Min laatste 5]]/Table134[[#This Row],['#minuten]]*100,1)</f>
        <v>75.099999999999994</v>
      </c>
      <c r="O115" s="30">
        <v>0</v>
      </c>
      <c r="P115" s="30">
        <v>1</v>
      </c>
      <c r="Q115" s="48">
        <v>0</v>
      </c>
      <c r="R115" s="30">
        <v>0</v>
      </c>
      <c r="S115" s="30">
        <v>3</v>
      </c>
      <c r="T115" s="49">
        <f>ROUND(Table134[[#This Row],['#punten]]/Table134[[#This Row],['#Wed]],2)</f>
        <v>25.33</v>
      </c>
      <c r="U115" s="47">
        <f>ROUND(Table134[[#This Row],['#punten]]/Table134[[#This Row],['#minuten]],2)</f>
        <v>0.64</v>
      </c>
      <c r="V115" s="30">
        <f>ROUND(Table134[[#This Row],['#punten]]/(Table134[[#This Row],['#minuten]]/90),2)</f>
        <v>57.84</v>
      </c>
      <c r="W115" s="30">
        <f>ROUND(Table134[[#This Row],[Prijs]]/Table134[[#This Row],['#punten]],0)</f>
        <v>2467</v>
      </c>
      <c r="X115" s="34">
        <f>ROUND((Table134[[#This Row],[Goals]]+Table134[[#This Row],[Asissts]])/(Table134[[#This Row],['#minuten]]/90),2)</f>
        <v>0.19</v>
      </c>
      <c r="Y115" s="38"/>
    </row>
    <row r="116" spans="1:26" x14ac:dyDescent="0.2">
      <c r="A116" s="39" t="s">
        <v>602</v>
      </c>
      <c r="B116" s="28" t="s">
        <v>46</v>
      </c>
      <c r="C116" s="29">
        <v>750000</v>
      </c>
      <c r="D116" s="30" t="s">
        <v>140</v>
      </c>
      <c r="E116" s="30">
        <v>26</v>
      </c>
      <c r="F116" s="30" t="s">
        <v>603</v>
      </c>
      <c r="G116" s="47">
        <v>78</v>
      </c>
      <c r="H116" s="48">
        <v>54</v>
      </c>
      <c r="I116" s="45">
        <f>ROUND(Table134[[#This Row],[laatste 5 wed.]]/Table134[[#This Row],['#punten]]*100,1)</f>
        <v>69.2</v>
      </c>
      <c r="J116" s="30">
        <v>13</v>
      </c>
      <c r="K116" s="30">
        <v>2</v>
      </c>
      <c r="L116" s="30">
        <v>349</v>
      </c>
      <c r="M116" s="30">
        <v>249</v>
      </c>
      <c r="N116" s="23">
        <f>ROUND(Table134[[#This Row],[Min laatste 5]]/Table134[[#This Row],['#minuten]]*100,1)</f>
        <v>71.3</v>
      </c>
      <c r="O116" s="30">
        <v>0</v>
      </c>
      <c r="P116" s="30">
        <v>0</v>
      </c>
      <c r="Q116" s="48">
        <v>1</v>
      </c>
      <c r="R116" s="30">
        <v>0</v>
      </c>
      <c r="S116" s="30">
        <v>1</v>
      </c>
      <c r="T116" s="49">
        <f>ROUND(Table134[[#This Row],['#punten]]/Table134[[#This Row],['#Wed]],2)</f>
        <v>6</v>
      </c>
      <c r="U116" s="47">
        <f>ROUND(Table134[[#This Row],['#punten]]/Table134[[#This Row],['#minuten]],2)</f>
        <v>0.22</v>
      </c>
      <c r="V116" s="30">
        <f>ROUND(Table134[[#This Row],['#punten]]/(Table134[[#This Row],['#minuten]]/90),2)</f>
        <v>20.11</v>
      </c>
      <c r="W116" s="30">
        <f>ROUND(Table134[[#This Row],[Prijs]]/Table134[[#This Row],['#punten]],0)</f>
        <v>9615</v>
      </c>
      <c r="X116" s="34">
        <f>ROUND((Table134[[#This Row],[Goals]]+Table134[[#This Row],[Asissts]])/(Table134[[#This Row],['#minuten]]/90),2)</f>
        <v>0</v>
      </c>
      <c r="Y116" s="38"/>
    </row>
    <row r="117" spans="1:26" x14ac:dyDescent="0.2">
      <c r="A117" s="39" t="s">
        <v>217</v>
      </c>
      <c r="B117" s="21" t="s">
        <v>39</v>
      </c>
      <c r="C117" s="22">
        <v>2500000</v>
      </c>
      <c r="D117" s="23" t="s">
        <v>140</v>
      </c>
      <c r="E117" s="23">
        <v>25</v>
      </c>
      <c r="F117" s="23" t="s">
        <v>218</v>
      </c>
      <c r="G117" s="44">
        <v>1266</v>
      </c>
      <c r="H117" s="45">
        <v>278</v>
      </c>
      <c r="I117" s="45">
        <f>ROUND(Table134[[#This Row],[laatste 5 wed.]]/Table134[[#This Row],['#punten]]*100,1)</f>
        <v>22</v>
      </c>
      <c r="J117" s="23">
        <v>19</v>
      </c>
      <c r="K117" s="23">
        <v>19</v>
      </c>
      <c r="L117" s="23">
        <v>1678</v>
      </c>
      <c r="M117" s="23">
        <v>450</v>
      </c>
      <c r="N117" s="23">
        <f>ROUND(Table134[[#This Row],[Min laatste 5]]/Table134[[#This Row],['#minuten]]*100,1)</f>
        <v>26.8</v>
      </c>
      <c r="O117" s="23">
        <v>6</v>
      </c>
      <c r="P117" s="23">
        <v>2</v>
      </c>
      <c r="Q117" s="45">
        <v>1</v>
      </c>
      <c r="R117" s="23">
        <v>0</v>
      </c>
      <c r="S117" s="23">
        <v>6</v>
      </c>
      <c r="T117" s="46">
        <f>ROUND(Table134[[#This Row],['#punten]]/Table134[[#This Row],['#Wed]],2)</f>
        <v>66.63</v>
      </c>
      <c r="U117" s="24">
        <f>ROUND(Table134[[#This Row],['#punten]]/Table134[[#This Row],['#minuten]],2)</f>
        <v>0.75</v>
      </c>
      <c r="V117" s="23">
        <f>ROUND(Table134[[#This Row],['#punten]]/(Table134[[#This Row],['#minuten]]/90),2)</f>
        <v>67.900000000000006</v>
      </c>
      <c r="W117" s="23">
        <f>ROUND(Table134[[#This Row],[Prijs]]/Table134[[#This Row],['#punten]],0)</f>
        <v>1975</v>
      </c>
      <c r="X117" s="27">
        <f>ROUND((Table134[[#This Row],[Goals]]+Table134[[#This Row],[Asissts]])/(Table134[[#This Row],['#minuten]]/90),2)</f>
        <v>0.43</v>
      </c>
    </row>
    <row r="118" spans="1:26" x14ac:dyDescent="0.2">
      <c r="A118" s="39" t="s">
        <v>219</v>
      </c>
      <c r="B118" s="62" t="s">
        <v>39</v>
      </c>
      <c r="C118" s="63">
        <v>2500000</v>
      </c>
      <c r="D118" s="60" t="s">
        <v>140</v>
      </c>
      <c r="E118" s="60">
        <v>26</v>
      </c>
      <c r="F118" s="60" t="s">
        <v>167</v>
      </c>
      <c r="G118" s="91">
        <v>1094</v>
      </c>
      <c r="H118" s="86">
        <v>82</v>
      </c>
      <c r="I118" s="45">
        <f>ROUND(Table134[[#This Row],[laatste 5 wed.]]/Table134[[#This Row],['#punten]]*100,1)</f>
        <v>7.5</v>
      </c>
      <c r="J118" s="60">
        <v>17</v>
      </c>
      <c r="K118" s="60">
        <v>17</v>
      </c>
      <c r="L118" s="60">
        <v>1443</v>
      </c>
      <c r="M118" s="60">
        <v>264</v>
      </c>
      <c r="N118" s="23">
        <f>ROUND(Table134[[#This Row],[Min laatste 5]]/Table134[[#This Row],['#minuten]]*100,1)</f>
        <v>18.3</v>
      </c>
      <c r="O118" s="60">
        <v>4</v>
      </c>
      <c r="P118" s="60">
        <v>4</v>
      </c>
      <c r="Q118" s="86">
        <v>1</v>
      </c>
      <c r="R118" s="60">
        <v>0</v>
      </c>
      <c r="S118" s="60">
        <v>5</v>
      </c>
      <c r="T118" s="93">
        <f>ROUND(Table134[[#This Row],['#punten]]/Table134[[#This Row],['#Wed]],2)</f>
        <v>64.349999999999994</v>
      </c>
      <c r="U118" s="58">
        <f>ROUND(Table134[[#This Row],['#punten]]/Table134[[#This Row],['#minuten]],2)</f>
        <v>0.76</v>
      </c>
      <c r="V118" s="60">
        <f>ROUND(Table134[[#This Row],['#punten]]/(Table134[[#This Row],['#minuten]]/90),2)</f>
        <v>68.23</v>
      </c>
      <c r="W118" s="60">
        <f>ROUND(Table134[[#This Row],[Prijs]]/Table134[[#This Row],['#punten]],0)</f>
        <v>2285</v>
      </c>
      <c r="X118" s="61">
        <f>ROUND((Table134[[#This Row],[Goals]]+Table134[[#This Row],[Asissts]])/(Table134[[#This Row],['#minuten]]/90),2)</f>
        <v>0.5</v>
      </c>
      <c r="Z118" t="s">
        <v>654</v>
      </c>
    </row>
    <row r="119" spans="1:26" x14ac:dyDescent="0.2">
      <c r="A119" s="39" t="s">
        <v>608</v>
      </c>
      <c r="B119" s="21" t="s">
        <v>39</v>
      </c>
      <c r="C119" s="22">
        <v>750000</v>
      </c>
      <c r="D119" s="23" t="s">
        <v>140</v>
      </c>
      <c r="E119" s="23">
        <v>22</v>
      </c>
      <c r="F119" s="23" t="s">
        <v>141</v>
      </c>
      <c r="G119" s="44">
        <v>332</v>
      </c>
      <c r="H119" s="45">
        <v>142</v>
      </c>
      <c r="I119" s="45">
        <f>ROUND(Table134[[#This Row],[laatste 5 wed.]]/Table134[[#This Row],['#punten]]*100,1)</f>
        <v>42.8</v>
      </c>
      <c r="J119" s="23">
        <v>15</v>
      </c>
      <c r="K119" s="23">
        <v>4</v>
      </c>
      <c r="L119" s="23">
        <v>615</v>
      </c>
      <c r="M119" s="23">
        <v>350</v>
      </c>
      <c r="N119" s="23">
        <f>ROUND(Table134[[#This Row],[Min laatste 5]]/Table134[[#This Row],['#minuten]]*100,1)</f>
        <v>56.9</v>
      </c>
      <c r="O119" s="23">
        <v>1</v>
      </c>
      <c r="P119" s="23">
        <v>1</v>
      </c>
      <c r="Q119" s="45">
        <v>1</v>
      </c>
      <c r="R119" s="23">
        <v>0</v>
      </c>
      <c r="S119" s="23">
        <v>1</v>
      </c>
      <c r="T119" s="46">
        <f>ROUND(Table134[[#This Row],['#punten]]/Table134[[#This Row],['#Wed]],2)</f>
        <v>22.13</v>
      </c>
      <c r="U119" s="44">
        <f>ROUND(Table134[[#This Row],['#punten]]/Table134[[#This Row],['#minuten]],2)</f>
        <v>0.54</v>
      </c>
      <c r="V119" s="23">
        <f>ROUND(Table134[[#This Row],['#punten]]/(Table134[[#This Row],['#minuten]]/90),2)</f>
        <v>48.59</v>
      </c>
      <c r="W119" s="23">
        <f>ROUND(Table134[[#This Row],[Prijs]]/Table134[[#This Row],['#punten]],0)</f>
        <v>2259</v>
      </c>
      <c r="X119" s="27">
        <f>ROUND((Table134[[#This Row],[Goals]]+Table134[[#This Row],[Asissts]])/(Table134[[#This Row],['#minuten]]/90),2)</f>
        <v>0.28999999999999998</v>
      </c>
      <c r="Y119" s="38"/>
    </row>
    <row r="120" spans="1:26" x14ac:dyDescent="0.2">
      <c r="A120" s="39" t="s">
        <v>609</v>
      </c>
      <c r="B120" s="21" t="s">
        <v>39</v>
      </c>
      <c r="C120" s="22">
        <v>500000</v>
      </c>
      <c r="D120" s="23" t="s">
        <v>140</v>
      </c>
      <c r="E120" s="23">
        <v>21</v>
      </c>
      <c r="F120" s="23" t="s">
        <v>167</v>
      </c>
      <c r="G120" s="44">
        <v>26</v>
      </c>
      <c r="H120" s="45">
        <v>22</v>
      </c>
      <c r="I120" s="45">
        <f>ROUND(Table134[[#This Row],[laatste 5 wed.]]/Table134[[#This Row],['#punten]]*100,1)</f>
        <v>84.6</v>
      </c>
      <c r="J120" s="23">
        <v>3</v>
      </c>
      <c r="K120" s="23">
        <v>1</v>
      </c>
      <c r="L120" s="23">
        <v>126</v>
      </c>
      <c r="M120" s="23">
        <v>83</v>
      </c>
      <c r="N120" s="23">
        <f>ROUND(Table134[[#This Row],[Min laatste 5]]/Table134[[#This Row],['#minuten]]*100,1)</f>
        <v>65.900000000000006</v>
      </c>
      <c r="O120" s="23">
        <v>0</v>
      </c>
      <c r="P120" s="23">
        <v>0</v>
      </c>
      <c r="Q120" s="45">
        <v>0</v>
      </c>
      <c r="R120" s="23">
        <v>0</v>
      </c>
      <c r="S120" s="23">
        <v>0</v>
      </c>
      <c r="T120" s="46">
        <f>ROUND(Table134[[#This Row],['#punten]]/Table134[[#This Row],['#Wed]],2)</f>
        <v>8.67</v>
      </c>
      <c r="U120" s="44">
        <f>ROUND(Table134[[#This Row],['#punten]]/Table134[[#This Row],['#minuten]],2)</f>
        <v>0.21</v>
      </c>
      <c r="V120" s="23">
        <f>ROUND(Table134[[#This Row],['#punten]]/(Table134[[#This Row],['#minuten]]/90),2)</f>
        <v>18.57</v>
      </c>
      <c r="W120" s="23">
        <f>ROUND(Table134[[#This Row],[Prijs]]/Table134[[#This Row],['#punten]],0)</f>
        <v>19231</v>
      </c>
      <c r="X120" s="27">
        <f>ROUND((Table134[[#This Row],[Goals]]+Table134[[#This Row],[Asissts]])/(Table134[[#This Row],['#minuten]]/90),2)</f>
        <v>0</v>
      </c>
      <c r="Y120" s="38"/>
    </row>
    <row r="121" spans="1:26" x14ac:dyDescent="0.2">
      <c r="A121" s="39" t="s">
        <v>233</v>
      </c>
      <c r="B121" s="28" t="s">
        <v>48</v>
      </c>
      <c r="C121" s="29">
        <v>1500000</v>
      </c>
      <c r="D121" s="30" t="s">
        <v>140</v>
      </c>
      <c r="E121" s="30">
        <v>25</v>
      </c>
      <c r="F121" s="30" t="s">
        <v>141</v>
      </c>
      <c r="G121" s="47">
        <v>742</v>
      </c>
      <c r="H121" s="48">
        <v>148</v>
      </c>
      <c r="I121" s="45">
        <f>ROUND(Table134[[#This Row],[laatste 5 wed.]]/Table134[[#This Row],['#punten]]*100,1)</f>
        <v>19.899999999999999</v>
      </c>
      <c r="J121" s="30">
        <v>17</v>
      </c>
      <c r="K121" s="30">
        <v>16</v>
      </c>
      <c r="L121" s="30">
        <v>1371</v>
      </c>
      <c r="M121" s="30">
        <v>440</v>
      </c>
      <c r="N121" s="23">
        <f>ROUND(Table134[[#This Row],[Min laatste 5]]/Table134[[#This Row],['#minuten]]*100,1)</f>
        <v>32.1</v>
      </c>
      <c r="O121" s="30">
        <v>4</v>
      </c>
      <c r="P121" s="30">
        <v>1</v>
      </c>
      <c r="Q121" s="48">
        <v>3</v>
      </c>
      <c r="R121" s="30">
        <v>0</v>
      </c>
      <c r="S121" s="30">
        <v>3</v>
      </c>
      <c r="T121" s="49">
        <f>ROUND(Table134[[#This Row],['#punten]]/Table134[[#This Row],['#Wed]],2)</f>
        <v>43.65</v>
      </c>
      <c r="U121" s="31">
        <f>ROUND(Table134[[#This Row],['#punten]]/Table134[[#This Row],['#minuten]],2)</f>
        <v>0.54</v>
      </c>
      <c r="V121" s="30">
        <f>ROUND(Table134[[#This Row],['#punten]]/(Table134[[#This Row],['#minuten]]/90),2)</f>
        <v>48.71</v>
      </c>
      <c r="W121" s="30">
        <f>ROUND(Table134[[#This Row],[Prijs]]/Table134[[#This Row],['#punten]],0)</f>
        <v>2022</v>
      </c>
      <c r="X121" s="34">
        <f>ROUND((Table134[[#This Row],[Goals]]+Table134[[#This Row],[Asissts]])/(Table134[[#This Row],['#minuten]]/90),2)</f>
        <v>0.33</v>
      </c>
      <c r="Y121" s="38"/>
    </row>
    <row r="122" spans="1:26" x14ac:dyDescent="0.2">
      <c r="A122" s="39" t="s">
        <v>235</v>
      </c>
      <c r="B122" s="21" t="s">
        <v>48</v>
      </c>
      <c r="C122" s="22">
        <v>1750000</v>
      </c>
      <c r="D122" s="23" t="s">
        <v>140</v>
      </c>
      <c r="E122" s="23">
        <v>26</v>
      </c>
      <c r="F122" s="23" t="s">
        <v>187</v>
      </c>
      <c r="G122" s="44">
        <v>738</v>
      </c>
      <c r="H122" s="45">
        <v>68</v>
      </c>
      <c r="I122" s="45">
        <f>ROUND(Table134[[#This Row],[laatste 5 wed.]]/Table134[[#This Row],['#punten]]*100,1)</f>
        <v>9.1999999999999993</v>
      </c>
      <c r="J122" s="23">
        <v>19</v>
      </c>
      <c r="K122" s="23">
        <v>19</v>
      </c>
      <c r="L122" s="23">
        <v>1644</v>
      </c>
      <c r="M122" s="23">
        <v>425</v>
      </c>
      <c r="N122" s="23">
        <f>ROUND(Table134[[#This Row],[Min laatste 5]]/Table134[[#This Row],['#minuten]]*100,1)</f>
        <v>25.9</v>
      </c>
      <c r="O122" s="23">
        <v>1</v>
      </c>
      <c r="P122" s="23">
        <v>3</v>
      </c>
      <c r="Q122" s="45">
        <v>2</v>
      </c>
      <c r="R122" s="23">
        <v>0</v>
      </c>
      <c r="S122" s="23">
        <v>4</v>
      </c>
      <c r="T122" s="46">
        <f>ROUND(Table134[[#This Row],['#punten]]/Table134[[#This Row],['#Wed]],2)</f>
        <v>38.840000000000003</v>
      </c>
      <c r="U122" s="24">
        <f>ROUND(Table134[[#This Row],['#punten]]/Table134[[#This Row],['#minuten]],2)</f>
        <v>0.45</v>
      </c>
      <c r="V122" s="23">
        <f>ROUND(Table134[[#This Row],['#punten]]/(Table134[[#This Row],['#minuten]]/90),2)</f>
        <v>40.4</v>
      </c>
      <c r="W122" s="23">
        <f>ROUND(Table134[[#This Row],[Prijs]]/Table134[[#This Row],['#punten]],0)</f>
        <v>2371</v>
      </c>
      <c r="X122" s="27">
        <f>ROUND((Table134[[#This Row],[Goals]]+Table134[[#This Row],[Asissts]])/(Table134[[#This Row],['#minuten]]/90),2)</f>
        <v>0.22</v>
      </c>
    </row>
    <row r="123" spans="1:26" x14ac:dyDescent="0.2">
      <c r="A123" s="39" t="s">
        <v>232</v>
      </c>
      <c r="B123" s="28" t="s">
        <v>48</v>
      </c>
      <c r="C123" s="29">
        <v>1500000</v>
      </c>
      <c r="D123" s="30" t="s">
        <v>140</v>
      </c>
      <c r="E123" s="30">
        <v>28</v>
      </c>
      <c r="F123" s="30" t="s">
        <v>141</v>
      </c>
      <c r="G123" s="47">
        <v>636</v>
      </c>
      <c r="H123" s="48">
        <v>46</v>
      </c>
      <c r="I123" s="45">
        <f>ROUND(Table134[[#This Row],[laatste 5 wed.]]/Table134[[#This Row],['#punten]]*100,1)</f>
        <v>7.2</v>
      </c>
      <c r="J123" s="30">
        <v>17</v>
      </c>
      <c r="K123" s="30">
        <v>16</v>
      </c>
      <c r="L123" s="30">
        <v>1445</v>
      </c>
      <c r="M123" s="30">
        <v>371</v>
      </c>
      <c r="N123" s="23">
        <f>ROUND(Table134[[#This Row],[Min laatste 5]]/Table134[[#This Row],['#minuten]]*100,1)</f>
        <v>25.7</v>
      </c>
      <c r="O123" s="30">
        <v>2</v>
      </c>
      <c r="P123" s="30">
        <v>1</v>
      </c>
      <c r="Q123" s="48">
        <v>3</v>
      </c>
      <c r="R123" s="30">
        <v>1</v>
      </c>
      <c r="S123" s="30">
        <v>4</v>
      </c>
      <c r="T123" s="49">
        <f>ROUND(Table134[[#This Row],['#punten]]/Table134[[#This Row],['#Wed]],2)</f>
        <v>37.409999999999997</v>
      </c>
      <c r="U123" s="31">
        <f>ROUND(Table134[[#This Row],['#punten]]/Table134[[#This Row],['#minuten]],2)</f>
        <v>0.44</v>
      </c>
      <c r="V123" s="30">
        <f>ROUND(Table134[[#This Row],['#punten]]/(Table134[[#This Row],['#minuten]]/90),2)</f>
        <v>39.61</v>
      </c>
      <c r="W123" s="30">
        <f>ROUND(Table134[[#This Row],[Prijs]]/Table134[[#This Row],['#punten]],0)</f>
        <v>2358</v>
      </c>
      <c r="X123" s="34">
        <f>ROUND((Table134[[#This Row],[Goals]]+Table134[[#This Row],[Asissts]])/(Table134[[#This Row],['#minuten]]/90),2)</f>
        <v>0.19</v>
      </c>
      <c r="Y123" s="38"/>
      <c r="Z123" t="s">
        <v>635</v>
      </c>
    </row>
    <row r="124" spans="1:26" x14ac:dyDescent="0.2">
      <c r="A124" s="39" t="s">
        <v>234</v>
      </c>
      <c r="B124" s="28" t="s">
        <v>48</v>
      </c>
      <c r="C124" s="29">
        <v>2500000</v>
      </c>
      <c r="D124" s="30" t="s">
        <v>140</v>
      </c>
      <c r="E124" s="30">
        <v>27</v>
      </c>
      <c r="F124" s="30" t="s">
        <v>141</v>
      </c>
      <c r="G124" s="47">
        <v>630</v>
      </c>
      <c r="H124" s="48">
        <v>68</v>
      </c>
      <c r="I124" s="45">
        <f>ROUND(Table134[[#This Row],[laatste 5 wed.]]/Table134[[#This Row],['#punten]]*100,1)</f>
        <v>10.8</v>
      </c>
      <c r="J124" s="30">
        <v>16</v>
      </c>
      <c r="K124" s="30">
        <v>12</v>
      </c>
      <c r="L124" s="30">
        <v>1007</v>
      </c>
      <c r="M124" s="30">
        <v>311</v>
      </c>
      <c r="N124" s="23">
        <f>ROUND(Table134[[#This Row],[Min laatste 5]]/Table134[[#This Row],['#minuten]]*100,1)</f>
        <v>30.9</v>
      </c>
      <c r="O124" s="30">
        <v>3</v>
      </c>
      <c r="P124" s="30">
        <v>0</v>
      </c>
      <c r="Q124" s="48">
        <v>3</v>
      </c>
      <c r="R124" s="30">
        <v>0</v>
      </c>
      <c r="S124" s="30">
        <v>3</v>
      </c>
      <c r="T124" s="49">
        <f>ROUND(Table134[[#This Row],['#punten]]/Table134[[#This Row],['#Wed]],2)</f>
        <v>39.380000000000003</v>
      </c>
      <c r="U124" s="31">
        <f>ROUND(Table134[[#This Row],['#punten]]/Table134[[#This Row],['#minuten]],2)</f>
        <v>0.63</v>
      </c>
      <c r="V124" s="30">
        <f>ROUND(Table134[[#This Row],['#punten]]/(Table134[[#This Row],['#minuten]]/90),2)</f>
        <v>56.31</v>
      </c>
      <c r="W124" s="30">
        <f>ROUND(Table134[[#This Row],[Prijs]]/Table134[[#This Row],['#punten]],0)</f>
        <v>3968</v>
      </c>
      <c r="X124" s="34">
        <f>ROUND((Table134[[#This Row],[Goals]]+Table134[[#This Row],[Asissts]])/(Table134[[#This Row],['#minuten]]/90),2)</f>
        <v>0.27</v>
      </c>
      <c r="Y124" s="38"/>
    </row>
    <row r="125" spans="1:26" x14ac:dyDescent="0.2">
      <c r="A125" s="39" t="s">
        <v>231</v>
      </c>
      <c r="B125" s="21" t="s">
        <v>48</v>
      </c>
      <c r="C125" s="22">
        <v>750000</v>
      </c>
      <c r="D125" s="23" t="s">
        <v>140</v>
      </c>
      <c r="E125" s="23">
        <v>28</v>
      </c>
      <c r="F125" s="23" t="s">
        <v>167</v>
      </c>
      <c r="G125" s="44">
        <v>454</v>
      </c>
      <c r="H125" s="45">
        <v>78</v>
      </c>
      <c r="I125" s="45">
        <f>ROUND(Table134[[#This Row],[laatste 5 wed.]]/Table134[[#This Row],['#punten]]*100,1)</f>
        <v>17.2</v>
      </c>
      <c r="J125" s="23">
        <v>16</v>
      </c>
      <c r="K125" s="23">
        <v>8</v>
      </c>
      <c r="L125" s="23">
        <v>738</v>
      </c>
      <c r="M125" s="23">
        <v>113</v>
      </c>
      <c r="N125" s="23">
        <f>ROUND(Table134[[#This Row],[Min laatste 5]]/Table134[[#This Row],['#minuten]]*100,1)</f>
        <v>15.3</v>
      </c>
      <c r="O125" s="23">
        <v>2</v>
      </c>
      <c r="P125" s="23">
        <v>1</v>
      </c>
      <c r="Q125" s="45">
        <v>1</v>
      </c>
      <c r="R125" s="23">
        <v>0</v>
      </c>
      <c r="S125" s="23">
        <v>2</v>
      </c>
      <c r="T125" s="46">
        <f>ROUND(Table134[[#This Row],['#punten]]/Table134[[#This Row],['#Wed]],2)</f>
        <v>28.38</v>
      </c>
      <c r="U125" s="44">
        <f>ROUND(Table134[[#This Row],['#punten]]/Table134[[#This Row],['#minuten]],2)</f>
        <v>0.62</v>
      </c>
      <c r="V125" s="23">
        <f>ROUND(Table134[[#This Row],['#punten]]/(Table134[[#This Row],['#minuten]]/90),2)</f>
        <v>55.37</v>
      </c>
      <c r="W125" s="23">
        <f>ROUND(Table134[[#This Row],[Prijs]]/Table134[[#This Row],['#punten]],0)</f>
        <v>1652</v>
      </c>
      <c r="X125" s="27">
        <f>ROUND((Table134[[#This Row],[Goals]]+Table134[[#This Row],[Asissts]])/(Table134[[#This Row],['#minuten]]/90),2)</f>
        <v>0.37</v>
      </c>
      <c r="Y125" s="38"/>
      <c r="Z125" t="s">
        <v>640</v>
      </c>
    </row>
    <row r="126" spans="1:26" x14ac:dyDescent="0.2">
      <c r="A126" s="39" t="s">
        <v>244</v>
      </c>
      <c r="B126" s="28" t="s">
        <v>239</v>
      </c>
      <c r="C126" s="29">
        <v>1250000</v>
      </c>
      <c r="D126" s="30" t="s">
        <v>140</v>
      </c>
      <c r="E126" s="30">
        <v>23</v>
      </c>
      <c r="F126" s="30" t="s">
        <v>167</v>
      </c>
      <c r="G126" s="47">
        <v>542</v>
      </c>
      <c r="H126" s="48">
        <v>80</v>
      </c>
      <c r="I126" s="45">
        <f>ROUND(Table134[[#This Row],[laatste 5 wed.]]/Table134[[#This Row],['#punten]]*100,1)</f>
        <v>14.8</v>
      </c>
      <c r="J126" s="30">
        <v>19</v>
      </c>
      <c r="K126" s="30">
        <v>19</v>
      </c>
      <c r="L126" s="30">
        <v>1707</v>
      </c>
      <c r="M126" s="30">
        <v>450</v>
      </c>
      <c r="N126" s="23">
        <f>ROUND(Table134[[#This Row],[Min laatste 5]]/Table134[[#This Row],['#minuten]]*100,1)</f>
        <v>26.4</v>
      </c>
      <c r="O126" s="30">
        <v>1</v>
      </c>
      <c r="P126" s="30">
        <v>2</v>
      </c>
      <c r="Q126" s="48">
        <v>3</v>
      </c>
      <c r="R126" s="30">
        <v>0</v>
      </c>
      <c r="S126" s="30">
        <v>1</v>
      </c>
      <c r="T126" s="49">
        <f>ROUND(Table134[[#This Row],['#punten]]/Table134[[#This Row],['#Wed]],2)</f>
        <v>28.53</v>
      </c>
      <c r="U126" s="31">
        <f>ROUND(Table134[[#This Row],['#punten]]/Table134[[#This Row],['#minuten]],2)</f>
        <v>0.32</v>
      </c>
      <c r="V126" s="30">
        <f>ROUND(Table134[[#This Row],['#punten]]/(Table134[[#This Row],['#minuten]]/90),2)</f>
        <v>28.58</v>
      </c>
      <c r="W126" s="30">
        <f>ROUND(Table134[[#This Row],[Prijs]]/Table134[[#This Row],['#punten]],0)</f>
        <v>2306</v>
      </c>
      <c r="X126" s="34">
        <f>ROUND((Table134[[#This Row],[Goals]]+Table134[[#This Row],[Asissts]])/(Table134[[#This Row],['#minuten]]/90),2)</f>
        <v>0.16</v>
      </c>
    </row>
    <row r="127" spans="1:26" x14ac:dyDescent="0.2">
      <c r="A127" s="39" t="s">
        <v>243</v>
      </c>
      <c r="B127" s="28" t="s">
        <v>239</v>
      </c>
      <c r="C127" s="29">
        <v>1500000</v>
      </c>
      <c r="D127" s="30" t="s">
        <v>140</v>
      </c>
      <c r="E127" s="30">
        <v>26</v>
      </c>
      <c r="F127" s="30" t="s">
        <v>200</v>
      </c>
      <c r="G127" s="47">
        <v>474</v>
      </c>
      <c r="H127" s="48">
        <v>20</v>
      </c>
      <c r="I127" s="45">
        <f>ROUND(Table134[[#This Row],[laatste 5 wed.]]/Table134[[#This Row],['#punten]]*100,1)</f>
        <v>4.2</v>
      </c>
      <c r="J127" s="30">
        <v>16</v>
      </c>
      <c r="K127" s="30">
        <v>16</v>
      </c>
      <c r="L127" s="30">
        <v>1187</v>
      </c>
      <c r="M127" s="30">
        <v>150</v>
      </c>
      <c r="N127" s="23">
        <f>ROUND(Table134[[#This Row],[Min laatste 5]]/Table134[[#This Row],['#minuten]]*100,1)</f>
        <v>12.6</v>
      </c>
      <c r="O127" s="30">
        <v>2</v>
      </c>
      <c r="P127" s="30">
        <v>1</v>
      </c>
      <c r="Q127" s="48">
        <v>4</v>
      </c>
      <c r="R127" s="30">
        <v>0</v>
      </c>
      <c r="S127" s="30">
        <v>1</v>
      </c>
      <c r="T127" s="49">
        <f>ROUND(Table134[[#This Row],['#punten]]/Table134[[#This Row],['#Wed]],2)</f>
        <v>29.63</v>
      </c>
      <c r="U127" s="31">
        <f>ROUND(Table134[[#This Row],['#punten]]/Table134[[#This Row],['#minuten]],2)</f>
        <v>0.4</v>
      </c>
      <c r="V127" s="30">
        <f>ROUND(Table134[[#This Row],['#punten]]/(Table134[[#This Row],['#minuten]]/90),2)</f>
        <v>35.94</v>
      </c>
      <c r="W127" s="30">
        <f>ROUND(Table134[[#This Row],[Prijs]]/Table134[[#This Row],['#punten]],0)</f>
        <v>3165</v>
      </c>
      <c r="X127" s="34">
        <f>ROUND((Table134[[#This Row],[Goals]]+Table134[[#This Row],[Asissts]])/(Table134[[#This Row],['#minuten]]/90),2)</f>
        <v>0.23</v>
      </c>
      <c r="Z127" t="s">
        <v>653</v>
      </c>
    </row>
    <row r="128" spans="1:26" x14ac:dyDescent="0.2">
      <c r="A128" s="39" t="s">
        <v>612</v>
      </c>
      <c r="B128" s="28" t="s">
        <v>239</v>
      </c>
      <c r="C128" s="29">
        <v>1000000</v>
      </c>
      <c r="D128" s="30" t="s">
        <v>140</v>
      </c>
      <c r="E128" s="30">
        <v>27</v>
      </c>
      <c r="F128" s="30" t="s">
        <v>141</v>
      </c>
      <c r="G128" s="47">
        <v>38</v>
      </c>
      <c r="H128" s="48">
        <v>38</v>
      </c>
      <c r="I128" s="45">
        <f>ROUND(Table134[[#This Row],[laatste 5 wed.]]/Table134[[#This Row],['#punten]]*100,1)</f>
        <v>100</v>
      </c>
      <c r="J128" s="30">
        <v>2</v>
      </c>
      <c r="K128" s="30">
        <v>2</v>
      </c>
      <c r="L128" s="30">
        <v>101</v>
      </c>
      <c r="M128" s="30">
        <v>100</v>
      </c>
      <c r="N128" s="23">
        <f>ROUND(Table134[[#This Row],[Min laatste 5]]/Table134[[#This Row],['#minuten]]*100,1)</f>
        <v>99</v>
      </c>
      <c r="O128" s="30">
        <v>0</v>
      </c>
      <c r="P128" s="30">
        <v>0</v>
      </c>
      <c r="Q128" s="48">
        <v>0</v>
      </c>
      <c r="R128" s="30">
        <v>0</v>
      </c>
      <c r="S128" s="30">
        <v>0</v>
      </c>
      <c r="T128" s="49">
        <f>ROUND(Table134[[#This Row],['#punten]]/Table134[[#This Row],['#Wed]],2)</f>
        <v>19</v>
      </c>
      <c r="U128" s="47">
        <f>ROUND(Table134[[#This Row],['#punten]]/Table134[[#This Row],['#minuten]],2)</f>
        <v>0.38</v>
      </c>
      <c r="V128" s="30">
        <f>ROUND(Table134[[#This Row],['#punten]]/(Table134[[#This Row],['#minuten]]/90),2)</f>
        <v>33.86</v>
      </c>
      <c r="W128" s="30">
        <f>ROUND(Table134[[#This Row],[Prijs]]/Table134[[#This Row],['#punten]],0)</f>
        <v>26316</v>
      </c>
      <c r="X128" s="34">
        <f>ROUND((Table134[[#This Row],[Goals]]+Table134[[#This Row],[Asissts]])/(Table134[[#This Row],['#minuten]]/90),2)</f>
        <v>0</v>
      </c>
      <c r="Y128" s="38"/>
    </row>
    <row r="129" spans="1:26" x14ac:dyDescent="0.2">
      <c r="A129" s="39" t="s">
        <v>257</v>
      </c>
      <c r="B129" s="21" t="s">
        <v>10</v>
      </c>
      <c r="C129" s="22">
        <v>3000000</v>
      </c>
      <c r="D129" s="23" t="s">
        <v>140</v>
      </c>
      <c r="E129" s="23">
        <v>24</v>
      </c>
      <c r="F129" s="23" t="s">
        <v>156</v>
      </c>
      <c r="G129" s="44">
        <v>1528</v>
      </c>
      <c r="H129" s="45">
        <v>494</v>
      </c>
      <c r="I129" s="45">
        <f>ROUND(Table134[[#This Row],[laatste 5 wed.]]/Table134[[#This Row],['#punten]]*100,1)</f>
        <v>32.299999999999997</v>
      </c>
      <c r="J129" s="23">
        <v>19</v>
      </c>
      <c r="K129" s="23">
        <v>19</v>
      </c>
      <c r="L129" s="23">
        <v>1710</v>
      </c>
      <c r="M129" s="23">
        <v>450</v>
      </c>
      <c r="N129" s="23">
        <f>ROUND(Table134[[#This Row],[Min laatste 5]]/Table134[[#This Row],['#minuten]]*100,1)</f>
        <v>26.3</v>
      </c>
      <c r="O129" s="23">
        <v>11</v>
      </c>
      <c r="P129" s="23">
        <v>4</v>
      </c>
      <c r="Q129" s="45">
        <v>1</v>
      </c>
      <c r="R129" s="23">
        <v>0</v>
      </c>
      <c r="S129" s="23">
        <v>3</v>
      </c>
      <c r="T129" s="46">
        <f>ROUND(Table134[[#This Row],['#punten]]/Table134[[#This Row],['#Wed]],2)</f>
        <v>80.42</v>
      </c>
      <c r="U129" s="24">
        <f>ROUND(Table134[[#This Row],['#punten]]/Table134[[#This Row],['#minuten]],2)</f>
        <v>0.89</v>
      </c>
      <c r="V129" s="23">
        <f>ROUND(Table134[[#This Row],['#punten]]/(Table134[[#This Row],['#minuten]]/90),2)</f>
        <v>80.42</v>
      </c>
      <c r="W129" s="23">
        <f>ROUND(Table134[[#This Row],[Prijs]]/Table134[[#This Row],['#punten]],0)</f>
        <v>1963</v>
      </c>
      <c r="X129" s="27">
        <f>ROUND((Table134[[#This Row],[Goals]]+Table134[[#This Row],[Asissts]])/(Table134[[#This Row],['#minuten]]/90),2)</f>
        <v>0.79</v>
      </c>
      <c r="Y129" s="38"/>
      <c r="Z129" t="s">
        <v>642</v>
      </c>
    </row>
    <row r="130" spans="1:26" x14ac:dyDescent="0.2">
      <c r="A130" s="39" t="s">
        <v>253</v>
      </c>
      <c r="B130" s="28" t="s">
        <v>10</v>
      </c>
      <c r="C130" s="29">
        <v>1500000</v>
      </c>
      <c r="D130" s="30" t="s">
        <v>140</v>
      </c>
      <c r="E130" s="30">
        <v>21</v>
      </c>
      <c r="F130" s="30" t="s">
        <v>141</v>
      </c>
      <c r="G130" s="47">
        <v>896</v>
      </c>
      <c r="H130" s="48">
        <v>262</v>
      </c>
      <c r="I130" s="45">
        <f>ROUND(Table134[[#This Row],[laatste 5 wed.]]/Table134[[#This Row],['#punten]]*100,1)</f>
        <v>29.2</v>
      </c>
      <c r="J130" s="30">
        <v>18</v>
      </c>
      <c r="K130" s="30">
        <v>18</v>
      </c>
      <c r="L130" s="30">
        <v>1613</v>
      </c>
      <c r="M130" s="30">
        <v>450</v>
      </c>
      <c r="N130" s="23">
        <f>ROUND(Table134[[#This Row],[Min laatste 5]]/Table134[[#This Row],['#minuten]]*100,1)</f>
        <v>27.9</v>
      </c>
      <c r="O130" s="30">
        <v>3</v>
      </c>
      <c r="P130" s="30">
        <v>2</v>
      </c>
      <c r="Q130" s="48">
        <v>2</v>
      </c>
      <c r="R130" s="30">
        <v>0</v>
      </c>
      <c r="S130" s="30">
        <v>3</v>
      </c>
      <c r="T130" s="49">
        <f>ROUND(Table134[[#This Row],['#punten]]/Table134[[#This Row],['#Wed]],2)</f>
        <v>49.78</v>
      </c>
      <c r="U130" s="31">
        <f>ROUND(Table134[[#This Row],['#punten]]/Table134[[#This Row],['#minuten]],2)</f>
        <v>0.56000000000000005</v>
      </c>
      <c r="V130" s="30">
        <f>ROUND(Table134[[#This Row],['#punten]]/(Table134[[#This Row],['#minuten]]/90),2)</f>
        <v>49.99</v>
      </c>
      <c r="W130" s="30">
        <f>ROUND(Table134[[#This Row],[Prijs]]/Table134[[#This Row],['#punten]],0)</f>
        <v>1674</v>
      </c>
      <c r="X130" s="34">
        <f>ROUND((Table134[[#This Row],[Goals]]+Table134[[#This Row],[Asissts]])/(Table134[[#This Row],['#minuten]]/90),2)</f>
        <v>0.28000000000000003</v>
      </c>
      <c r="Y130" s="38"/>
    </row>
    <row r="131" spans="1:26" x14ac:dyDescent="0.2">
      <c r="A131" s="39" t="s">
        <v>367</v>
      </c>
      <c r="B131" s="28" t="s">
        <v>10</v>
      </c>
      <c r="C131" s="29">
        <v>750000</v>
      </c>
      <c r="D131" s="30" t="s">
        <v>140</v>
      </c>
      <c r="E131" s="30">
        <v>23</v>
      </c>
      <c r="F131" s="30" t="s">
        <v>47</v>
      </c>
      <c r="G131" s="47">
        <v>390</v>
      </c>
      <c r="H131" s="48">
        <v>22</v>
      </c>
      <c r="I131" s="45">
        <f>ROUND(Table134[[#This Row],[laatste 5 wed.]]/Table134[[#This Row],['#punten]]*100,1)</f>
        <v>5.6</v>
      </c>
      <c r="J131" s="30">
        <v>15</v>
      </c>
      <c r="K131" s="30">
        <v>7</v>
      </c>
      <c r="L131" s="30">
        <v>589</v>
      </c>
      <c r="M131" s="30">
        <v>98</v>
      </c>
      <c r="N131" s="23">
        <f>ROUND(Table134[[#This Row],[Min laatste 5]]/Table134[[#This Row],['#minuten]]*100,1)</f>
        <v>16.600000000000001</v>
      </c>
      <c r="O131" s="30">
        <v>1</v>
      </c>
      <c r="P131" s="30">
        <v>1</v>
      </c>
      <c r="Q131" s="48">
        <v>1</v>
      </c>
      <c r="R131" s="30">
        <v>0</v>
      </c>
      <c r="S131" s="30">
        <v>1</v>
      </c>
      <c r="T131" s="49">
        <f>ROUND(Table134[[#This Row],['#punten]]/Table134[[#This Row],['#Wed]],2)</f>
        <v>26</v>
      </c>
      <c r="U131" s="47">
        <f>ROUND(Table134[[#This Row],['#punten]]/Table134[[#This Row],['#minuten]],2)</f>
        <v>0.66</v>
      </c>
      <c r="V131" s="30">
        <f>ROUND(Table134[[#This Row],['#punten]]/(Table134[[#This Row],['#minuten]]/90),2)</f>
        <v>59.59</v>
      </c>
      <c r="W131" s="30">
        <f>ROUND(Table134[[#This Row],[Prijs]]/Table134[[#This Row],['#punten]],0)</f>
        <v>1923</v>
      </c>
      <c r="X131" s="34">
        <f>ROUND((Table134[[#This Row],[Goals]]+Table134[[#This Row],[Asissts]])/(Table134[[#This Row],['#minuten]]/90),2)</f>
        <v>0.31</v>
      </c>
      <c r="Y131" s="38"/>
    </row>
    <row r="132" spans="1:26" x14ac:dyDescent="0.2">
      <c r="A132" s="39" t="s">
        <v>615</v>
      </c>
      <c r="B132" s="28" t="s">
        <v>10</v>
      </c>
      <c r="C132" s="29">
        <v>750000</v>
      </c>
      <c r="D132" s="30" t="s">
        <v>140</v>
      </c>
      <c r="E132" s="30">
        <v>25</v>
      </c>
      <c r="F132" s="30" t="s">
        <v>141</v>
      </c>
      <c r="G132" s="47">
        <v>374</v>
      </c>
      <c r="H132" s="48">
        <v>176</v>
      </c>
      <c r="I132" s="45">
        <f>ROUND(Table134[[#This Row],[laatste 5 wed.]]/Table134[[#This Row],['#punten]]*100,1)</f>
        <v>47.1</v>
      </c>
      <c r="J132" s="30">
        <v>15</v>
      </c>
      <c r="K132" s="30">
        <v>8</v>
      </c>
      <c r="L132" s="30">
        <v>703</v>
      </c>
      <c r="M132" s="30">
        <v>293</v>
      </c>
      <c r="N132" s="23">
        <f>ROUND(Table134[[#This Row],[Min laatste 5]]/Table134[[#This Row],['#minuten]]*100,1)</f>
        <v>41.7</v>
      </c>
      <c r="O132" s="30">
        <v>0</v>
      </c>
      <c r="P132" s="30">
        <v>2</v>
      </c>
      <c r="Q132" s="48">
        <v>1</v>
      </c>
      <c r="R132" s="30">
        <v>1</v>
      </c>
      <c r="S132" s="30">
        <v>2</v>
      </c>
      <c r="T132" s="49">
        <f>ROUND(Table134[[#This Row],['#punten]]/Table134[[#This Row],['#Wed]],2)</f>
        <v>24.93</v>
      </c>
      <c r="U132" s="47">
        <f>ROUND(Table134[[#This Row],['#punten]]/Table134[[#This Row],['#minuten]],2)</f>
        <v>0.53</v>
      </c>
      <c r="V132" s="30">
        <f>ROUND(Table134[[#This Row],['#punten]]/(Table134[[#This Row],['#minuten]]/90),2)</f>
        <v>47.88</v>
      </c>
      <c r="W132" s="30">
        <f>ROUND(Table134[[#This Row],[Prijs]]/Table134[[#This Row],['#punten]],0)</f>
        <v>2005</v>
      </c>
      <c r="X132" s="34">
        <f>ROUND((Table134[[#This Row],[Goals]]+Table134[[#This Row],[Asissts]])/(Table134[[#This Row],['#minuten]]/90),2)</f>
        <v>0.26</v>
      </c>
      <c r="Y132" s="38"/>
    </row>
    <row r="133" spans="1:26" x14ac:dyDescent="0.2">
      <c r="A133" s="39" t="s">
        <v>254</v>
      </c>
      <c r="B133" s="28" t="s">
        <v>10</v>
      </c>
      <c r="C133" s="29">
        <v>1250000</v>
      </c>
      <c r="D133" s="30" t="s">
        <v>140</v>
      </c>
      <c r="E133" s="30">
        <v>37</v>
      </c>
      <c r="F133" s="30" t="s">
        <v>141</v>
      </c>
      <c r="G133" s="47">
        <v>322</v>
      </c>
      <c r="H133" s="48">
        <v>-24</v>
      </c>
      <c r="I133" s="45">
        <f>ROUND(Table134[[#This Row],[laatste 5 wed.]]/Table134[[#This Row],['#punten]]*100,1)</f>
        <v>-7.5</v>
      </c>
      <c r="J133" s="30">
        <v>14</v>
      </c>
      <c r="K133" s="30">
        <v>10</v>
      </c>
      <c r="L133" s="30">
        <v>918</v>
      </c>
      <c r="M133" s="30">
        <v>27</v>
      </c>
      <c r="N133" s="23">
        <f>ROUND(Table134[[#This Row],[Min laatste 5]]/Table134[[#This Row],['#minuten]]*100,1)</f>
        <v>2.9</v>
      </c>
      <c r="O133" s="30">
        <v>0</v>
      </c>
      <c r="P133" s="30">
        <v>2</v>
      </c>
      <c r="Q133" s="48">
        <v>2</v>
      </c>
      <c r="R133" s="30">
        <v>0</v>
      </c>
      <c r="S133" s="30">
        <v>1</v>
      </c>
      <c r="T133" s="49">
        <f>ROUND(Table134[[#This Row],['#punten]]/Table134[[#This Row],['#Wed]],2)</f>
        <v>23</v>
      </c>
      <c r="U133" s="31">
        <f>ROUND(Table134[[#This Row],['#punten]]/Table134[[#This Row],['#minuten]],2)</f>
        <v>0.35</v>
      </c>
      <c r="V133" s="30">
        <f>ROUND(Table134[[#This Row],['#punten]]/(Table134[[#This Row],['#minuten]]/90),2)</f>
        <v>31.57</v>
      </c>
      <c r="W133" s="30">
        <f>ROUND(Table134[[#This Row],[Prijs]]/Table134[[#This Row],['#punten]],0)</f>
        <v>3882</v>
      </c>
      <c r="X133" s="34">
        <f>ROUND((Table134[[#This Row],[Goals]]+Table134[[#This Row],[Asissts]])/(Table134[[#This Row],['#minuten]]/90),2)</f>
        <v>0.2</v>
      </c>
      <c r="Z133" t="s">
        <v>653</v>
      </c>
    </row>
    <row r="134" spans="1:26" x14ac:dyDescent="0.2">
      <c r="A134" s="39" t="s">
        <v>613</v>
      </c>
      <c r="B134" s="28" t="s">
        <v>10</v>
      </c>
      <c r="C134" s="29">
        <v>1500000</v>
      </c>
      <c r="D134" s="30" t="s">
        <v>140</v>
      </c>
      <c r="E134" s="30">
        <v>35</v>
      </c>
      <c r="F134" s="30" t="s">
        <v>614</v>
      </c>
      <c r="G134" s="47">
        <v>160</v>
      </c>
      <c r="H134" s="48">
        <v>160</v>
      </c>
      <c r="I134" s="45">
        <f>ROUND(Table134[[#This Row],[laatste 5 wed.]]/Table134[[#This Row],['#punten]]*100,1)</f>
        <v>100</v>
      </c>
      <c r="J134" s="30">
        <v>1</v>
      </c>
      <c r="K134" s="30">
        <v>0</v>
      </c>
      <c r="L134" s="30">
        <v>21</v>
      </c>
      <c r="M134" s="30">
        <v>21</v>
      </c>
      <c r="N134" s="23">
        <f>ROUND(Table134[[#This Row],[Min laatste 5]]/Table134[[#This Row],['#minuten]]*100,1)</f>
        <v>100</v>
      </c>
      <c r="O134" s="30">
        <v>1</v>
      </c>
      <c r="P134" s="30">
        <v>0</v>
      </c>
      <c r="Q134" s="48">
        <v>0</v>
      </c>
      <c r="R134" s="30">
        <v>0</v>
      </c>
      <c r="S134" s="30">
        <v>0</v>
      </c>
      <c r="T134" s="49">
        <f>ROUND(Table134[[#This Row],['#punten]]/Table134[[#This Row],['#Wed]],2)</f>
        <v>160</v>
      </c>
      <c r="U134" s="47">
        <f>ROUND(Table134[[#This Row],['#punten]]/Table134[[#This Row],['#minuten]],2)</f>
        <v>7.62</v>
      </c>
      <c r="V134" s="30">
        <f>ROUND(Table134[[#This Row],['#punten]]/(Table134[[#This Row],['#minuten]]/90),2)</f>
        <v>685.71</v>
      </c>
      <c r="W134" s="30">
        <f>ROUND(Table134[[#This Row],[Prijs]]/Table134[[#This Row],['#punten]],0)</f>
        <v>9375</v>
      </c>
      <c r="X134" s="34">
        <f>ROUND((Table134[[#This Row],[Goals]]+Table134[[#This Row],[Asissts]])/(Table134[[#This Row],['#minuten]]/90),2)</f>
        <v>4.29</v>
      </c>
      <c r="Y134" s="38"/>
    </row>
    <row r="135" spans="1:26" x14ac:dyDescent="0.2">
      <c r="A135" s="39" t="s">
        <v>616</v>
      </c>
      <c r="B135" s="28" t="s">
        <v>10</v>
      </c>
      <c r="C135" s="29">
        <v>500000</v>
      </c>
      <c r="D135" s="53" t="s">
        <v>140</v>
      </c>
      <c r="E135" s="53">
        <v>20</v>
      </c>
      <c r="F135" s="53" t="s">
        <v>177</v>
      </c>
      <c r="G135" s="92">
        <v>132</v>
      </c>
      <c r="H135" s="85">
        <v>132</v>
      </c>
      <c r="I135" s="45">
        <f>ROUND(Table134[[#This Row],[laatste 5 wed.]]/Table134[[#This Row],['#punten]]*100,1)</f>
        <v>100</v>
      </c>
      <c r="J135" s="53">
        <v>8</v>
      </c>
      <c r="K135" s="53">
        <v>2</v>
      </c>
      <c r="L135" s="53">
        <v>276</v>
      </c>
      <c r="M135" s="53">
        <v>214</v>
      </c>
      <c r="N135" s="23">
        <f>ROUND(Table134[[#This Row],[Min laatste 5]]/Table134[[#This Row],['#minuten]]*100,1)</f>
        <v>77.5</v>
      </c>
      <c r="O135" s="53">
        <v>0</v>
      </c>
      <c r="P135" s="53">
        <v>1</v>
      </c>
      <c r="Q135" s="85">
        <v>0</v>
      </c>
      <c r="R135" s="53">
        <v>0</v>
      </c>
      <c r="S135" s="53">
        <v>1</v>
      </c>
      <c r="T135" s="94">
        <f>ROUND(Table134[[#This Row],['#punten]]/Table134[[#This Row],['#Wed]],2)</f>
        <v>16.5</v>
      </c>
      <c r="U135" s="92">
        <f>ROUND(Table134[[#This Row],['#punten]]/Table134[[#This Row],['#minuten]],2)</f>
        <v>0.48</v>
      </c>
      <c r="V135" s="53">
        <f>ROUND(Table134[[#This Row],['#punten]]/(Table134[[#This Row],['#minuten]]/90),2)</f>
        <v>43.04</v>
      </c>
      <c r="W135" s="53">
        <f>ROUND(Table134[[#This Row],[Prijs]]/Table134[[#This Row],['#punten]],0)</f>
        <v>3788</v>
      </c>
      <c r="X135" s="57">
        <f>ROUND((Table134[[#This Row],[Goals]]+Table134[[#This Row],[Asissts]])/(Table134[[#This Row],['#minuten]]/90),2)</f>
        <v>0.33</v>
      </c>
      <c r="Y135" s="38"/>
    </row>
    <row r="136" spans="1:26" x14ac:dyDescent="0.2">
      <c r="A136" s="39" t="s">
        <v>122</v>
      </c>
      <c r="B136" s="21" t="s">
        <v>260</v>
      </c>
      <c r="C136" s="22">
        <v>1500000</v>
      </c>
      <c r="D136" s="23" t="s">
        <v>140</v>
      </c>
      <c r="E136" s="23">
        <v>29</v>
      </c>
      <c r="F136" s="23" t="s">
        <v>156</v>
      </c>
      <c r="G136" s="44">
        <v>1018</v>
      </c>
      <c r="H136" s="45">
        <v>432</v>
      </c>
      <c r="I136" s="45">
        <f>ROUND(Table134[[#This Row],[laatste 5 wed.]]/Table134[[#This Row],['#punten]]*100,1)</f>
        <v>42.4</v>
      </c>
      <c r="J136" s="23">
        <v>19</v>
      </c>
      <c r="K136" s="23">
        <v>19</v>
      </c>
      <c r="L136" s="23">
        <v>1631</v>
      </c>
      <c r="M136" s="23">
        <v>436</v>
      </c>
      <c r="N136" s="23">
        <f>ROUND(Table134[[#This Row],[Min laatste 5]]/Table134[[#This Row],['#minuten]]*100,1)</f>
        <v>26.7</v>
      </c>
      <c r="O136" s="23">
        <v>4</v>
      </c>
      <c r="P136" s="23">
        <v>4</v>
      </c>
      <c r="Q136" s="45">
        <v>3</v>
      </c>
      <c r="R136" s="23">
        <v>0</v>
      </c>
      <c r="S136" s="23">
        <v>4</v>
      </c>
      <c r="T136" s="46">
        <f>ROUND(Table134[[#This Row],['#punten]]/Table134[[#This Row],['#Wed]],2)</f>
        <v>53.58</v>
      </c>
      <c r="U136" s="24">
        <f>ROUND(Table134[[#This Row],['#punten]]/Table134[[#This Row],['#minuten]],2)</f>
        <v>0.62</v>
      </c>
      <c r="V136" s="23">
        <f>ROUND(Table134[[#This Row],['#punten]]/(Table134[[#This Row],['#minuten]]/90),2)</f>
        <v>56.17</v>
      </c>
      <c r="W136" s="23">
        <f>ROUND(Table134[[#This Row],[Prijs]]/Table134[[#This Row],['#punten]],0)</f>
        <v>1473</v>
      </c>
      <c r="X136" s="27">
        <f>ROUND((Table134[[#This Row],[Goals]]+Table134[[#This Row],[Asissts]])/(Table134[[#This Row],['#minuten]]/90),2)</f>
        <v>0.44</v>
      </c>
    </row>
    <row r="137" spans="1:26" x14ac:dyDescent="0.2">
      <c r="A137" s="39" t="s">
        <v>581</v>
      </c>
      <c r="B137" s="21" t="s">
        <v>260</v>
      </c>
      <c r="C137" s="22">
        <v>1500000</v>
      </c>
      <c r="D137" s="23" t="s">
        <v>140</v>
      </c>
      <c r="E137" s="23">
        <v>25</v>
      </c>
      <c r="F137" s="23" t="s">
        <v>141</v>
      </c>
      <c r="G137" s="44">
        <v>834</v>
      </c>
      <c r="H137" s="45">
        <v>248</v>
      </c>
      <c r="I137" s="45">
        <f>ROUND(Table134[[#This Row],[laatste 5 wed.]]/Table134[[#This Row],['#punten]]*100,1)</f>
        <v>29.7</v>
      </c>
      <c r="J137" s="23">
        <v>17</v>
      </c>
      <c r="K137" s="23">
        <v>10</v>
      </c>
      <c r="L137" s="23">
        <v>991</v>
      </c>
      <c r="M137" s="23">
        <v>434</v>
      </c>
      <c r="N137" s="23">
        <f>ROUND(Table134[[#This Row],[Min laatste 5]]/Table134[[#This Row],['#minuten]]*100,1)</f>
        <v>43.8</v>
      </c>
      <c r="O137" s="23">
        <v>3</v>
      </c>
      <c r="P137" s="23">
        <v>5</v>
      </c>
      <c r="Q137" s="45">
        <v>2</v>
      </c>
      <c r="R137" s="23">
        <v>0</v>
      </c>
      <c r="S137" s="23">
        <v>2</v>
      </c>
      <c r="T137" s="46">
        <f>ROUND(Table134[[#This Row],['#punten]]/Table134[[#This Row],['#Wed]],2)</f>
        <v>49.06</v>
      </c>
      <c r="U137" s="44">
        <f>ROUND(Table134[[#This Row],['#punten]]/Table134[[#This Row],['#minuten]],2)</f>
        <v>0.84</v>
      </c>
      <c r="V137" s="23">
        <f>ROUND(Table134[[#This Row],['#punten]]/(Table134[[#This Row],['#minuten]]/90),2)</f>
        <v>75.739999999999995</v>
      </c>
      <c r="W137" s="23">
        <f>ROUND(Table134[[#This Row],[Prijs]]/Table134[[#This Row],['#punten]],0)</f>
        <v>1799</v>
      </c>
      <c r="X137" s="27">
        <f>ROUND((Table134[[#This Row],[Goals]]+Table134[[#This Row],[Asissts]])/(Table134[[#This Row],['#minuten]]/90),2)</f>
        <v>0.73</v>
      </c>
      <c r="Y137" s="38"/>
    </row>
    <row r="138" spans="1:26" x14ac:dyDescent="0.2">
      <c r="A138" s="39" t="s">
        <v>262</v>
      </c>
      <c r="B138" s="28" t="s">
        <v>260</v>
      </c>
      <c r="C138" s="29">
        <v>1500000</v>
      </c>
      <c r="D138" s="30" t="s">
        <v>140</v>
      </c>
      <c r="E138" s="30">
        <v>23</v>
      </c>
      <c r="F138" s="30" t="s">
        <v>141</v>
      </c>
      <c r="G138" s="47">
        <v>794</v>
      </c>
      <c r="H138" s="48">
        <v>128</v>
      </c>
      <c r="I138" s="45">
        <f>ROUND(Table134[[#This Row],[laatste 5 wed.]]/Table134[[#This Row],['#punten]]*100,1)</f>
        <v>16.100000000000001</v>
      </c>
      <c r="J138" s="30">
        <v>19</v>
      </c>
      <c r="K138" s="30">
        <v>19</v>
      </c>
      <c r="L138" s="30">
        <v>1663</v>
      </c>
      <c r="M138" s="30">
        <v>440</v>
      </c>
      <c r="N138" s="23">
        <f>ROUND(Table134[[#This Row],[Min laatste 5]]/Table134[[#This Row],['#minuten]]*100,1)</f>
        <v>26.5</v>
      </c>
      <c r="O138" s="30">
        <v>3</v>
      </c>
      <c r="P138" s="30">
        <v>1</v>
      </c>
      <c r="Q138" s="48">
        <v>4</v>
      </c>
      <c r="R138" s="30">
        <v>0</v>
      </c>
      <c r="S138" s="30">
        <v>4</v>
      </c>
      <c r="T138" s="49">
        <f>ROUND(Table134[[#This Row],['#punten]]/Table134[[#This Row],['#Wed]],2)</f>
        <v>41.79</v>
      </c>
      <c r="U138" s="31">
        <f>ROUND(Table134[[#This Row],['#punten]]/Table134[[#This Row],['#minuten]],2)</f>
        <v>0.48</v>
      </c>
      <c r="V138" s="30">
        <f>ROUND(Table134[[#This Row],['#punten]]/(Table134[[#This Row],['#minuten]]/90),2)</f>
        <v>42.97</v>
      </c>
      <c r="W138" s="30">
        <f>ROUND(Table134[[#This Row],[Prijs]]/Table134[[#This Row],['#punten]],0)</f>
        <v>1889</v>
      </c>
      <c r="X138" s="34">
        <f>ROUND((Table134[[#This Row],[Goals]]+Table134[[#This Row],[Asissts]])/(Table134[[#This Row],['#minuten]]/90),2)</f>
        <v>0.22</v>
      </c>
      <c r="Y138" s="38"/>
    </row>
    <row r="139" spans="1:26" x14ac:dyDescent="0.2">
      <c r="A139" s="39" t="s">
        <v>264</v>
      </c>
      <c r="B139" s="21" t="s">
        <v>260</v>
      </c>
      <c r="C139" s="22">
        <v>1250000</v>
      </c>
      <c r="D139" s="23" t="s">
        <v>140</v>
      </c>
      <c r="E139" s="23">
        <v>23</v>
      </c>
      <c r="F139" s="23" t="s">
        <v>141</v>
      </c>
      <c r="G139" s="44">
        <v>734</v>
      </c>
      <c r="H139" s="45">
        <v>210</v>
      </c>
      <c r="I139" s="45">
        <f>ROUND(Table134[[#This Row],[laatste 5 wed.]]/Table134[[#This Row],['#punten]]*100,1)</f>
        <v>28.6</v>
      </c>
      <c r="J139" s="23">
        <v>19</v>
      </c>
      <c r="K139" s="23">
        <v>15</v>
      </c>
      <c r="L139" s="23">
        <v>1323</v>
      </c>
      <c r="M139" s="23">
        <v>260</v>
      </c>
      <c r="N139" s="23">
        <f>ROUND(Table134[[#This Row],[Min laatste 5]]/Table134[[#This Row],['#minuten]]*100,1)</f>
        <v>19.7</v>
      </c>
      <c r="O139" s="23">
        <v>2</v>
      </c>
      <c r="P139" s="23">
        <v>1</v>
      </c>
      <c r="Q139" s="45">
        <v>1</v>
      </c>
      <c r="R139" s="23">
        <v>0</v>
      </c>
      <c r="S139" s="23">
        <v>3</v>
      </c>
      <c r="T139" s="46">
        <f>ROUND(Table134[[#This Row],['#punten]]/Table134[[#This Row],['#Wed]],2)</f>
        <v>38.630000000000003</v>
      </c>
      <c r="U139" s="24">
        <f>ROUND(Table134[[#This Row],['#punten]]/Table134[[#This Row],['#minuten]],2)</f>
        <v>0.55000000000000004</v>
      </c>
      <c r="V139" s="23">
        <f>ROUND(Table134[[#This Row],['#punten]]/(Table134[[#This Row],['#minuten]]/90),2)</f>
        <v>49.93</v>
      </c>
      <c r="W139" s="23">
        <f>ROUND(Table134[[#This Row],[Prijs]]/Table134[[#This Row],['#punten]],0)</f>
        <v>1703</v>
      </c>
      <c r="X139" s="27">
        <f>ROUND((Table134[[#This Row],[Goals]]+Table134[[#This Row],[Asissts]])/(Table134[[#This Row],['#minuten]]/90),2)</f>
        <v>0.2</v>
      </c>
    </row>
    <row r="140" spans="1:26" x14ac:dyDescent="0.2">
      <c r="A140" s="39" t="s">
        <v>263</v>
      </c>
      <c r="B140" s="21" t="s">
        <v>260</v>
      </c>
      <c r="C140" s="22">
        <v>1250000</v>
      </c>
      <c r="D140" s="23" t="s">
        <v>140</v>
      </c>
      <c r="E140" s="23">
        <v>21</v>
      </c>
      <c r="F140" s="23" t="s">
        <v>141</v>
      </c>
      <c r="G140" s="44">
        <v>536</v>
      </c>
      <c r="H140" s="45">
        <v>22</v>
      </c>
      <c r="I140" s="45">
        <f>ROUND(Table134[[#This Row],[laatste 5 wed.]]/Table134[[#This Row],['#punten]]*100,1)</f>
        <v>4.0999999999999996</v>
      </c>
      <c r="J140" s="23">
        <v>16</v>
      </c>
      <c r="K140" s="23">
        <v>15</v>
      </c>
      <c r="L140" s="23">
        <v>1356</v>
      </c>
      <c r="M140" s="23">
        <v>129</v>
      </c>
      <c r="N140" s="23">
        <f>ROUND(Table134[[#This Row],[Min laatste 5]]/Table134[[#This Row],['#minuten]]*100,1)</f>
        <v>9.5</v>
      </c>
      <c r="O140" s="23">
        <v>0</v>
      </c>
      <c r="P140" s="23">
        <v>2</v>
      </c>
      <c r="Q140" s="45">
        <v>1</v>
      </c>
      <c r="R140" s="23">
        <v>0</v>
      </c>
      <c r="S140" s="23">
        <v>3</v>
      </c>
      <c r="T140" s="46">
        <f>ROUND(Table134[[#This Row],['#punten]]/Table134[[#This Row],['#Wed]],2)</f>
        <v>33.5</v>
      </c>
      <c r="U140" s="24">
        <f>ROUND(Table134[[#This Row],['#punten]]/Table134[[#This Row],['#minuten]],2)</f>
        <v>0.4</v>
      </c>
      <c r="V140" s="23">
        <f>ROUND(Table134[[#This Row],['#punten]]/(Table134[[#This Row],['#minuten]]/90),2)</f>
        <v>35.58</v>
      </c>
      <c r="W140" s="23">
        <f>ROUND(Table134[[#This Row],[Prijs]]/Table134[[#This Row],['#punten]],0)</f>
        <v>2332</v>
      </c>
      <c r="X140" s="27">
        <f>ROUND((Table134[[#This Row],[Goals]]+Table134[[#This Row],[Asissts]])/(Table134[[#This Row],['#minuten]]/90),2)</f>
        <v>0.13</v>
      </c>
      <c r="Z140" t="s">
        <v>653</v>
      </c>
    </row>
    <row r="141" spans="1:26" x14ac:dyDescent="0.2">
      <c r="A141" s="39" t="s">
        <v>617</v>
      </c>
      <c r="B141" s="21" t="s">
        <v>260</v>
      </c>
      <c r="C141" s="22">
        <v>500000</v>
      </c>
      <c r="D141" s="23" t="s">
        <v>140</v>
      </c>
      <c r="E141" s="23">
        <v>19</v>
      </c>
      <c r="F141" s="23" t="s">
        <v>141</v>
      </c>
      <c r="G141" s="44">
        <v>68</v>
      </c>
      <c r="H141" s="45">
        <v>68</v>
      </c>
      <c r="I141" s="45">
        <f>ROUND(Table134[[#This Row],[laatste 5 wed.]]/Table134[[#This Row],['#punten]]*100,1)</f>
        <v>100</v>
      </c>
      <c r="J141" s="23">
        <v>4</v>
      </c>
      <c r="K141" s="23">
        <v>2</v>
      </c>
      <c r="L141" s="23">
        <v>192</v>
      </c>
      <c r="M141" s="23">
        <v>170</v>
      </c>
      <c r="N141" s="23">
        <f>ROUND(Table134[[#This Row],[Min laatste 5]]/Table134[[#This Row],['#minuten]]*100,1)</f>
        <v>88.5</v>
      </c>
      <c r="O141" s="23">
        <v>0</v>
      </c>
      <c r="P141" s="23">
        <v>0</v>
      </c>
      <c r="Q141" s="45">
        <v>1</v>
      </c>
      <c r="R141" s="23">
        <v>0</v>
      </c>
      <c r="S141" s="23">
        <v>1</v>
      </c>
      <c r="T141" s="46">
        <f>ROUND(Table134[[#This Row],['#punten]]/Table134[[#This Row],['#Wed]],2)</f>
        <v>17</v>
      </c>
      <c r="U141" s="44">
        <f>ROUND(Table134[[#This Row],['#punten]]/Table134[[#This Row],['#minuten]],2)</f>
        <v>0.35</v>
      </c>
      <c r="V141" s="23">
        <f>ROUND(Table134[[#This Row],['#punten]]/(Table134[[#This Row],['#minuten]]/90),2)</f>
        <v>31.88</v>
      </c>
      <c r="W141" s="23">
        <f>ROUND(Table134[[#This Row],[Prijs]]/Table134[[#This Row],['#punten]],0)</f>
        <v>7353</v>
      </c>
      <c r="X141" s="27">
        <f>ROUND((Table134[[#This Row],[Goals]]+Table134[[#This Row],[Asissts]])/(Table134[[#This Row],['#minuten]]/90),2)</f>
        <v>0</v>
      </c>
      <c r="Y141" s="38"/>
    </row>
    <row r="142" spans="1:26" x14ac:dyDescent="0.2">
      <c r="A142" s="39" t="s">
        <v>120</v>
      </c>
      <c r="B142" s="28" t="s">
        <v>11</v>
      </c>
      <c r="C142" s="29">
        <v>5500000</v>
      </c>
      <c r="D142" s="30" t="s">
        <v>140</v>
      </c>
      <c r="E142" s="30">
        <v>25</v>
      </c>
      <c r="F142" s="30" t="s">
        <v>141</v>
      </c>
      <c r="G142" s="47">
        <v>1634</v>
      </c>
      <c r="H142" s="48">
        <v>226</v>
      </c>
      <c r="I142" s="45">
        <f>ROUND(Table134[[#This Row],[laatste 5 wed.]]/Table134[[#This Row],['#punten]]*100,1)</f>
        <v>13.8</v>
      </c>
      <c r="J142" s="30">
        <v>17</v>
      </c>
      <c r="K142" s="30">
        <v>17</v>
      </c>
      <c r="L142" s="30">
        <v>1433</v>
      </c>
      <c r="M142" s="30">
        <v>270</v>
      </c>
      <c r="N142" s="23">
        <f>ROUND(Table134[[#This Row],[Min laatste 5]]/Table134[[#This Row],['#minuten]]*100,1)</f>
        <v>18.8</v>
      </c>
      <c r="O142" s="30">
        <v>3</v>
      </c>
      <c r="P142" s="30">
        <v>9</v>
      </c>
      <c r="Q142" s="48">
        <v>0</v>
      </c>
      <c r="R142" s="30">
        <v>0</v>
      </c>
      <c r="S142" s="30">
        <v>11</v>
      </c>
      <c r="T142" s="49">
        <f>ROUND(Table134[[#This Row],['#punten]]/Table134[[#This Row],['#Wed]],2)</f>
        <v>96.12</v>
      </c>
      <c r="U142" s="31">
        <f>ROUND(Table134[[#This Row],['#punten]]/Table134[[#This Row],['#minuten]],2)</f>
        <v>1.1399999999999999</v>
      </c>
      <c r="V142" s="30">
        <f>ROUND(Table134[[#This Row],['#punten]]/(Table134[[#This Row],['#minuten]]/90),2)</f>
        <v>102.62</v>
      </c>
      <c r="W142" s="30">
        <f>ROUND(Table134[[#This Row],[Prijs]]/Table134[[#This Row],['#punten]],0)</f>
        <v>3366</v>
      </c>
      <c r="X142" s="34">
        <f>ROUND((Table134[[#This Row],[Goals]]+Table134[[#This Row],[Asissts]])/(Table134[[#This Row],['#minuten]]/90),2)</f>
        <v>0.75</v>
      </c>
      <c r="Z142" t="s">
        <v>656</v>
      </c>
    </row>
    <row r="143" spans="1:26" x14ac:dyDescent="0.2">
      <c r="A143" s="39" t="s">
        <v>272</v>
      </c>
      <c r="B143" s="28" t="s">
        <v>11</v>
      </c>
      <c r="C143" s="29">
        <v>4000000</v>
      </c>
      <c r="D143" s="30" t="s">
        <v>140</v>
      </c>
      <c r="E143" s="30">
        <v>25</v>
      </c>
      <c r="F143" s="30" t="s">
        <v>141</v>
      </c>
      <c r="G143" s="47">
        <v>1608</v>
      </c>
      <c r="H143" s="48">
        <v>370</v>
      </c>
      <c r="I143" s="45">
        <f>ROUND(Table134[[#This Row],[laatste 5 wed.]]/Table134[[#This Row],['#punten]]*100,1)</f>
        <v>23</v>
      </c>
      <c r="J143" s="30">
        <v>19</v>
      </c>
      <c r="K143" s="30">
        <v>13</v>
      </c>
      <c r="L143" s="30">
        <v>1260</v>
      </c>
      <c r="M143" s="30">
        <v>422</v>
      </c>
      <c r="N143" s="23">
        <f>ROUND(Table134[[#This Row],[Min laatste 5]]/Table134[[#This Row],['#minuten]]*100,1)</f>
        <v>33.5</v>
      </c>
      <c r="O143" s="30">
        <v>7</v>
      </c>
      <c r="P143" s="30">
        <v>3</v>
      </c>
      <c r="Q143" s="48">
        <v>0</v>
      </c>
      <c r="R143" s="30">
        <v>0</v>
      </c>
      <c r="S143" s="30">
        <v>9</v>
      </c>
      <c r="T143" s="49">
        <f>ROUND(Table134[[#This Row],['#punten]]/Table134[[#This Row],['#Wed]],2)</f>
        <v>84.63</v>
      </c>
      <c r="U143" s="31">
        <f>ROUND(Table134[[#This Row],['#punten]]/Table134[[#This Row],['#minuten]],2)</f>
        <v>1.28</v>
      </c>
      <c r="V143" s="30">
        <f>ROUND(Table134[[#This Row],['#punten]]/(Table134[[#This Row],['#minuten]]/90),2)</f>
        <v>114.86</v>
      </c>
      <c r="W143" s="30">
        <f>ROUND(Table134[[#This Row],[Prijs]]/Table134[[#This Row],['#punten]],0)</f>
        <v>2488</v>
      </c>
      <c r="X143" s="34">
        <f>ROUND((Table134[[#This Row],[Goals]]+Table134[[#This Row],[Asissts]])/(Table134[[#This Row],['#minuten]]/90),2)</f>
        <v>0.71</v>
      </c>
    </row>
    <row r="144" spans="1:26" x14ac:dyDescent="0.2">
      <c r="A144" s="39" t="s">
        <v>271</v>
      </c>
      <c r="B144" s="28" t="s">
        <v>11</v>
      </c>
      <c r="C144" s="29">
        <v>3000000</v>
      </c>
      <c r="D144" s="30" t="s">
        <v>140</v>
      </c>
      <c r="E144" s="30">
        <v>21</v>
      </c>
      <c r="F144" s="30" t="s">
        <v>175</v>
      </c>
      <c r="G144" s="47">
        <v>1170</v>
      </c>
      <c r="H144" s="48">
        <v>260</v>
      </c>
      <c r="I144" s="45">
        <f>ROUND(Table134[[#This Row],[laatste 5 wed.]]/Table134[[#This Row],['#punten]]*100,1)</f>
        <v>22.2</v>
      </c>
      <c r="J144" s="30">
        <v>14</v>
      </c>
      <c r="K144" s="30">
        <v>7</v>
      </c>
      <c r="L144" s="30">
        <v>689</v>
      </c>
      <c r="M144" s="30">
        <v>323</v>
      </c>
      <c r="N144" s="23">
        <f>ROUND(Table134[[#This Row],[Min laatste 5]]/Table134[[#This Row],['#minuten]]*100,1)</f>
        <v>46.9</v>
      </c>
      <c r="O144" s="30">
        <v>5</v>
      </c>
      <c r="P144" s="30">
        <v>3</v>
      </c>
      <c r="Q144" s="48">
        <v>0</v>
      </c>
      <c r="R144" s="30">
        <v>0</v>
      </c>
      <c r="S144" s="30">
        <v>3</v>
      </c>
      <c r="T144" s="49">
        <f>ROUND(Table134[[#This Row],['#punten]]/Table134[[#This Row],['#Wed]],2)</f>
        <v>83.57</v>
      </c>
      <c r="U144" s="31">
        <f>ROUND(Table134[[#This Row],['#punten]]/Table134[[#This Row],['#minuten]],2)</f>
        <v>1.7</v>
      </c>
      <c r="V144" s="30">
        <f>ROUND(Table134[[#This Row],['#punten]]/(Table134[[#This Row],['#minuten]]/90),2)</f>
        <v>152.83000000000001</v>
      </c>
      <c r="W144" s="30">
        <f>ROUND(Table134[[#This Row],[Prijs]]/Table134[[#This Row],['#punten]],0)</f>
        <v>2564</v>
      </c>
      <c r="X144" s="34">
        <f>ROUND((Table134[[#This Row],[Goals]]+Table134[[#This Row],[Asissts]])/(Table134[[#This Row],['#minuten]]/90),2)</f>
        <v>1.04</v>
      </c>
      <c r="Y144" s="38"/>
      <c r="Z144" t="s">
        <v>656</v>
      </c>
    </row>
    <row r="145" spans="1:26" x14ac:dyDescent="0.2">
      <c r="A145" s="39" t="s">
        <v>273</v>
      </c>
      <c r="B145" s="28" t="s">
        <v>11</v>
      </c>
      <c r="C145" s="29">
        <v>3000000</v>
      </c>
      <c r="D145" s="30" t="s">
        <v>140</v>
      </c>
      <c r="E145" s="30">
        <v>22</v>
      </c>
      <c r="F145" s="30" t="s">
        <v>381</v>
      </c>
      <c r="G145" s="47">
        <v>968</v>
      </c>
      <c r="H145" s="48">
        <v>260</v>
      </c>
      <c r="I145" s="45">
        <f>ROUND(Table134[[#This Row],[laatste 5 wed.]]/Table134[[#This Row],['#punten]]*100,1)</f>
        <v>26.9</v>
      </c>
      <c r="J145" s="30">
        <v>14</v>
      </c>
      <c r="K145" s="30">
        <v>7</v>
      </c>
      <c r="L145" s="30">
        <v>742</v>
      </c>
      <c r="M145" s="30">
        <v>163</v>
      </c>
      <c r="N145" s="23">
        <f>ROUND(Table134[[#This Row],[Min laatste 5]]/Table134[[#This Row],['#minuten]]*100,1)</f>
        <v>22</v>
      </c>
      <c r="O145" s="30">
        <v>4</v>
      </c>
      <c r="P145" s="30">
        <v>2</v>
      </c>
      <c r="Q145" s="48">
        <v>1</v>
      </c>
      <c r="R145" s="30">
        <v>0</v>
      </c>
      <c r="S145" s="30">
        <v>6</v>
      </c>
      <c r="T145" s="49">
        <f>ROUND(Table134[[#This Row],['#punten]]/Table134[[#This Row],['#Wed]],2)</f>
        <v>69.14</v>
      </c>
      <c r="U145" s="31">
        <f>ROUND(Table134[[#This Row],['#punten]]/Table134[[#This Row],['#minuten]],2)</f>
        <v>1.3</v>
      </c>
      <c r="V145" s="30">
        <f>ROUND(Table134[[#This Row],['#punten]]/(Table134[[#This Row],['#minuten]]/90),2)</f>
        <v>117.41</v>
      </c>
      <c r="W145" s="30">
        <f>ROUND(Table134[[#This Row],[Prijs]]/Table134[[#This Row],['#punten]],0)</f>
        <v>3099</v>
      </c>
      <c r="X145" s="34">
        <f>ROUND((Table134[[#This Row],[Goals]]+Table134[[#This Row],[Asissts]])/(Table134[[#This Row],['#minuten]]/90),2)</f>
        <v>0.73</v>
      </c>
      <c r="Y145" s="38"/>
    </row>
    <row r="146" spans="1:26" x14ac:dyDescent="0.2">
      <c r="A146" s="39" t="s">
        <v>275</v>
      </c>
      <c r="B146" s="28" t="s">
        <v>11</v>
      </c>
      <c r="C146" s="29">
        <v>2500000</v>
      </c>
      <c r="D146" s="30" t="s">
        <v>140</v>
      </c>
      <c r="E146" s="30">
        <v>26</v>
      </c>
      <c r="F146" s="30" t="s">
        <v>141</v>
      </c>
      <c r="G146" s="47">
        <v>914</v>
      </c>
      <c r="H146" s="48">
        <v>220</v>
      </c>
      <c r="I146" s="45">
        <f>ROUND(Table134[[#This Row],[laatste 5 wed.]]/Table134[[#This Row],['#punten]]*100,1)</f>
        <v>24.1</v>
      </c>
      <c r="J146" s="30">
        <v>15</v>
      </c>
      <c r="K146" s="30">
        <v>14</v>
      </c>
      <c r="L146" s="30">
        <v>1209</v>
      </c>
      <c r="M146" s="30">
        <v>331</v>
      </c>
      <c r="N146" s="23">
        <f>ROUND(Table134[[#This Row],[Min laatste 5]]/Table134[[#This Row],['#minuten]]*100,1)</f>
        <v>27.4</v>
      </c>
      <c r="O146" s="30">
        <v>1</v>
      </c>
      <c r="P146" s="30">
        <v>0</v>
      </c>
      <c r="Q146" s="48">
        <v>2</v>
      </c>
      <c r="R146" s="30">
        <v>0</v>
      </c>
      <c r="S146" s="30">
        <v>9</v>
      </c>
      <c r="T146" s="49">
        <f>ROUND(Table134[[#This Row],['#punten]]/Table134[[#This Row],['#Wed]],2)</f>
        <v>60.93</v>
      </c>
      <c r="U146" s="31">
        <f>ROUND(Table134[[#This Row],['#punten]]/Table134[[#This Row],['#minuten]],2)</f>
        <v>0.76</v>
      </c>
      <c r="V146" s="30">
        <f>ROUND(Table134[[#This Row],['#punten]]/(Table134[[#This Row],['#minuten]]/90),2)</f>
        <v>68.040000000000006</v>
      </c>
      <c r="W146" s="30">
        <f>ROUND(Table134[[#This Row],[Prijs]]/Table134[[#This Row],['#punten]],0)</f>
        <v>2735</v>
      </c>
      <c r="X146" s="34">
        <f>ROUND((Table134[[#This Row],[Goals]]+Table134[[#This Row],[Asissts]])/(Table134[[#This Row],['#minuten]]/90),2)</f>
        <v>7.0000000000000007E-2</v>
      </c>
      <c r="Y146" s="38"/>
    </row>
    <row r="147" spans="1:26" x14ac:dyDescent="0.2">
      <c r="A147" s="39" t="s">
        <v>290</v>
      </c>
      <c r="B147" s="28" t="s">
        <v>40</v>
      </c>
      <c r="C147" s="29">
        <v>1500000</v>
      </c>
      <c r="D147" s="30" t="s">
        <v>140</v>
      </c>
      <c r="E147" s="30">
        <v>22</v>
      </c>
      <c r="F147" s="30" t="s">
        <v>141</v>
      </c>
      <c r="G147" s="47">
        <v>774</v>
      </c>
      <c r="H147" s="48">
        <v>76</v>
      </c>
      <c r="I147" s="45">
        <f>ROUND(Table134[[#This Row],[laatste 5 wed.]]/Table134[[#This Row],['#punten]]*100,1)</f>
        <v>9.8000000000000007</v>
      </c>
      <c r="J147" s="30">
        <v>17</v>
      </c>
      <c r="K147" s="30">
        <v>17</v>
      </c>
      <c r="L147" s="30">
        <v>1498</v>
      </c>
      <c r="M147" s="30">
        <v>360</v>
      </c>
      <c r="N147" s="23">
        <f>ROUND(Table134[[#This Row],[Min laatste 5]]/Table134[[#This Row],['#minuten]]*100,1)</f>
        <v>24</v>
      </c>
      <c r="O147" s="30">
        <v>5</v>
      </c>
      <c r="P147" s="30">
        <v>0</v>
      </c>
      <c r="Q147" s="48">
        <v>5</v>
      </c>
      <c r="R147" s="30">
        <v>0</v>
      </c>
      <c r="S147" s="30">
        <v>2</v>
      </c>
      <c r="T147" s="49">
        <f>ROUND(Table134[[#This Row],['#punten]]/Table134[[#This Row],['#Wed]],2)</f>
        <v>45.53</v>
      </c>
      <c r="U147" s="31">
        <f>ROUND(Table134[[#This Row],['#punten]]/Table134[[#This Row],['#minuten]],2)</f>
        <v>0.52</v>
      </c>
      <c r="V147" s="30">
        <f>ROUND(Table134[[#This Row],['#punten]]/(Table134[[#This Row],['#minuten]]/90),2)</f>
        <v>46.5</v>
      </c>
      <c r="W147" s="30">
        <f>ROUND(Table134[[#This Row],[Prijs]]/Table134[[#This Row],['#punten]],0)</f>
        <v>1938</v>
      </c>
      <c r="X147" s="34">
        <f>ROUND((Table134[[#This Row],[Goals]]+Table134[[#This Row],[Asissts]])/(Table134[[#This Row],['#minuten]]/90),2)</f>
        <v>0.3</v>
      </c>
    </row>
    <row r="148" spans="1:26" x14ac:dyDescent="0.2">
      <c r="A148" s="39" t="s">
        <v>620</v>
      </c>
      <c r="B148" s="28" t="s">
        <v>40</v>
      </c>
      <c r="C148" s="29">
        <v>1250000</v>
      </c>
      <c r="D148" s="30" t="s">
        <v>140</v>
      </c>
      <c r="E148" s="30">
        <v>24</v>
      </c>
      <c r="F148" s="30" t="s">
        <v>141</v>
      </c>
      <c r="G148" s="47">
        <v>450</v>
      </c>
      <c r="H148" s="48">
        <v>68</v>
      </c>
      <c r="I148" s="45">
        <f>ROUND(Table134[[#This Row],[laatste 5 wed.]]/Table134[[#This Row],['#punten]]*100,1)</f>
        <v>15.1</v>
      </c>
      <c r="J148" s="30">
        <v>17</v>
      </c>
      <c r="K148" s="30">
        <v>16</v>
      </c>
      <c r="L148" s="30">
        <v>1313</v>
      </c>
      <c r="M148" s="30">
        <v>408</v>
      </c>
      <c r="N148" s="23">
        <f>ROUND(Table134[[#This Row],[Min laatste 5]]/Table134[[#This Row],['#minuten]]*100,1)</f>
        <v>31.1</v>
      </c>
      <c r="O148" s="30">
        <v>0</v>
      </c>
      <c r="P148" s="30">
        <v>2</v>
      </c>
      <c r="Q148" s="48">
        <v>3</v>
      </c>
      <c r="R148" s="30">
        <v>1</v>
      </c>
      <c r="S148" s="30">
        <v>2</v>
      </c>
      <c r="T148" s="49">
        <f>ROUND(Table134[[#This Row],['#punten]]/Table134[[#This Row],['#Wed]],2)</f>
        <v>26.47</v>
      </c>
      <c r="U148" s="47">
        <f>ROUND(Table134[[#This Row],['#punten]]/Table134[[#This Row],['#minuten]],2)</f>
        <v>0.34</v>
      </c>
      <c r="V148" s="30">
        <f>ROUND(Table134[[#This Row],['#punten]]/(Table134[[#This Row],['#minuten]]/90),2)</f>
        <v>30.85</v>
      </c>
      <c r="W148" s="30">
        <f>ROUND(Table134[[#This Row],[Prijs]]/Table134[[#This Row],['#punten]],0)</f>
        <v>2778</v>
      </c>
      <c r="X148" s="34">
        <f>ROUND((Table134[[#This Row],[Goals]]+Table134[[#This Row],[Asissts]])/(Table134[[#This Row],['#minuten]]/90),2)</f>
        <v>0.14000000000000001</v>
      </c>
      <c r="Y148" s="38"/>
    </row>
    <row r="149" spans="1:26" x14ac:dyDescent="0.2">
      <c r="A149" s="39" t="s">
        <v>619</v>
      </c>
      <c r="B149" s="28" t="s">
        <v>40</v>
      </c>
      <c r="C149" s="29">
        <v>1250000</v>
      </c>
      <c r="D149" s="30" t="s">
        <v>140</v>
      </c>
      <c r="E149" s="30">
        <v>19</v>
      </c>
      <c r="F149" s="30" t="s">
        <v>167</v>
      </c>
      <c r="G149" s="47">
        <v>354</v>
      </c>
      <c r="H149" s="48">
        <v>88</v>
      </c>
      <c r="I149" s="45">
        <f>ROUND(Table134[[#This Row],[laatste 5 wed.]]/Table134[[#This Row],['#punten]]*100,1)</f>
        <v>24.9</v>
      </c>
      <c r="J149" s="30">
        <v>16</v>
      </c>
      <c r="K149" s="30">
        <v>9</v>
      </c>
      <c r="L149" s="30">
        <v>919</v>
      </c>
      <c r="M149" s="30">
        <v>337</v>
      </c>
      <c r="N149" s="23">
        <f>ROUND(Table134[[#This Row],[Min laatste 5]]/Table134[[#This Row],['#minuten]]*100,1)</f>
        <v>36.700000000000003</v>
      </c>
      <c r="O149" s="30">
        <v>1</v>
      </c>
      <c r="P149" s="30">
        <v>0</v>
      </c>
      <c r="Q149" s="48">
        <v>1</v>
      </c>
      <c r="R149" s="30">
        <v>0</v>
      </c>
      <c r="S149" s="30">
        <v>0</v>
      </c>
      <c r="T149" s="49">
        <f>ROUND(Table134[[#This Row],['#punten]]/Table134[[#This Row],['#Wed]],2)</f>
        <v>22.13</v>
      </c>
      <c r="U149" s="47">
        <f>ROUND(Table134[[#This Row],['#punten]]/Table134[[#This Row],['#minuten]],2)</f>
        <v>0.39</v>
      </c>
      <c r="V149" s="30">
        <f>ROUND(Table134[[#This Row],['#punten]]/(Table134[[#This Row],['#minuten]]/90),2)</f>
        <v>34.67</v>
      </c>
      <c r="W149" s="30">
        <f>ROUND(Table134[[#This Row],[Prijs]]/Table134[[#This Row],['#punten]],0)</f>
        <v>3531</v>
      </c>
      <c r="X149" s="34">
        <f>ROUND((Table134[[#This Row],[Goals]]+Table134[[#This Row],[Asissts]])/(Table134[[#This Row],['#minuten]]/90),2)</f>
        <v>0.1</v>
      </c>
      <c r="Y149" s="38"/>
    </row>
    <row r="150" spans="1:26" x14ac:dyDescent="0.2">
      <c r="A150" s="39" t="s">
        <v>303</v>
      </c>
      <c r="B150" s="28" t="s">
        <v>40</v>
      </c>
      <c r="C150" s="29">
        <v>750000</v>
      </c>
      <c r="D150" s="30" t="s">
        <v>140</v>
      </c>
      <c r="E150" s="30">
        <v>28</v>
      </c>
      <c r="F150" s="30" t="s">
        <v>141</v>
      </c>
      <c r="G150" s="47">
        <v>206</v>
      </c>
      <c r="H150" s="48">
        <v>50</v>
      </c>
      <c r="I150" s="45">
        <f>ROUND(Table134[[#This Row],[laatste 5 wed.]]/Table134[[#This Row],['#punten]]*100,1)</f>
        <v>24.3</v>
      </c>
      <c r="J150" s="30">
        <v>14</v>
      </c>
      <c r="K150" s="30">
        <v>5</v>
      </c>
      <c r="L150" s="30">
        <v>560</v>
      </c>
      <c r="M150" s="30">
        <v>222</v>
      </c>
      <c r="N150" s="23">
        <f>ROUND(Table134[[#This Row],[Min laatste 5]]/Table134[[#This Row],['#minuten]]*100,1)</f>
        <v>39.6</v>
      </c>
      <c r="O150" s="30">
        <v>0</v>
      </c>
      <c r="P150" s="30">
        <v>0</v>
      </c>
      <c r="Q150" s="48">
        <v>0</v>
      </c>
      <c r="R150" s="30">
        <v>0</v>
      </c>
      <c r="S150" s="30">
        <v>2</v>
      </c>
      <c r="T150" s="49">
        <f>ROUND(Table134[[#This Row],['#punten]]/Table134[[#This Row],['#Wed]],2)</f>
        <v>14.71</v>
      </c>
      <c r="U150" s="31">
        <f>ROUND(Table134[[#This Row],['#punten]]/Table134[[#This Row],['#minuten]],2)</f>
        <v>0.37</v>
      </c>
      <c r="V150" s="30">
        <f>ROUND(Table134[[#This Row],['#punten]]/(Table134[[#This Row],['#minuten]]/90),2)</f>
        <v>33.11</v>
      </c>
      <c r="W150" s="30">
        <f>ROUND(Table134[[#This Row],[Prijs]]/Table134[[#This Row],['#punten]],0)</f>
        <v>3641</v>
      </c>
      <c r="X150" s="34">
        <f>ROUND((Table134[[#This Row],[Goals]]+Table134[[#This Row],[Asissts]])/(Table134[[#This Row],['#minuten]]/90),2)</f>
        <v>0</v>
      </c>
      <c r="Y150" s="38"/>
    </row>
    <row r="151" spans="1:26" x14ac:dyDescent="0.2">
      <c r="A151" s="39" t="s">
        <v>301</v>
      </c>
      <c r="B151" s="28" t="s">
        <v>47</v>
      </c>
      <c r="C151" s="29">
        <v>2000000</v>
      </c>
      <c r="D151" s="30" t="s">
        <v>140</v>
      </c>
      <c r="E151" s="30">
        <v>22</v>
      </c>
      <c r="F151" s="30" t="s">
        <v>179</v>
      </c>
      <c r="G151" s="47">
        <v>1144</v>
      </c>
      <c r="H151" s="48">
        <v>278</v>
      </c>
      <c r="I151" s="45">
        <f>ROUND(Table134[[#This Row],[laatste 5 wed.]]/Table134[[#This Row],['#punten]]*100,1)</f>
        <v>24.3</v>
      </c>
      <c r="J151" s="30">
        <v>19</v>
      </c>
      <c r="K151" s="30">
        <v>19</v>
      </c>
      <c r="L151" s="30">
        <v>1671</v>
      </c>
      <c r="M151" s="30">
        <v>450</v>
      </c>
      <c r="N151" s="23">
        <f>ROUND(Table134[[#This Row],[Min laatste 5]]/Table134[[#This Row],['#minuten]]*100,1)</f>
        <v>26.9</v>
      </c>
      <c r="O151" s="30">
        <v>5</v>
      </c>
      <c r="P151" s="30">
        <v>2</v>
      </c>
      <c r="Q151" s="48">
        <v>1</v>
      </c>
      <c r="R151" s="30">
        <v>0</v>
      </c>
      <c r="S151" s="30">
        <v>5</v>
      </c>
      <c r="T151" s="49">
        <f>ROUND(Table134[[#This Row],['#punten]]/Table134[[#This Row],['#Wed]],2)</f>
        <v>60.21</v>
      </c>
      <c r="U151" s="31">
        <f>ROUND(Table134[[#This Row],['#punten]]/Table134[[#This Row],['#minuten]],2)</f>
        <v>0.68</v>
      </c>
      <c r="V151" s="30">
        <f>ROUND(Table134[[#This Row],['#punten]]/(Table134[[#This Row],['#minuten]]/90),2)</f>
        <v>61.62</v>
      </c>
      <c r="W151" s="30">
        <f>ROUND(Table134[[#This Row],[Prijs]]/Table134[[#This Row],['#punten]],0)</f>
        <v>1748</v>
      </c>
      <c r="X151" s="34">
        <f>ROUND((Table134[[#This Row],[Goals]]+Table134[[#This Row],[Asissts]])/(Table134[[#This Row],['#minuten]]/90),2)</f>
        <v>0.38</v>
      </c>
      <c r="Y151" s="38"/>
      <c r="Z151" t="s">
        <v>635</v>
      </c>
    </row>
    <row r="152" spans="1:26" x14ac:dyDescent="0.2">
      <c r="A152" s="39" t="s">
        <v>300</v>
      </c>
      <c r="B152" s="28" t="s">
        <v>47</v>
      </c>
      <c r="C152" s="29">
        <v>2500000</v>
      </c>
      <c r="D152" s="30" t="s">
        <v>140</v>
      </c>
      <c r="E152" s="30">
        <v>26</v>
      </c>
      <c r="F152" s="30" t="s">
        <v>167</v>
      </c>
      <c r="G152" s="47">
        <v>754</v>
      </c>
      <c r="H152" s="48">
        <v>142</v>
      </c>
      <c r="I152" s="45">
        <f>ROUND(Table134[[#This Row],[laatste 5 wed.]]/Table134[[#This Row],['#punten]]*100,1)</f>
        <v>18.8</v>
      </c>
      <c r="J152" s="30">
        <v>16</v>
      </c>
      <c r="K152" s="30">
        <v>16</v>
      </c>
      <c r="L152" s="30">
        <v>1380</v>
      </c>
      <c r="M152" s="30">
        <v>449</v>
      </c>
      <c r="N152" s="23">
        <f>ROUND(Table134[[#This Row],[Min laatste 5]]/Table134[[#This Row],['#minuten]]*100,1)</f>
        <v>32.5</v>
      </c>
      <c r="O152" s="30">
        <v>3</v>
      </c>
      <c r="P152" s="30">
        <v>2</v>
      </c>
      <c r="Q152" s="48">
        <v>3</v>
      </c>
      <c r="R152" s="30">
        <v>1</v>
      </c>
      <c r="S152" s="30">
        <v>4</v>
      </c>
      <c r="T152" s="49">
        <f>ROUND(Table134[[#This Row],['#punten]]/Table134[[#This Row],['#Wed]],2)</f>
        <v>47.13</v>
      </c>
      <c r="U152" s="31">
        <f>ROUND(Table134[[#This Row],['#punten]]/Table134[[#This Row],['#minuten]],2)</f>
        <v>0.55000000000000004</v>
      </c>
      <c r="V152" s="30">
        <f>ROUND(Table134[[#This Row],['#punten]]/(Table134[[#This Row],['#minuten]]/90),2)</f>
        <v>49.17</v>
      </c>
      <c r="W152" s="30">
        <f>ROUND(Table134[[#This Row],[Prijs]]/Table134[[#This Row],['#punten]],0)</f>
        <v>3316</v>
      </c>
      <c r="X152" s="34">
        <f>ROUND((Table134[[#This Row],[Goals]]+Table134[[#This Row],[Asissts]])/(Table134[[#This Row],['#minuten]]/90),2)</f>
        <v>0.33</v>
      </c>
    </row>
    <row r="153" spans="1:26" x14ac:dyDescent="0.2">
      <c r="A153" s="39" t="s">
        <v>302</v>
      </c>
      <c r="B153" s="28" t="s">
        <v>47</v>
      </c>
      <c r="C153" s="29">
        <v>1250000</v>
      </c>
      <c r="D153" s="30" t="s">
        <v>140</v>
      </c>
      <c r="E153" s="30">
        <v>36</v>
      </c>
      <c r="F153" s="30" t="s">
        <v>141</v>
      </c>
      <c r="G153" s="47">
        <v>678</v>
      </c>
      <c r="H153" s="48">
        <v>76</v>
      </c>
      <c r="I153" s="45">
        <f>ROUND(Table134[[#This Row],[laatste 5 wed.]]/Table134[[#This Row],['#punten]]*100,1)</f>
        <v>11.2</v>
      </c>
      <c r="J153" s="30">
        <v>18</v>
      </c>
      <c r="K153" s="30">
        <v>18</v>
      </c>
      <c r="L153" s="30">
        <v>1392</v>
      </c>
      <c r="M153" s="30">
        <v>304</v>
      </c>
      <c r="N153" s="23">
        <f>ROUND(Table134[[#This Row],[Min laatste 5]]/Table134[[#This Row],['#minuten]]*100,1)</f>
        <v>21.8</v>
      </c>
      <c r="O153" s="30">
        <v>1</v>
      </c>
      <c r="P153" s="30">
        <v>1</v>
      </c>
      <c r="Q153" s="48">
        <v>4</v>
      </c>
      <c r="R153" s="30">
        <v>0</v>
      </c>
      <c r="S153" s="30">
        <v>5</v>
      </c>
      <c r="T153" s="49">
        <f>ROUND(Table134[[#This Row],['#punten]]/Table134[[#This Row],['#Wed]],2)</f>
        <v>37.67</v>
      </c>
      <c r="U153" s="31">
        <f>ROUND(Table134[[#This Row],['#punten]]/Table134[[#This Row],['#minuten]],2)</f>
        <v>0.49</v>
      </c>
      <c r="V153" s="30">
        <f>ROUND(Table134[[#This Row],['#punten]]/(Table134[[#This Row],['#minuten]]/90),2)</f>
        <v>43.84</v>
      </c>
      <c r="W153" s="30">
        <f>ROUND(Table134[[#This Row],[Prijs]]/Table134[[#This Row],['#punten]],0)</f>
        <v>1844</v>
      </c>
      <c r="X153" s="34">
        <f>ROUND((Table134[[#This Row],[Goals]]+Table134[[#This Row],[Asissts]])/(Table134[[#This Row],['#minuten]]/90),2)</f>
        <v>0.13</v>
      </c>
    </row>
    <row r="154" spans="1:26" x14ac:dyDescent="0.2">
      <c r="A154" s="39" t="s">
        <v>479</v>
      </c>
      <c r="B154" s="28" t="s">
        <v>47</v>
      </c>
      <c r="C154" s="29">
        <v>1500000</v>
      </c>
      <c r="D154" s="30" t="s">
        <v>140</v>
      </c>
      <c r="E154" s="30">
        <v>22</v>
      </c>
      <c r="F154" s="30" t="s">
        <v>141</v>
      </c>
      <c r="G154" s="47">
        <v>488</v>
      </c>
      <c r="H154" s="48">
        <v>118</v>
      </c>
      <c r="I154" s="45">
        <f>ROUND(Table134[[#This Row],[laatste 5 wed.]]/Table134[[#This Row],['#punten]]*100,1)</f>
        <v>24.2</v>
      </c>
      <c r="J154" s="30">
        <v>16</v>
      </c>
      <c r="K154" s="30">
        <v>10</v>
      </c>
      <c r="L154" s="30">
        <v>933</v>
      </c>
      <c r="M154" s="30">
        <v>206</v>
      </c>
      <c r="N154" s="23">
        <f>ROUND(Table134[[#This Row],[Min laatste 5]]/Table134[[#This Row],['#minuten]]*100,1)</f>
        <v>22.1</v>
      </c>
      <c r="O154" s="30">
        <v>2</v>
      </c>
      <c r="P154" s="30">
        <v>0</v>
      </c>
      <c r="Q154" s="48">
        <v>1</v>
      </c>
      <c r="R154" s="30">
        <v>0</v>
      </c>
      <c r="S154" s="30">
        <v>3</v>
      </c>
      <c r="T154" s="49">
        <f>ROUND(Table134[[#This Row],['#punten]]/Table134[[#This Row],['#Wed]],2)</f>
        <v>30.5</v>
      </c>
      <c r="U154" s="31">
        <f>ROUND(Table134[[#This Row],['#punten]]/Table134[[#This Row],['#minuten]],2)</f>
        <v>0.52</v>
      </c>
      <c r="V154" s="30">
        <f>ROUND(Table134[[#This Row],['#punten]]/(Table134[[#This Row],['#minuten]]/90),2)</f>
        <v>47.07</v>
      </c>
      <c r="W154" s="30">
        <f>ROUND(Table134[[#This Row],[Prijs]]/Table134[[#This Row],['#punten]],0)</f>
        <v>3074</v>
      </c>
      <c r="X154" s="34">
        <f>ROUND((Table134[[#This Row],[Goals]]+Table134[[#This Row],[Asissts]])/(Table134[[#This Row],['#minuten]]/90),2)</f>
        <v>0.19</v>
      </c>
      <c r="Y154" s="38"/>
      <c r="Z154" t="s">
        <v>648</v>
      </c>
    </row>
    <row r="155" spans="1:26" x14ac:dyDescent="0.2">
      <c r="A155" s="39" t="s">
        <v>622</v>
      </c>
      <c r="B155" s="28" t="s">
        <v>47</v>
      </c>
      <c r="C155" s="29">
        <v>750000</v>
      </c>
      <c r="D155" s="30" t="s">
        <v>140</v>
      </c>
      <c r="E155" s="30">
        <v>20</v>
      </c>
      <c r="F155" s="30" t="s">
        <v>196</v>
      </c>
      <c r="G155" s="47">
        <v>246</v>
      </c>
      <c r="H155" s="48">
        <v>160</v>
      </c>
      <c r="I155" s="45">
        <f>ROUND(Table134[[#This Row],[laatste 5 wed.]]/Table134[[#This Row],['#punten]]*100,1)</f>
        <v>65</v>
      </c>
      <c r="J155" s="30">
        <v>11</v>
      </c>
      <c r="K155" s="30">
        <v>3</v>
      </c>
      <c r="L155" s="30">
        <v>346</v>
      </c>
      <c r="M155" s="30">
        <v>148</v>
      </c>
      <c r="N155" s="23">
        <f>ROUND(Table134[[#This Row],[Min laatste 5]]/Table134[[#This Row],['#minuten]]*100,1)</f>
        <v>42.8</v>
      </c>
      <c r="O155" s="30">
        <v>1</v>
      </c>
      <c r="P155" s="30">
        <v>0</v>
      </c>
      <c r="Q155" s="48">
        <v>1</v>
      </c>
      <c r="R155" s="30">
        <v>0</v>
      </c>
      <c r="S155" s="30">
        <v>2</v>
      </c>
      <c r="T155" s="49">
        <f>ROUND(Table134[[#This Row],['#punten]]/Table134[[#This Row],['#Wed]],2)</f>
        <v>22.36</v>
      </c>
      <c r="U155" s="47">
        <f>ROUND(Table134[[#This Row],['#punten]]/Table134[[#This Row],['#minuten]],2)</f>
        <v>0.71</v>
      </c>
      <c r="V155" s="30">
        <f>ROUND(Table134[[#This Row],['#punten]]/(Table134[[#This Row],['#minuten]]/90),2)</f>
        <v>63.99</v>
      </c>
      <c r="W155" s="30">
        <f>ROUND(Table134[[#This Row],[Prijs]]/Table134[[#This Row],['#punten]],0)</f>
        <v>3049</v>
      </c>
      <c r="X155" s="34">
        <f>ROUND((Table134[[#This Row],[Goals]]+Table134[[#This Row],[Asissts]])/(Table134[[#This Row],['#minuten]]/90),2)</f>
        <v>0.26</v>
      </c>
      <c r="Y155" s="38"/>
    </row>
    <row r="156" spans="1:26" x14ac:dyDescent="0.2">
      <c r="A156" s="39" t="s">
        <v>24</v>
      </c>
      <c r="B156" s="28" t="s">
        <v>49</v>
      </c>
      <c r="C156" s="29">
        <v>5000000</v>
      </c>
      <c r="D156" s="30" t="s">
        <v>140</v>
      </c>
      <c r="E156" s="30">
        <v>22</v>
      </c>
      <c r="F156" s="30" t="s">
        <v>141</v>
      </c>
      <c r="G156" s="47">
        <v>1602</v>
      </c>
      <c r="H156" s="48">
        <v>210</v>
      </c>
      <c r="I156" s="45">
        <f>ROUND(Table134[[#This Row],[laatste 5 wed.]]/Table134[[#This Row],['#punten]]*100,1)</f>
        <v>13.1</v>
      </c>
      <c r="J156" s="30">
        <v>19</v>
      </c>
      <c r="K156" s="30">
        <v>18</v>
      </c>
      <c r="L156" s="30">
        <v>1325</v>
      </c>
      <c r="M156" s="30">
        <v>363</v>
      </c>
      <c r="N156" s="23">
        <f>ROUND(Table134[[#This Row],[Min laatste 5]]/Table134[[#This Row],['#minuten]]*100,1)</f>
        <v>27.4</v>
      </c>
      <c r="O156" s="30">
        <v>10</v>
      </c>
      <c r="P156" s="30">
        <v>2</v>
      </c>
      <c r="Q156" s="48">
        <v>1</v>
      </c>
      <c r="R156" s="30">
        <v>0</v>
      </c>
      <c r="S156" s="30">
        <v>4</v>
      </c>
      <c r="T156" s="49">
        <f>ROUND(Table134[[#This Row],['#punten]]/Table134[[#This Row],['#Wed]],2)</f>
        <v>84.32</v>
      </c>
      <c r="U156" s="31">
        <f>ROUND(Table134[[#This Row],['#punten]]/Table134[[#This Row],['#minuten]],2)</f>
        <v>1.21</v>
      </c>
      <c r="V156" s="30">
        <f>ROUND(Table134[[#This Row],['#punten]]/(Table134[[#This Row],['#minuten]]/90),2)</f>
        <v>108.82</v>
      </c>
      <c r="W156" s="30">
        <f>ROUND(Table134[[#This Row],[Prijs]]/Table134[[#This Row],['#punten]],0)</f>
        <v>3121</v>
      </c>
      <c r="X156" s="34">
        <f>ROUND((Table134[[#This Row],[Goals]]+Table134[[#This Row],[Asissts]])/(Table134[[#This Row],['#minuten]]/90),2)</f>
        <v>0.82</v>
      </c>
      <c r="Y156" s="38"/>
      <c r="Z156" t="s">
        <v>637</v>
      </c>
    </row>
    <row r="157" spans="1:26" x14ac:dyDescent="0.2">
      <c r="A157" s="39" t="s">
        <v>311</v>
      </c>
      <c r="B157" s="28" t="s">
        <v>49</v>
      </c>
      <c r="C157" s="29">
        <v>2500000</v>
      </c>
      <c r="D157" s="30" t="s">
        <v>140</v>
      </c>
      <c r="E157" s="30">
        <v>26</v>
      </c>
      <c r="F157" s="30" t="s">
        <v>141</v>
      </c>
      <c r="G157" s="47">
        <v>878</v>
      </c>
      <c r="H157" s="48">
        <v>160</v>
      </c>
      <c r="I157" s="45">
        <f>ROUND(Table134[[#This Row],[laatste 5 wed.]]/Table134[[#This Row],['#punten]]*100,1)</f>
        <v>18.2</v>
      </c>
      <c r="J157" s="30">
        <v>16</v>
      </c>
      <c r="K157" s="30">
        <v>13</v>
      </c>
      <c r="L157" s="30">
        <v>1087</v>
      </c>
      <c r="M157" s="30">
        <v>269</v>
      </c>
      <c r="N157" s="23">
        <f>ROUND(Table134[[#This Row],[Min laatste 5]]/Table134[[#This Row],['#minuten]]*100,1)</f>
        <v>24.7</v>
      </c>
      <c r="O157" s="30">
        <v>2</v>
      </c>
      <c r="P157" s="30">
        <v>2</v>
      </c>
      <c r="Q157" s="48">
        <v>1</v>
      </c>
      <c r="R157" s="30">
        <v>0</v>
      </c>
      <c r="S157" s="30">
        <v>5</v>
      </c>
      <c r="T157" s="49">
        <f>ROUND(Table134[[#This Row],['#punten]]/Table134[[#This Row],['#Wed]],2)</f>
        <v>54.88</v>
      </c>
      <c r="U157" s="31">
        <f>ROUND(Table134[[#This Row],['#punten]]/Table134[[#This Row],['#minuten]],2)</f>
        <v>0.81</v>
      </c>
      <c r="V157" s="30">
        <f>ROUND(Table134[[#This Row],['#punten]]/(Table134[[#This Row],['#minuten]]/90),2)</f>
        <v>72.7</v>
      </c>
      <c r="W157" s="30">
        <f>ROUND(Table134[[#This Row],[Prijs]]/Table134[[#This Row],['#punten]],0)</f>
        <v>2847</v>
      </c>
      <c r="X157" s="34">
        <f>ROUND((Table134[[#This Row],[Goals]]+Table134[[#This Row],[Asissts]])/(Table134[[#This Row],['#minuten]]/90),2)</f>
        <v>0.33</v>
      </c>
      <c r="Y157" s="38"/>
    </row>
    <row r="158" spans="1:26" x14ac:dyDescent="0.2">
      <c r="A158" s="39" t="s">
        <v>312</v>
      </c>
      <c r="B158" s="28" t="s">
        <v>49</v>
      </c>
      <c r="C158" s="29">
        <v>1750000</v>
      </c>
      <c r="D158" s="30" t="s">
        <v>140</v>
      </c>
      <c r="E158" s="30">
        <v>24</v>
      </c>
      <c r="F158" s="30" t="s">
        <v>278</v>
      </c>
      <c r="G158" s="47">
        <v>728</v>
      </c>
      <c r="H158" s="48">
        <v>118</v>
      </c>
      <c r="I158" s="45">
        <f>ROUND(Table134[[#This Row],[laatste 5 wed.]]/Table134[[#This Row],['#punten]]*100,1)</f>
        <v>16.2</v>
      </c>
      <c r="J158" s="30">
        <v>17</v>
      </c>
      <c r="K158" s="30">
        <v>17</v>
      </c>
      <c r="L158" s="30">
        <v>1492</v>
      </c>
      <c r="M158" s="30">
        <v>360</v>
      </c>
      <c r="N158" s="23">
        <f>ROUND(Table134[[#This Row],[Min laatste 5]]/Table134[[#This Row],['#minuten]]*100,1)</f>
        <v>24.1</v>
      </c>
      <c r="O158" s="30">
        <v>1</v>
      </c>
      <c r="P158" s="30">
        <v>1</v>
      </c>
      <c r="Q158" s="48">
        <v>4</v>
      </c>
      <c r="R158" s="30">
        <v>1</v>
      </c>
      <c r="S158" s="30">
        <v>5</v>
      </c>
      <c r="T158" s="49">
        <f>ROUND(Table134[[#This Row],['#punten]]/Table134[[#This Row],['#Wed]],2)</f>
        <v>42.82</v>
      </c>
      <c r="U158" s="31">
        <f>ROUND(Table134[[#This Row],['#punten]]/Table134[[#This Row],['#minuten]],2)</f>
        <v>0.49</v>
      </c>
      <c r="V158" s="30">
        <f>ROUND(Table134[[#This Row],['#punten]]/(Table134[[#This Row],['#minuten]]/90),2)</f>
        <v>43.91</v>
      </c>
      <c r="W158" s="30">
        <f>ROUND(Table134[[#This Row],[Prijs]]/Table134[[#This Row],['#punten]],0)</f>
        <v>2404</v>
      </c>
      <c r="X158" s="34">
        <f>ROUND((Table134[[#This Row],[Goals]]+Table134[[#This Row],[Asissts]])/(Table134[[#This Row],['#minuten]]/90),2)</f>
        <v>0.12</v>
      </c>
    </row>
    <row r="159" spans="1:26" x14ac:dyDescent="0.2">
      <c r="A159" s="39" t="s">
        <v>375</v>
      </c>
      <c r="B159" s="28" t="s">
        <v>49</v>
      </c>
      <c r="C159" s="29">
        <v>1750000</v>
      </c>
      <c r="D159" s="30" t="s">
        <v>140</v>
      </c>
      <c r="E159" s="30">
        <v>22</v>
      </c>
      <c r="F159" s="30" t="s">
        <v>179</v>
      </c>
      <c r="G159" s="47">
        <v>710</v>
      </c>
      <c r="H159" s="48">
        <v>126</v>
      </c>
      <c r="I159" s="45">
        <f>ROUND(Table134[[#This Row],[laatste 5 wed.]]/Table134[[#This Row],['#punten]]*100,1)</f>
        <v>17.7</v>
      </c>
      <c r="J159" s="30">
        <v>18</v>
      </c>
      <c r="K159" s="30">
        <v>17</v>
      </c>
      <c r="L159" s="30">
        <v>1299</v>
      </c>
      <c r="M159" s="30">
        <v>283</v>
      </c>
      <c r="N159" s="23">
        <f>ROUND(Table134[[#This Row],[Min laatste 5]]/Table134[[#This Row],['#minuten]]*100,1)</f>
        <v>21.8</v>
      </c>
      <c r="O159" s="30">
        <v>0</v>
      </c>
      <c r="P159" s="30">
        <v>0</v>
      </c>
      <c r="Q159" s="48">
        <v>2</v>
      </c>
      <c r="R159" s="30">
        <v>0</v>
      </c>
      <c r="S159" s="30">
        <v>5</v>
      </c>
      <c r="T159" s="49">
        <f>ROUND(Table134[[#This Row],['#punten]]/Table134[[#This Row],['#Wed]],2)</f>
        <v>39.44</v>
      </c>
      <c r="U159" s="87">
        <f>ROUND(Table134[[#This Row],['#punten]]/Table134[[#This Row],['#minuten]],2)</f>
        <v>0.55000000000000004</v>
      </c>
      <c r="V159" s="30">
        <f>ROUND(Table134[[#This Row],['#punten]]/(Table134[[#This Row],['#minuten]]/90),2)</f>
        <v>49.19</v>
      </c>
      <c r="W159" s="30">
        <f>ROUND(Table134[[#This Row],[Prijs]]/Table134[[#This Row],['#punten]],0)</f>
        <v>2465</v>
      </c>
      <c r="X159" s="30">
        <f>ROUND((Table134[[#This Row],[Goals]]+Table134[[#This Row],[Asissts]])/(Table134[[#This Row],['#minuten]]/90),2)</f>
        <v>0</v>
      </c>
    </row>
    <row r="160" spans="1:26" x14ac:dyDescent="0.2">
      <c r="A160" s="39" t="s">
        <v>376</v>
      </c>
      <c r="B160" s="28" t="s">
        <v>49</v>
      </c>
      <c r="C160" s="29">
        <v>1750000</v>
      </c>
      <c r="D160" s="30" t="s">
        <v>140</v>
      </c>
      <c r="E160" s="30">
        <v>20</v>
      </c>
      <c r="F160" s="30" t="s">
        <v>141</v>
      </c>
      <c r="G160" s="47">
        <v>528</v>
      </c>
      <c r="H160" s="48">
        <v>34</v>
      </c>
      <c r="I160" s="45">
        <f>ROUND(Table134[[#This Row],[laatste 5 wed.]]/Table134[[#This Row],['#punten]]*100,1)</f>
        <v>6.4</v>
      </c>
      <c r="J160" s="30">
        <v>17</v>
      </c>
      <c r="K160" s="30">
        <v>12</v>
      </c>
      <c r="L160" s="30">
        <v>1002</v>
      </c>
      <c r="M160" s="30">
        <v>138</v>
      </c>
      <c r="N160" s="23">
        <f>ROUND(Table134[[#This Row],[Min laatste 5]]/Table134[[#This Row],['#minuten]]*100,1)</f>
        <v>13.8</v>
      </c>
      <c r="O160" s="30">
        <v>1</v>
      </c>
      <c r="P160" s="30">
        <v>0</v>
      </c>
      <c r="Q160" s="48">
        <v>1</v>
      </c>
      <c r="R160" s="30">
        <v>0</v>
      </c>
      <c r="S160" s="30">
        <v>4</v>
      </c>
      <c r="T160" s="49">
        <f>ROUND(Table134[[#This Row],['#punten]]/Table134[[#This Row],['#Wed]],2)</f>
        <v>31.06</v>
      </c>
      <c r="U160" s="31">
        <f>ROUND(Table134[[#This Row],['#punten]]/Table134[[#This Row],['#minuten]],2)</f>
        <v>0.53</v>
      </c>
      <c r="V160" s="30">
        <f>ROUND(Table134[[#This Row],['#punten]]/(Table134[[#This Row],['#minuten]]/90),2)</f>
        <v>47.43</v>
      </c>
      <c r="W160" s="30">
        <f>ROUND(Table134[[#This Row],[Prijs]]/Table134[[#This Row],['#punten]],0)</f>
        <v>3314</v>
      </c>
      <c r="X160" s="34">
        <f>ROUND((Table134[[#This Row],[Goals]]+Table134[[#This Row],[Asissts]])/(Table134[[#This Row],['#minuten]]/90),2)</f>
        <v>0.09</v>
      </c>
    </row>
    <row r="161" spans="1:26" x14ac:dyDescent="0.2">
      <c r="A161" s="39" t="s">
        <v>343</v>
      </c>
      <c r="B161" s="28" t="s">
        <v>49</v>
      </c>
      <c r="C161" s="29">
        <v>1750000</v>
      </c>
      <c r="D161" s="30" t="s">
        <v>140</v>
      </c>
      <c r="E161" s="30">
        <v>25</v>
      </c>
      <c r="F161" s="30" t="s">
        <v>141</v>
      </c>
      <c r="G161" s="47">
        <v>296</v>
      </c>
      <c r="H161" s="48">
        <v>148</v>
      </c>
      <c r="I161" s="45">
        <f>ROUND(Table134[[#This Row],[laatste 5 wed.]]/Table134[[#This Row],['#punten]]*100,1)</f>
        <v>50</v>
      </c>
      <c r="J161" s="30">
        <v>14</v>
      </c>
      <c r="K161" s="30">
        <v>4</v>
      </c>
      <c r="L161" s="30">
        <v>479</v>
      </c>
      <c r="M161" s="30">
        <v>205</v>
      </c>
      <c r="N161" s="23">
        <f>ROUND(Table134[[#This Row],[Min laatste 5]]/Table134[[#This Row],['#minuten]]*100,1)</f>
        <v>42.8</v>
      </c>
      <c r="O161" s="30">
        <v>0</v>
      </c>
      <c r="P161" s="30">
        <v>2</v>
      </c>
      <c r="Q161" s="48">
        <v>2</v>
      </c>
      <c r="R161" s="30">
        <v>0</v>
      </c>
      <c r="S161" s="30">
        <v>2</v>
      </c>
      <c r="T161" s="49">
        <f>ROUND(Table134[[#This Row],['#punten]]/Table134[[#This Row],['#Wed]],2)</f>
        <v>21.14</v>
      </c>
      <c r="U161" s="31">
        <f>ROUND(Table134[[#This Row],['#punten]]/Table134[[#This Row],['#minuten]],2)</f>
        <v>0.62</v>
      </c>
      <c r="V161" s="30">
        <f>ROUND(Table134[[#This Row],['#punten]]/(Table134[[#This Row],['#minuten]]/90),2)</f>
        <v>55.62</v>
      </c>
      <c r="W161" s="30">
        <f>ROUND(Table134[[#This Row],[Prijs]]/Table134[[#This Row],['#punten]],0)</f>
        <v>5912</v>
      </c>
      <c r="X161" s="34">
        <f>ROUND((Table134[[#This Row],[Goals]]+Table134[[#This Row],[Asissts]])/(Table134[[#This Row],['#minuten]]/90),2)</f>
        <v>0.38</v>
      </c>
      <c r="Y161" s="38"/>
    </row>
    <row r="162" spans="1:26" x14ac:dyDescent="0.2">
      <c r="A162" s="39" t="s">
        <v>350</v>
      </c>
      <c r="B162" s="51" t="s">
        <v>317</v>
      </c>
      <c r="C162" s="52">
        <v>1500000</v>
      </c>
      <c r="D162" s="53" t="s">
        <v>140</v>
      </c>
      <c r="E162" s="53">
        <v>19</v>
      </c>
      <c r="F162" s="53" t="s">
        <v>156</v>
      </c>
      <c r="G162" s="92">
        <v>656</v>
      </c>
      <c r="H162" s="85">
        <v>206</v>
      </c>
      <c r="I162" s="45">
        <f>ROUND(Table134[[#This Row],[laatste 5 wed.]]/Table134[[#This Row],['#punten]]*100,1)</f>
        <v>31.4</v>
      </c>
      <c r="J162" s="53">
        <v>17</v>
      </c>
      <c r="K162" s="53">
        <v>13</v>
      </c>
      <c r="L162" s="53">
        <v>1172</v>
      </c>
      <c r="M162" s="53">
        <v>413</v>
      </c>
      <c r="N162" s="23">
        <f>ROUND(Table134[[#This Row],[Min laatste 5]]/Table134[[#This Row],['#minuten]]*100,1)</f>
        <v>35.200000000000003</v>
      </c>
      <c r="O162" s="53">
        <v>2</v>
      </c>
      <c r="P162" s="53">
        <v>1</v>
      </c>
      <c r="Q162" s="85">
        <v>4</v>
      </c>
      <c r="R162" s="53">
        <v>0</v>
      </c>
      <c r="S162" s="53">
        <v>2</v>
      </c>
      <c r="T162" s="94">
        <f>ROUND(Table134[[#This Row],['#punten]]/Table134[[#This Row],['#Wed]],2)</f>
        <v>38.590000000000003</v>
      </c>
      <c r="U162" s="54">
        <f>ROUND(Table134[[#This Row],['#punten]]/Table134[[#This Row],['#minuten]],2)</f>
        <v>0.56000000000000005</v>
      </c>
      <c r="V162" s="53">
        <f>ROUND(Table134[[#This Row],['#punten]]/(Table134[[#This Row],['#minuten]]/90),2)</f>
        <v>50.38</v>
      </c>
      <c r="W162" s="53">
        <f>ROUND(Table134[[#This Row],[Prijs]]/Table134[[#This Row],['#punten]],0)</f>
        <v>2287</v>
      </c>
      <c r="X162" s="57">
        <f>ROUND((Table134[[#This Row],[Goals]]+Table134[[#This Row],[Asissts]])/(Table134[[#This Row],['#minuten]]/90),2)</f>
        <v>0.23</v>
      </c>
      <c r="Y162" s="38"/>
    </row>
    <row r="163" spans="1:26" x14ac:dyDescent="0.2">
      <c r="A163" s="39" t="s">
        <v>323</v>
      </c>
      <c r="B163" s="51" t="s">
        <v>317</v>
      </c>
      <c r="C163" s="52">
        <v>1750000</v>
      </c>
      <c r="D163" s="53" t="s">
        <v>140</v>
      </c>
      <c r="E163" s="53">
        <v>23</v>
      </c>
      <c r="F163" s="53" t="s">
        <v>156</v>
      </c>
      <c r="G163" s="47">
        <v>648</v>
      </c>
      <c r="H163" s="85">
        <v>322</v>
      </c>
      <c r="I163" s="45">
        <f>ROUND(Table134[[#This Row],[laatste 5 wed.]]/Table134[[#This Row],['#punten]]*100,1)</f>
        <v>49.7</v>
      </c>
      <c r="J163" s="53">
        <v>14</v>
      </c>
      <c r="K163" s="53">
        <v>10</v>
      </c>
      <c r="L163" s="53">
        <v>841</v>
      </c>
      <c r="M163" s="53">
        <v>262</v>
      </c>
      <c r="N163" s="23">
        <f>ROUND(Table134[[#This Row],[Min laatste 5]]/Table134[[#This Row],['#minuten]]*100,1)</f>
        <v>31.2</v>
      </c>
      <c r="O163" s="53">
        <v>4</v>
      </c>
      <c r="P163" s="53">
        <v>0</v>
      </c>
      <c r="Q163" s="85">
        <v>1</v>
      </c>
      <c r="R163" s="53">
        <v>0</v>
      </c>
      <c r="S163" s="53">
        <v>2</v>
      </c>
      <c r="T163" s="94">
        <f>ROUND(Table134[[#This Row],['#punten]]/Table134[[#This Row],['#Wed]],2)</f>
        <v>46.29</v>
      </c>
      <c r="U163" s="54">
        <f>ROUND(Table134[[#This Row],['#punten]]/Table134[[#This Row],['#minuten]],2)</f>
        <v>0.77</v>
      </c>
      <c r="V163" s="53">
        <f>ROUND(Table134[[#This Row],['#punten]]/(Table134[[#This Row],['#minuten]]/90),2)</f>
        <v>69.349999999999994</v>
      </c>
      <c r="W163" s="53">
        <f>ROUND(Table134[[#This Row],[Prijs]]/Table134[[#This Row],['#punten]],0)</f>
        <v>2701</v>
      </c>
      <c r="X163" s="57">
        <f>ROUND((Table134[[#This Row],[Goals]]+Table134[[#This Row],[Asissts]])/(Table134[[#This Row],['#minuten]]/90),2)</f>
        <v>0.43</v>
      </c>
      <c r="Y163" s="38"/>
    </row>
    <row r="164" spans="1:26" x14ac:dyDescent="0.2">
      <c r="A164" s="39" t="s">
        <v>322</v>
      </c>
      <c r="B164" s="51" t="s">
        <v>317</v>
      </c>
      <c r="C164" s="52">
        <v>1500000</v>
      </c>
      <c r="D164" s="53" t="s">
        <v>140</v>
      </c>
      <c r="E164" s="53">
        <v>22</v>
      </c>
      <c r="F164" s="53" t="s">
        <v>200</v>
      </c>
      <c r="G164" s="92">
        <v>622</v>
      </c>
      <c r="H164" s="85">
        <v>162</v>
      </c>
      <c r="I164" s="45">
        <f>ROUND(Table134[[#This Row],[laatste 5 wed.]]/Table134[[#This Row],['#punten]]*100,1)</f>
        <v>26</v>
      </c>
      <c r="J164" s="53">
        <v>17</v>
      </c>
      <c r="K164" s="53">
        <v>15</v>
      </c>
      <c r="L164" s="53">
        <v>1351</v>
      </c>
      <c r="M164" s="53">
        <v>281</v>
      </c>
      <c r="N164" s="23">
        <f>ROUND(Table134[[#This Row],[Min laatste 5]]/Table134[[#This Row],['#minuten]]*100,1)</f>
        <v>20.8</v>
      </c>
      <c r="O164" s="53">
        <v>1</v>
      </c>
      <c r="P164" s="53">
        <v>1</v>
      </c>
      <c r="Q164" s="85">
        <v>1</v>
      </c>
      <c r="R164" s="53">
        <v>0</v>
      </c>
      <c r="S164" s="53">
        <v>3</v>
      </c>
      <c r="T164" s="94">
        <f>ROUND(Table134[[#This Row],['#punten]]/Table134[[#This Row],['#Wed]],2)</f>
        <v>36.590000000000003</v>
      </c>
      <c r="U164" s="54">
        <f>ROUND(Table134[[#This Row],['#punten]]/Table134[[#This Row],['#minuten]],2)</f>
        <v>0.46</v>
      </c>
      <c r="V164" s="53">
        <f>ROUND(Table134[[#This Row],['#punten]]/(Table134[[#This Row],['#minuten]]/90),2)</f>
        <v>41.44</v>
      </c>
      <c r="W164" s="53">
        <f>ROUND(Table134[[#This Row],[Prijs]]/Table134[[#This Row],['#punten]],0)</f>
        <v>2412</v>
      </c>
      <c r="X164" s="57">
        <f>ROUND((Table134[[#This Row],[Goals]]+Table134[[#This Row],[Asissts]])/(Table134[[#This Row],['#minuten]]/90),2)</f>
        <v>0.13</v>
      </c>
      <c r="Y164" s="38"/>
    </row>
    <row r="165" spans="1:26" x14ac:dyDescent="0.2">
      <c r="A165" s="39" t="s">
        <v>321</v>
      </c>
      <c r="B165" s="51" t="s">
        <v>317</v>
      </c>
      <c r="C165" s="52">
        <v>1250000</v>
      </c>
      <c r="D165" s="53" t="s">
        <v>140</v>
      </c>
      <c r="E165" s="53">
        <v>34</v>
      </c>
      <c r="F165" s="53" t="s">
        <v>141</v>
      </c>
      <c r="G165" s="92">
        <v>438</v>
      </c>
      <c r="H165" s="85">
        <v>124</v>
      </c>
      <c r="I165" s="45">
        <f>ROUND(Table134[[#This Row],[laatste 5 wed.]]/Table134[[#This Row],['#punten]]*100,1)</f>
        <v>28.3</v>
      </c>
      <c r="J165" s="53">
        <v>16</v>
      </c>
      <c r="K165" s="53">
        <v>8</v>
      </c>
      <c r="L165" s="53">
        <v>718</v>
      </c>
      <c r="M165" s="53">
        <v>198</v>
      </c>
      <c r="N165" s="23">
        <f>ROUND(Table134[[#This Row],[Min laatste 5]]/Table134[[#This Row],['#minuten]]*100,1)</f>
        <v>27.6</v>
      </c>
      <c r="O165" s="53">
        <v>2</v>
      </c>
      <c r="P165" s="53">
        <v>0</v>
      </c>
      <c r="Q165" s="85">
        <v>2</v>
      </c>
      <c r="R165" s="53">
        <v>0</v>
      </c>
      <c r="S165" s="53">
        <v>1</v>
      </c>
      <c r="T165" s="94">
        <f>ROUND(Table134[[#This Row],['#punten]]/Table134[[#This Row],['#Wed]],2)</f>
        <v>27.38</v>
      </c>
      <c r="U165" s="92">
        <f>ROUND(Table134[[#This Row],['#punten]]/Table134[[#This Row],['#minuten]],2)</f>
        <v>0.61</v>
      </c>
      <c r="V165" s="53">
        <f>ROUND(Table134[[#This Row],['#punten]]/(Table134[[#This Row],['#minuten]]/90),2)</f>
        <v>54.9</v>
      </c>
      <c r="W165" s="53">
        <f>ROUND(Table134[[#This Row],[Prijs]]/Table134[[#This Row],['#punten]],0)</f>
        <v>2854</v>
      </c>
      <c r="X165" s="57">
        <f>ROUND((Table134[[#This Row],[Goals]]+Table134[[#This Row],[Asissts]])/(Table134[[#This Row],['#minuten]]/90),2)</f>
        <v>0.25</v>
      </c>
      <c r="Y165" s="38"/>
    </row>
    <row r="166" spans="1:26" x14ac:dyDescent="0.2">
      <c r="A166" s="39" t="s">
        <v>524</v>
      </c>
      <c r="B166" s="51" t="s">
        <v>317</v>
      </c>
      <c r="C166" s="52">
        <v>1500000</v>
      </c>
      <c r="D166" s="53" t="s">
        <v>140</v>
      </c>
      <c r="E166" s="53">
        <v>27</v>
      </c>
      <c r="F166" s="53" t="s">
        <v>141</v>
      </c>
      <c r="G166" s="92">
        <v>356</v>
      </c>
      <c r="H166" s="85">
        <v>242</v>
      </c>
      <c r="I166" s="45">
        <f>ROUND(Table134[[#This Row],[laatste 5 wed.]]/Table134[[#This Row],['#punten]]*100,1)</f>
        <v>68</v>
      </c>
      <c r="J166" s="53">
        <v>11</v>
      </c>
      <c r="K166" s="53">
        <v>3</v>
      </c>
      <c r="L166" s="53">
        <v>396</v>
      </c>
      <c r="M166" s="53">
        <v>199</v>
      </c>
      <c r="N166" s="23">
        <f>ROUND(Table134[[#This Row],[Min laatste 5]]/Table134[[#This Row],['#minuten]]*100,1)</f>
        <v>50.3</v>
      </c>
      <c r="O166" s="53">
        <v>1</v>
      </c>
      <c r="P166" s="53">
        <v>1</v>
      </c>
      <c r="Q166" s="85">
        <v>0</v>
      </c>
      <c r="R166" s="53">
        <v>0</v>
      </c>
      <c r="S166" s="53">
        <v>2</v>
      </c>
      <c r="T166" s="94">
        <f>ROUND(Table134[[#This Row],['#punten]]/Table134[[#This Row],['#Wed]],2)</f>
        <v>32.36</v>
      </c>
      <c r="U166" s="54">
        <f>ROUND(Table134[[#This Row],['#punten]]/Table134[[#This Row],['#minuten]],2)</f>
        <v>0.9</v>
      </c>
      <c r="V166" s="53">
        <f>ROUND(Table134[[#This Row],['#punten]]/(Table134[[#This Row],['#minuten]]/90),2)</f>
        <v>80.91</v>
      </c>
      <c r="W166" s="53">
        <f>ROUND(Table134[[#This Row],[Prijs]]/Table134[[#This Row],['#punten]],0)</f>
        <v>4213</v>
      </c>
      <c r="X166" s="57">
        <f>ROUND((Table134[[#This Row],[Goals]]+Table134[[#This Row],[Asissts]])/(Table134[[#This Row],['#minuten]]/90),2)</f>
        <v>0.45</v>
      </c>
      <c r="Y166" s="38"/>
    </row>
    <row r="167" spans="1:26" x14ac:dyDescent="0.2">
      <c r="A167" s="39" t="s">
        <v>320</v>
      </c>
      <c r="B167" s="51" t="s">
        <v>317</v>
      </c>
      <c r="C167" s="52">
        <v>1250000</v>
      </c>
      <c r="D167" s="53" t="s">
        <v>140</v>
      </c>
      <c r="E167" s="53">
        <v>22</v>
      </c>
      <c r="F167" s="53" t="s">
        <v>175</v>
      </c>
      <c r="G167" s="92">
        <v>216</v>
      </c>
      <c r="H167" s="85">
        <v>68</v>
      </c>
      <c r="I167" s="45">
        <f>ROUND(Table134[[#This Row],[laatste 5 wed.]]/Table134[[#This Row],['#punten]]*100,1)</f>
        <v>31.5</v>
      </c>
      <c r="J167" s="53">
        <v>10</v>
      </c>
      <c r="K167" s="53">
        <v>7</v>
      </c>
      <c r="L167" s="53">
        <v>483</v>
      </c>
      <c r="M167" s="53">
        <v>187</v>
      </c>
      <c r="N167" s="23">
        <f>ROUND(Table134[[#This Row],[Min laatste 5]]/Table134[[#This Row],['#minuten]]*100,1)</f>
        <v>38.700000000000003</v>
      </c>
      <c r="O167" s="53">
        <v>0</v>
      </c>
      <c r="P167" s="53">
        <v>0</v>
      </c>
      <c r="Q167" s="85">
        <v>0</v>
      </c>
      <c r="R167" s="53">
        <v>0</v>
      </c>
      <c r="S167" s="53">
        <v>1</v>
      </c>
      <c r="T167" s="94">
        <f>ROUND(Table134[[#This Row],['#punten]]/Table134[[#This Row],['#Wed]],2)</f>
        <v>21.6</v>
      </c>
      <c r="U167" s="92">
        <f>ROUND(Table134[[#This Row],['#punten]]/Table134[[#This Row],['#minuten]],2)</f>
        <v>0.45</v>
      </c>
      <c r="V167" s="53">
        <f>ROUND(Table134[[#This Row],['#punten]]/(Table134[[#This Row],['#minuten]]/90),2)</f>
        <v>40.25</v>
      </c>
      <c r="W167" s="53">
        <f>ROUND(Table134[[#This Row],[Prijs]]/Table134[[#This Row],['#punten]],0)</f>
        <v>5787</v>
      </c>
      <c r="X167" s="57">
        <f>ROUND((Table134[[#This Row],[Goals]]+Table134[[#This Row],[Asissts]])/(Table134[[#This Row],['#minuten]]/90),2)</f>
        <v>0</v>
      </c>
      <c r="Y167" s="38"/>
    </row>
    <row r="168" spans="1:26" x14ac:dyDescent="0.2">
      <c r="A168" s="39" t="s">
        <v>130</v>
      </c>
      <c r="B168" s="51" t="s">
        <v>50</v>
      </c>
      <c r="C168" s="52">
        <v>2000000</v>
      </c>
      <c r="D168" s="53" t="s">
        <v>140</v>
      </c>
      <c r="E168" s="53">
        <v>30</v>
      </c>
      <c r="F168" s="53" t="s">
        <v>141</v>
      </c>
      <c r="G168" s="92">
        <v>842</v>
      </c>
      <c r="H168" s="85">
        <v>176</v>
      </c>
      <c r="I168" s="45">
        <f>ROUND(Table134[[#This Row],[laatste 5 wed.]]/Table134[[#This Row],['#punten]]*100,1)</f>
        <v>20.9</v>
      </c>
      <c r="J168" s="53">
        <v>18</v>
      </c>
      <c r="K168" s="53">
        <v>17</v>
      </c>
      <c r="L168" s="53">
        <v>1453</v>
      </c>
      <c r="M168" s="53">
        <v>418</v>
      </c>
      <c r="N168" s="23">
        <f>ROUND(Table134[[#This Row],[Min laatste 5]]/Table134[[#This Row],['#minuten]]*100,1)</f>
        <v>28.8</v>
      </c>
      <c r="O168" s="53">
        <v>4</v>
      </c>
      <c r="P168" s="53">
        <v>2</v>
      </c>
      <c r="Q168" s="85">
        <v>2</v>
      </c>
      <c r="R168" s="53">
        <v>1</v>
      </c>
      <c r="S168" s="53">
        <v>3</v>
      </c>
      <c r="T168" s="94">
        <f>ROUND(Table134[[#This Row],['#punten]]/Table134[[#This Row],['#Wed]],2)</f>
        <v>46.78</v>
      </c>
      <c r="U168" s="54">
        <f>ROUND(Table134[[#This Row],['#punten]]/Table134[[#This Row],['#minuten]],2)</f>
        <v>0.57999999999999996</v>
      </c>
      <c r="V168" s="53">
        <f>ROUND(Table134[[#This Row],['#punten]]/(Table134[[#This Row],['#minuten]]/90),2)</f>
        <v>52.15</v>
      </c>
      <c r="W168" s="53">
        <f>ROUND(Table134[[#This Row],[Prijs]]/Table134[[#This Row],['#punten]],0)</f>
        <v>2375</v>
      </c>
      <c r="X168" s="57">
        <f>ROUND((Table134[[#This Row],[Goals]]+Table134[[#This Row],[Asissts]])/(Table134[[#This Row],['#minuten]]/90),2)</f>
        <v>0.37</v>
      </c>
    </row>
    <row r="169" spans="1:26" x14ac:dyDescent="0.2">
      <c r="A169" s="39" t="s">
        <v>336</v>
      </c>
      <c r="B169" s="28" t="s">
        <v>50</v>
      </c>
      <c r="C169" s="29">
        <v>1250000</v>
      </c>
      <c r="D169" s="30" t="s">
        <v>140</v>
      </c>
      <c r="E169" s="30">
        <v>20</v>
      </c>
      <c r="F169" s="30" t="s">
        <v>226</v>
      </c>
      <c r="G169" s="47">
        <v>436</v>
      </c>
      <c r="H169" s="48">
        <v>148</v>
      </c>
      <c r="I169" s="45">
        <f>ROUND(Table134[[#This Row],[laatste 5 wed.]]/Table134[[#This Row],['#punten]]*100,1)</f>
        <v>33.9</v>
      </c>
      <c r="J169" s="30">
        <v>16</v>
      </c>
      <c r="K169" s="30">
        <v>14</v>
      </c>
      <c r="L169" s="30">
        <v>916</v>
      </c>
      <c r="M169" s="30">
        <v>205</v>
      </c>
      <c r="N169" s="23">
        <f>ROUND(Table134[[#This Row],[Min laatste 5]]/Table134[[#This Row],['#minuten]]*100,1)</f>
        <v>22.4</v>
      </c>
      <c r="O169" s="30">
        <v>0</v>
      </c>
      <c r="P169" s="30">
        <v>3</v>
      </c>
      <c r="Q169" s="48">
        <v>4</v>
      </c>
      <c r="R169" s="30">
        <v>0</v>
      </c>
      <c r="S169" s="30">
        <v>3</v>
      </c>
      <c r="T169" s="49">
        <f>ROUND(Table134[[#This Row],['#punten]]/Table134[[#This Row],['#Wed]],2)</f>
        <v>27.25</v>
      </c>
      <c r="U169" s="31">
        <f>ROUND(Table134[[#This Row],['#punten]]/Table134[[#This Row],['#minuten]],2)</f>
        <v>0.48</v>
      </c>
      <c r="V169" s="30">
        <f>ROUND(Table134[[#This Row],['#punten]]/(Table134[[#This Row],['#minuten]]/90),2)</f>
        <v>42.84</v>
      </c>
      <c r="W169" s="30">
        <f>ROUND(Table134[[#This Row],[Prijs]]/Table134[[#This Row],['#punten]],0)</f>
        <v>2867</v>
      </c>
      <c r="X169" s="34">
        <f>ROUND((Table134[[#This Row],[Goals]]+Table134[[#This Row],[Asissts]])/(Table134[[#This Row],['#minuten]]/90),2)</f>
        <v>0.28999999999999998</v>
      </c>
      <c r="Y169" s="38"/>
    </row>
    <row r="170" spans="1:26" x14ac:dyDescent="0.2">
      <c r="A170" s="39" t="s">
        <v>337</v>
      </c>
      <c r="B170" s="51" t="s">
        <v>50</v>
      </c>
      <c r="C170" s="52">
        <v>1000000</v>
      </c>
      <c r="D170" s="53" t="s">
        <v>140</v>
      </c>
      <c r="E170" s="53">
        <v>21</v>
      </c>
      <c r="F170" s="53" t="s">
        <v>141</v>
      </c>
      <c r="G170" s="92">
        <v>274</v>
      </c>
      <c r="H170" s="85">
        <v>46</v>
      </c>
      <c r="I170" s="45">
        <f>ROUND(Table134[[#This Row],[laatste 5 wed.]]/Table134[[#This Row],['#punten]]*100,1)</f>
        <v>16.8</v>
      </c>
      <c r="J170" s="53">
        <v>15</v>
      </c>
      <c r="K170" s="53">
        <v>10</v>
      </c>
      <c r="L170" s="53">
        <v>952</v>
      </c>
      <c r="M170" s="53">
        <v>178</v>
      </c>
      <c r="N170" s="23">
        <f>ROUND(Table134[[#This Row],[Min laatste 5]]/Table134[[#This Row],['#minuten]]*100,1)</f>
        <v>18.7</v>
      </c>
      <c r="O170" s="53">
        <v>1</v>
      </c>
      <c r="P170" s="53">
        <v>0</v>
      </c>
      <c r="Q170" s="85">
        <v>2</v>
      </c>
      <c r="R170" s="53">
        <v>0</v>
      </c>
      <c r="S170" s="53">
        <v>1</v>
      </c>
      <c r="T170" s="94">
        <f>ROUND(Table134[[#This Row],['#punten]]/Table134[[#This Row],['#Wed]],2)</f>
        <v>18.27</v>
      </c>
      <c r="U170" s="54">
        <f>ROUND(Table134[[#This Row],['#punten]]/Table134[[#This Row],['#minuten]],2)</f>
        <v>0.28999999999999998</v>
      </c>
      <c r="V170" s="53">
        <f>ROUND(Table134[[#This Row],['#punten]]/(Table134[[#This Row],['#minuten]]/90),2)</f>
        <v>25.9</v>
      </c>
      <c r="W170" s="53">
        <f>ROUND(Table134[[#This Row],[Prijs]]/Table134[[#This Row],['#punten]],0)</f>
        <v>3650</v>
      </c>
      <c r="X170" s="57">
        <f>ROUND((Table134[[#This Row],[Goals]]+Table134[[#This Row],[Asissts]])/(Table134[[#This Row],['#minuten]]/90),2)</f>
        <v>0.09</v>
      </c>
      <c r="Y170" s="38"/>
    </row>
    <row r="171" spans="1:26" x14ac:dyDescent="0.2">
      <c r="A171" s="39" t="s">
        <v>591</v>
      </c>
      <c r="B171" s="51" t="s">
        <v>50</v>
      </c>
      <c r="C171" s="52">
        <v>500000</v>
      </c>
      <c r="D171" s="53" t="s">
        <v>140</v>
      </c>
      <c r="E171" s="53">
        <v>25</v>
      </c>
      <c r="F171" s="53" t="s">
        <v>626</v>
      </c>
      <c r="G171" s="92">
        <v>148</v>
      </c>
      <c r="H171" s="85">
        <v>152</v>
      </c>
      <c r="I171" s="45">
        <f>ROUND(Table134[[#This Row],[laatste 5 wed.]]/Table134[[#This Row],['#punten]]*100,1)</f>
        <v>102.7</v>
      </c>
      <c r="J171" s="53">
        <v>8</v>
      </c>
      <c r="K171" s="53">
        <v>5</v>
      </c>
      <c r="L171" s="53">
        <v>535</v>
      </c>
      <c r="M171" s="53">
        <v>384</v>
      </c>
      <c r="N171" s="23">
        <f>ROUND(Table134[[#This Row],[Min laatste 5]]/Table134[[#This Row],['#minuten]]*100,1)</f>
        <v>71.8</v>
      </c>
      <c r="O171" s="53">
        <v>0</v>
      </c>
      <c r="P171" s="53">
        <v>0</v>
      </c>
      <c r="Q171" s="85">
        <v>2</v>
      </c>
      <c r="R171" s="53">
        <v>0</v>
      </c>
      <c r="S171" s="53">
        <v>2</v>
      </c>
      <c r="T171" s="94">
        <f>ROUND(Table134[[#This Row],['#punten]]/Table134[[#This Row],['#Wed]],2)</f>
        <v>18.5</v>
      </c>
      <c r="U171" s="92">
        <f>ROUND(Table134[[#This Row],['#punten]]/Table134[[#This Row],['#minuten]],2)</f>
        <v>0.28000000000000003</v>
      </c>
      <c r="V171" s="53">
        <f>ROUND(Table134[[#This Row],['#punten]]/(Table134[[#This Row],['#minuten]]/90),2)</f>
        <v>24.9</v>
      </c>
      <c r="W171" s="53">
        <f>ROUND(Table134[[#This Row],[Prijs]]/Table134[[#This Row],['#punten]],0)</f>
        <v>3378</v>
      </c>
      <c r="X171" s="57">
        <f>ROUND((Table134[[#This Row],[Goals]]+Table134[[#This Row],[Asissts]])/(Table134[[#This Row],['#minuten]]/90),2)</f>
        <v>0</v>
      </c>
      <c r="Y171" s="38"/>
    </row>
    <row r="172" spans="1:26" x14ac:dyDescent="0.2">
      <c r="A172" s="39" t="s">
        <v>384</v>
      </c>
      <c r="B172" s="51" t="s">
        <v>51</v>
      </c>
      <c r="C172" s="52">
        <v>1000000</v>
      </c>
      <c r="D172" s="53" t="s">
        <v>140</v>
      </c>
      <c r="E172" s="53">
        <v>20</v>
      </c>
      <c r="F172" s="53" t="s">
        <v>141</v>
      </c>
      <c r="G172" s="92">
        <v>608</v>
      </c>
      <c r="H172" s="85">
        <v>104</v>
      </c>
      <c r="I172" s="45">
        <f>ROUND(Table134[[#This Row],[laatste 5 wed.]]/Table134[[#This Row],['#punten]]*100,1)</f>
        <v>17.100000000000001</v>
      </c>
      <c r="J172" s="53">
        <v>17</v>
      </c>
      <c r="K172" s="53">
        <v>17</v>
      </c>
      <c r="L172" s="53">
        <v>1452</v>
      </c>
      <c r="M172" s="53">
        <v>436</v>
      </c>
      <c r="N172" s="23">
        <f>ROUND(Table134[[#This Row],[Min laatste 5]]/Table134[[#This Row],['#minuten]]*100,1)</f>
        <v>30</v>
      </c>
      <c r="O172" s="53">
        <v>3</v>
      </c>
      <c r="P172" s="53">
        <v>0</v>
      </c>
      <c r="Q172" s="85">
        <v>2</v>
      </c>
      <c r="R172" s="53">
        <v>0</v>
      </c>
      <c r="S172" s="53">
        <v>1</v>
      </c>
      <c r="T172" s="94">
        <f>ROUND(Table134[[#This Row],['#punten]]/Table134[[#This Row],['#Wed]],2)</f>
        <v>35.76</v>
      </c>
      <c r="U172" s="54">
        <f>ROUND(Table134[[#This Row],['#punten]]/Table134[[#This Row],['#minuten]],2)</f>
        <v>0.42</v>
      </c>
      <c r="V172" s="53">
        <f>ROUND(Table134[[#This Row],['#punten]]/(Table134[[#This Row],['#minuten]]/90),2)</f>
        <v>37.69</v>
      </c>
      <c r="W172" s="53">
        <f>ROUND(Table134[[#This Row],[Prijs]]/Table134[[#This Row],['#punten]],0)</f>
        <v>1645</v>
      </c>
      <c r="X172" s="57">
        <f>ROUND((Table134[[#This Row],[Goals]]+Table134[[#This Row],[Asissts]])/(Table134[[#This Row],['#minuten]]/90),2)</f>
        <v>0.19</v>
      </c>
    </row>
    <row r="173" spans="1:26" x14ac:dyDescent="0.2">
      <c r="A173" s="39" t="s">
        <v>344</v>
      </c>
      <c r="B173" s="51" t="s">
        <v>51</v>
      </c>
      <c r="C173" s="52">
        <v>1000000</v>
      </c>
      <c r="D173" s="53" t="s">
        <v>140</v>
      </c>
      <c r="E173" s="53">
        <v>20</v>
      </c>
      <c r="F173" s="53" t="s">
        <v>141</v>
      </c>
      <c r="G173" s="92">
        <v>454</v>
      </c>
      <c r="H173" s="85">
        <v>106</v>
      </c>
      <c r="I173" s="45">
        <f>ROUND(Table134[[#This Row],[laatste 5 wed.]]/Table134[[#This Row],['#punten]]*100,1)</f>
        <v>23.3</v>
      </c>
      <c r="J173" s="53">
        <v>18</v>
      </c>
      <c r="K173" s="53">
        <v>18</v>
      </c>
      <c r="L173" s="53">
        <v>1601</v>
      </c>
      <c r="M173" s="53">
        <v>345</v>
      </c>
      <c r="N173" s="23">
        <f>ROUND(Table134[[#This Row],[Min laatste 5]]/Table134[[#This Row],['#minuten]]*100,1)</f>
        <v>21.5</v>
      </c>
      <c r="O173" s="53">
        <v>2</v>
      </c>
      <c r="P173" s="53">
        <v>0</v>
      </c>
      <c r="Q173" s="85">
        <v>4</v>
      </c>
      <c r="R173" s="53">
        <v>0</v>
      </c>
      <c r="S173" s="53">
        <v>1</v>
      </c>
      <c r="T173" s="94">
        <f>ROUND(Table134[[#This Row],['#punten]]/Table134[[#This Row],['#Wed]],2)</f>
        <v>25.22</v>
      </c>
      <c r="U173" s="54">
        <f>ROUND(Table134[[#This Row],['#punten]]/Table134[[#This Row],['#minuten]],2)</f>
        <v>0.28000000000000003</v>
      </c>
      <c r="V173" s="53">
        <f>ROUND(Table134[[#This Row],['#punten]]/(Table134[[#This Row],['#minuten]]/90),2)</f>
        <v>25.52</v>
      </c>
      <c r="W173" s="53">
        <f>ROUND(Table134[[#This Row],[Prijs]]/Table134[[#This Row],['#punten]],0)</f>
        <v>2203</v>
      </c>
      <c r="X173" s="57">
        <f>ROUND((Table134[[#This Row],[Goals]]+Table134[[#This Row],[Asissts]])/(Table134[[#This Row],['#minuten]]/90),2)</f>
        <v>0.11</v>
      </c>
      <c r="Z173" t="s">
        <v>636</v>
      </c>
    </row>
    <row r="174" spans="1:26" x14ac:dyDescent="0.2">
      <c r="A174" s="39" t="s">
        <v>628</v>
      </c>
      <c r="B174" s="51" t="s">
        <v>51</v>
      </c>
      <c r="C174" s="52">
        <v>500000</v>
      </c>
      <c r="D174" s="53" t="s">
        <v>140</v>
      </c>
      <c r="E174" s="53">
        <v>19</v>
      </c>
      <c r="F174" s="53" t="s">
        <v>175</v>
      </c>
      <c r="G174" s="92">
        <v>134</v>
      </c>
      <c r="H174" s="85">
        <v>130</v>
      </c>
      <c r="I174" s="45">
        <f>ROUND(Table134[[#This Row],[laatste 5 wed.]]/Table134[[#This Row],['#punten]]*100,1)</f>
        <v>97</v>
      </c>
      <c r="J174" s="53">
        <v>13</v>
      </c>
      <c r="K174" s="53">
        <v>3</v>
      </c>
      <c r="L174" s="53">
        <v>440</v>
      </c>
      <c r="M174" s="53">
        <v>279</v>
      </c>
      <c r="N174" s="23">
        <f>ROUND(Table134[[#This Row],[Min laatste 5]]/Table134[[#This Row],['#minuten]]*100,1)</f>
        <v>63.4</v>
      </c>
      <c r="O174" s="53">
        <v>0</v>
      </c>
      <c r="P174" s="53">
        <v>1</v>
      </c>
      <c r="Q174" s="85">
        <v>0</v>
      </c>
      <c r="R174" s="53">
        <v>0</v>
      </c>
      <c r="S174" s="53">
        <v>0</v>
      </c>
      <c r="T174" s="94">
        <f>ROUND(Table134[[#This Row],['#punten]]/Table134[[#This Row],['#Wed]],2)</f>
        <v>10.31</v>
      </c>
      <c r="U174" s="92">
        <f>ROUND(Table134[[#This Row],['#punten]]/Table134[[#This Row],['#minuten]],2)</f>
        <v>0.3</v>
      </c>
      <c r="V174" s="53">
        <f>ROUND(Table134[[#This Row],['#punten]]/(Table134[[#This Row],['#minuten]]/90),2)</f>
        <v>27.41</v>
      </c>
      <c r="W174" s="53">
        <f>ROUND(Table134[[#This Row],[Prijs]]/Table134[[#This Row],['#punten]],0)</f>
        <v>3731</v>
      </c>
      <c r="X174" s="57">
        <f>ROUND((Table134[[#This Row],[Goals]]+Table134[[#This Row],[Asissts]])/(Table134[[#This Row],['#minuten]]/90),2)</f>
        <v>0.2</v>
      </c>
      <c r="Y174" s="38"/>
    </row>
    <row r="175" spans="1:26" x14ac:dyDescent="0.2">
      <c r="A175" s="6" t="s">
        <v>151</v>
      </c>
      <c r="B175" s="51" t="s">
        <v>43</v>
      </c>
      <c r="C175" s="52">
        <v>2500000</v>
      </c>
      <c r="D175" s="53" t="s">
        <v>203</v>
      </c>
      <c r="E175" s="53">
        <v>17</v>
      </c>
      <c r="F175" s="53" t="s">
        <v>141</v>
      </c>
      <c r="G175" s="92">
        <v>840</v>
      </c>
      <c r="H175" s="85">
        <v>234</v>
      </c>
      <c r="I175" s="45">
        <f>ROUND(Table134[[#This Row],[laatste 5 wed.]]/Table134[[#This Row],['#punten]]*100,1)</f>
        <v>27.9</v>
      </c>
      <c r="J175" s="53">
        <v>19</v>
      </c>
      <c r="K175" s="53">
        <v>19</v>
      </c>
      <c r="L175" s="53">
        <v>1710</v>
      </c>
      <c r="M175" s="53">
        <v>450</v>
      </c>
      <c r="N175" s="23">
        <f>ROUND(Table134[[#This Row],[Min laatste 5]]/Table134[[#This Row],['#minuten]]*100,1)</f>
        <v>26.3</v>
      </c>
      <c r="O175" s="53">
        <v>1</v>
      </c>
      <c r="P175" s="53">
        <v>2</v>
      </c>
      <c r="Q175" s="85">
        <v>2</v>
      </c>
      <c r="R175" s="53">
        <v>0</v>
      </c>
      <c r="S175" s="53">
        <v>3</v>
      </c>
      <c r="T175" s="94">
        <f>ROUND(Table134[[#This Row],['#punten]]/Table134[[#This Row],['#Wed]],2)</f>
        <v>44.21</v>
      </c>
      <c r="U175" s="54">
        <f>ROUND(Table134[[#This Row],['#punten]]/Table134[[#This Row],['#minuten]],2)</f>
        <v>0.49</v>
      </c>
      <c r="V175" s="53">
        <f>ROUND(Table134[[#This Row],['#punten]]/(Table134[[#This Row],['#minuten]]/90),2)</f>
        <v>44.21</v>
      </c>
      <c r="W175" s="53">
        <f>ROUND(Table134[[#This Row],[Prijs]]/Table134[[#This Row],['#punten]],0)</f>
        <v>2976</v>
      </c>
      <c r="X175" s="57">
        <f>ROUND((Table134[[#This Row],[Goals]]+Table134[[#This Row],[Asissts]])/(Table134[[#This Row],['#minuten]]/90),2)</f>
        <v>0.16</v>
      </c>
      <c r="Y175" s="38"/>
    </row>
    <row r="176" spans="1:26" x14ac:dyDescent="0.2">
      <c r="A176" s="6" t="s">
        <v>150</v>
      </c>
      <c r="B176" s="62" t="s">
        <v>43</v>
      </c>
      <c r="C176" s="63">
        <v>3000000</v>
      </c>
      <c r="D176" s="60" t="s">
        <v>203</v>
      </c>
      <c r="E176" s="60">
        <v>20</v>
      </c>
      <c r="F176" s="60" t="s">
        <v>141</v>
      </c>
      <c r="G176" s="91">
        <v>756</v>
      </c>
      <c r="H176" s="86">
        <v>378</v>
      </c>
      <c r="I176" s="45">
        <f>ROUND(Table134[[#This Row],[laatste 5 wed.]]/Table134[[#This Row],['#punten]]*100,1)</f>
        <v>50</v>
      </c>
      <c r="J176" s="60">
        <v>16</v>
      </c>
      <c r="K176" s="60">
        <v>14</v>
      </c>
      <c r="L176" s="60">
        <v>1217</v>
      </c>
      <c r="M176" s="60">
        <v>450</v>
      </c>
      <c r="N176" s="23">
        <f>ROUND(Table134[[#This Row],[Min laatste 5]]/Table134[[#This Row],['#minuten]]*100,1)</f>
        <v>37</v>
      </c>
      <c r="O176" s="60">
        <v>1</v>
      </c>
      <c r="P176" s="60">
        <v>3</v>
      </c>
      <c r="Q176" s="86">
        <v>2</v>
      </c>
      <c r="R176" s="60">
        <v>0</v>
      </c>
      <c r="S176" s="60">
        <v>2</v>
      </c>
      <c r="T176" s="93">
        <f>ROUND(Table134[[#This Row],['#punten]]/Table134[[#This Row],['#Wed]],2)</f>
        <v>47.25</v>
      </c>
      <c r="U176" s="58">
        <f>ROUND(Table134[[#This Row],['#punten]]/Table134[[#This Row],['#minuten]],2)</f>
        <v>0.62</v>
      </c>
      <c r="V176" s="60">
        <f>ROUND(Table134[[#This Row],['#punten]]/(Table134[[#This Row],['#minuten]]/90),2)</f>
        <v>55.91</v>
      </c>
      <c r="W176" s="60">
        <f>ROUND(Table134[[#This Row],[Prijs]]/Table134[[#This Row],['#punten]],0)</f>
        <v>3968</v>
      </c>
      <c r="X176" s="61">
        <f>ROUND((Table134[[#This Row],[Goals]]+Table134[[#This Row],[Asissts]])/(Table134[[#This Row],['#minuten]]/90),2)</f>
        <v>0.3</v>
      </c>
      <c r="Y176" s="38"/>
    </row>
    <row r="177" spans="1:26" x14ac:dyDescent="0.2">
      <c r="A177" s="6" t="s">
        <v>152</v>
      </c>
      <c r="B177" s="51" t="s">
        <v>43</v>
      </c>
      <c r="C177" s="52">
        <v>2500000</v>
      </c>
      <c r="D177" s="53" t="s">
        <v>203</v>
      </c>
      <c r="E177" s="53">
        <v>23</v>
      </c>
      <c r="F177" s="53" t="s">
        <v>153</v>
      </c>
      <c r="G177" s="92">
        <v>426</v>
      </c>
      <c r="H177" s="85">
        <v>102</v>
      </c>
      <c r="I177" s="45">
        <f>ROUND(Table134[[#This Row],[laatste 5 wed.]]/Table134[[#This Row],['#punten]]*100,1)</f>
        <v>23.9</v>
      </c>
      <c r="J177" s="53">
        <v>13</v>
      </c>
      <c r="K177" s="53">
        <v>12</v>
      </c>
      <c r="L177" s="53">
        <v>1079</v>
      </c>
      <c r="M177" s="53">
        <v>225</v>
      </c>
      <c r="N177" s="23">
        <f>ROUND(Table134[[#This Row],[Min laatste 5]]/Table134[[#This Row],['#minuten]]*100,1)</f>
        <v>20.9</v>
      </c>
      <c r="O177" s="53">
        <v>0</v>
      </c>
      <c r="P177" s="53">
        <v>0</v>
      </c>
      <c r="Q177" s="85">
        <v>0</v>
      </c>
      <c r="R177" s="53">
        <v>0</v>
      </c>
      <c r="S177" s="53">
        <v>2</v>
      </c>
      <c r="T177" s="94">
        <f>ROUND(Table134[[#This Row],['#punten]]/Table134[[#This Row],['#Wed]],2)</f>
        <v>32.770000000000003</v>
      </c>
      <c r="U177" s="54">
        <f>ROUND(Table134[[#This Row],['#punten]]/Table134[[#This Row],['#minuten]],2)</f>
        <v>0.39</v>
      </c>
      <c r="V177" s="53">
        <f>ROUND(Table134[[#This Row],['#punten]]/(Table134[[#This Row],['#minuten]]/90),2)</f>
        <v>35.53</v>
      </c>
      <c r="W177" s="53">
        <f>ROUND(Table134[[#This Row],[Prijs]]/Table134[[#This Row],['#punten]],0)</f>
        <v>5869</v>
      </c>
      <c r="X177" s="57">
        <f>ROUND((Table134[[#This Row],[Goals]]+Table134[[#This Row],[Asissts]])/(Table134[[#This Row],['#minuten]]/90),2)</f>
        <v>0</v>
      </c>
      <c r="Z177" t="s">
        <v>653</v>
      </c>
    </row>
    <row r="178" spans="1:26" x14ac:dyDescent="0.2">
      <c r="A178" s="6" t="s">
        <v>357</v>
      </c>
      <c r="B178" s="51" t="s">
        <v>43</v>
      </c>
      <c r="C178" s="52">
        <v>3000000</v>
      </c>
      <c r="D178" s="53" t="s">
        <v>203</v>
      </c>
      <c r="E178" s="53">
        <v>25</v>
      </c>
      <c r="F178" s="53" t="s">
        <v>153</v>
      </c>
      <c r="G178" s="92">
        <v>174</v>
      </c>
      <c r="H178" s="85">
        <v>48</v>
      </c>
      <c r="I178" s="45">
        <f>ROUND(Table134[[#This Row],[laatste 5 wed.]]/Table134[[#This Row],['#punten]]*100,1)</f>
        <v>27.6</v>
      </c>
      <c r="J178" s="53">
        <v>8</v>
      </c>
      <c r="K178" s="53">
        <v>6</v>
      </c>
      <c r="L178" s="53">
        <v>424</v>
      </c>
      <c r="M178" s="53">
        <v>148</v>
      </c>
      <c r="N178" s="23">
        <f>ROUND(Table134[[#This Row],[Min laatste 5]]/Table134[[#This Row],['#minuten]]*100,1)</f>
        <v>34.9</v>
      </c>
      <c r="O178" s="53">
        <v>0</v>
      </c>
      <c r="P178" s="53">
        <v>3</v>
      </c>
      <c r="Q178" s="85">
        <v>1</v>
      </c>
      <c r="R178" s="53">
        <v>0</v>
      </c>
      <c r="S178" s="53">
        <v>0</v>
      </c>
      <c r="T178" s="94">
        <f>ROUND(Table134[[#This Row],['#punten]]/Table134[[#This Row],['#Wed]],2)</f>
        <v>21.75</v>
      </c>
      <c r="U178" s="54">
        <f>ROUND(Table134[[#This Row],['#punten]]/Table134[[#This Row],['#minuten]],2)</f>
        <v>0.41</v>
      </c>
      <c r="V178" s="53">
        <f>ROUND(Table134[[#This Row],['#punten]]/(Table134[[#This Row],['#minuten]]/90),2)</f>
        <v>36.93</v>
      </c>
      <c r="W178" s="53">
        <f>ROUND(Table134[[#This Row],[Prijs]]/Table134[[#This Row],['#punten]],0)</f>
        <v>17241</v>
      </c>
      <c r="X178" s="57">
        <f>ROUND((Table134[[#This Row],[Goals]]+Table134[[#This Row],[Asissts]])/(Table134[[#This Row],['#minuten]]/90),2)</f>
        <v>0.64</v>
      </c>
    </row>
    <row r="179" spans="1:26" x14ac:dyDescent="0.2">
      <c r="A179" s="6" t="s">
        <v>586</v>
      </c>
      <c r="B179" s="62" t="s">
        <v>159</v>
      </c>
      <c r="C179" s="63">
        <v>750000</v>
      </c>
      <c r="D179" s="60" t="s">
        <v>203</v>
      </c>
      <c r="E179" s="60">
        <v>23</v>
      </c>
      <c r="F179" s="60" t="s">
        <v>141</v>
      </c>
      <c r="G179" s="91">
        <v>600</v>
      </c>
      <c r="H179" s="86">
        <v>366</v>
      </c>
      <c r="I179" s="45">
        <f>ROUND(Table134[[#This Row],[laatste 5 wed.]]/Table134[[#This Row],['#punten]]*100,1)</f>
        <v>61</v>
      </c>
      <c r="J179" s="60">
        <v>13</v>
      </c>
      <c r="K179" s="60">
        <v>11</v>
      </c>
      <c r="L179" s="60">
        <v>1007</v>
      </c>
      <c r="M179" s="60">
        <v>421</v>
      </c>
      <c r="N179" s="23">
        <f>ROUND(Table134[[#This Row],[Min laatste 5]]/Table134[[#This Row],['#minuten]]*100,1)</f>
        <v>41.8</v>
      </c>
      <c r="O179" s="60">
        <v>2</v>
      </c>
      <c r="P179" s="60">
        <v>0</v>
      </c>
      <c r="Q179" s="86">
        <v>3</v>
      </c>
      <c r="R179" s="60">
        <v>0</v>
      </c>
      <c r="S179" s="60">
        <v>4</v>
      </c>
      <c r="T179" s="93">
        <f>ROUND(Table134[[#This Row],['#punten]]/Table134[[#This Row],['#Wed]],2)</f>
        <v>46.15</v>
      </c>
      <c r="U179" s="91">
        <f>ROUND(Table134[[#This Row],['#punten]]/Table134[[#This Row],['#minuten]],2)</f>
        <v>0.6</v>
      </c>
      <c r="V179" s="60">
        <f>ROUND(Table134[[#This Row],['#punten]]/(Table134[[#This Row],['#minuten]]/90),2)</f>
        <v>53.62</v>
      </c>
      <c r="W179" s="60">
        <f>ROUND(Table134[[#This Row],[Prijs]]/Table134[[#This Row],['#punten]],0)</f>
        <v>1250</v>
      </c>
      <c r="X179" s="61">
        <f>ROUND((Table134[[#This Row],[Goals]]+Table134[[#This Row],[Asissts]])/(Table134[[#This Row],['#minuten]]/90),2)</f>
        <v>0.18</v>
      </c>
      <c r="Y179" s="38"/>
    </row>
    <row r="180" spans="1:26" x14ac:dyDescent="0.2">
      <c r="A180" s="6" t="s">
        <v>512</v>
      </c>
      <c r="B180" s="51" t="s">
        <v>159</v>
      </c>
      <c r="C180" s="52">
        <v>750000</v>
      </c>
      <c r="D180" s="53" t="s">
        <v>203</v>
      </c>
      <c r="E180" s="53">
        <v>22</v>
      </c>
      <c r="F180" s="53" t="s">
        <v>160</v>
      </c>
      <c r="G180" s="92">
        <v>594</v>
      </c>
      <c r="H180" s="85">
        <v>198</v>
      </c>
      <c r="I180" s="45">
        <f>ROUND(Table134[[#This Row],[laatste 5 wed.]]/Table134[[#This Row],['#punten]]*100,1)</f>
        <v>33.299999999999997</v>
      </c>
      <c r="J180" s="53">
        <v>13</v>
      </c>
      <c r="K180" s="53">
        <v>11</v>
      </c>
      <c r="L180" s="53">
        <v>992</v>
      </c>
      <c r="M180" s="53">
        <v>225</v>
      </c>
      <c r="N180" s="23">
        <f>ROUND(Table134[[#This Row],[Min laatste 5]]/Table134[[#This Row],['#minuten]]*100,1)</f>
        <v>22.7</v>
      </c>
      <c r="O180" s="53">
        <v>1</v>
      </c>
      <c r="P180" s="53">
        <v>1</v>
      </c>
      <c r="Q180" s="85">
        <v>2</v>
      </c>
      <c r="R180" s="53">
        <v>0</v>
      </c>
      <c r="S180" s="53">
        <v>4</v>
      </c>
      <c r="T180" s="94">
        <f>ROUND(Table134[[#This Row],['#punten]]/Table134[[#This Row],['#Wed]],2)</f>
        <v>45.69</v>
      </c>
      <c r="U180" s="54">
        <f>ROUND(Table134[[#This Row],['#punten]]/Table134[[#This Row],['#minuten]],2)</f>
        <v>0.6</v>
      </c>
      <c r="V180" s="53">
        <f>ROUND(Table134[[#This Row],['#punten]]/(Table134[[#This Row],['#minuten]]/90),2)</f>
        <v>53.89</v>
      </c>
      <c r="W180" s="53">
        <f>ROUND(Table134[[#This Row],[Prijs]]/Table134[[#This Row],['#punten]],0)</f>
        <v>1263</v>
      </c>
      <c r="X180" s="57">
        <f>ROUND((Table134[[#This Row],[Goals]]+Table134[[#This Row],[Asissts]])/(Table134[[#This Row],['#minuten]]/90),2)</f>
        <v>0.18</v>
      </c>
      <c r="Y180" s="38"/>
    </row>
    <row r="181" spans="1:26" x14ac:dyDescent="0.2">
      <c r="A181" s="6" t="s">
        <v>593</v>
      </c>
      <c r="B181" s="62" t="s">
        <v>159</v>
      </c>
      <c r="C181" s="63">
        <v>750000</v>
      </c>
      <c r="D181" s="60" t="s">
        <v>203</v>
      </c>
      <c r="E181" s="60">
        <v>27</v>
      </c>
      <c r="F181" s="60" t="s">
        <v>141</v>
      </c>
      <c r="G181" s="91">
        <v>498</v>
      </c>
      <c r="H181" s="86">
        <v>168</v>
      </c>
      <c r="I181" s="45">
        <f>ROUND(Table134[[#This Row],[laatste 5 wed.]]/Table134[[#This Row],['#punten]]*100,1)</f>
        <v>33.700000000000003</v>
      </c>
      <c r="J181" s="60">
        <v>17</v>
      </c>
      <c r="K181" s="60">
        <v>17</v>
      </c>
      <c r="L181" s="60">
        <v>1338</v>
      </c>
      <c r="M181" s="60">
        <v>315</v>
      </c>
      <c r="N181" s="23">
        <f>ROUND(Table134[[#This Row],[Min laatste 5]]/Table134[[#This Row],['#minuten]]*100,1)</f>
        <v>23.5</v>
      </c>
      <c r="O181" s="60">
        <v>0</v>
      </c>
      <c r="P181" s="60">
        <v>0</v>
      </c>
      <c r="Q181" s="86">
        <v>4</v>
      </c>
      <c r="R181" s="60">
        <v>1</v>
      </c>
      <c r="S181" s="60">
        <v>6</v>
      </c>
      <c r="T181" s="93">
        <f>ROUND(Table134[[#This Row],['#punten]]/Table134[[#This Row],['#Wed]],2)</f>
        <v>29.29</v>
      </c>
      <c r="U181" s="91">
        <f>ROUND(Table134[[#This Row],['#punten]]/Table134[[#This Row],['#minuten]],2)</f>
        <v>0.37</v>
      </c>
      <c r="V181" s="60">
        <f>ROUND(Table134[[#This Row],['#punten]]/(Table134[[#This Row],['#minuten]]/90),2)</f>
        <v>33.5</v>
      </c>
      <c r="W181" s="60">
        <f>ROUND(Table134[[#This Row],[Prijs]]/Table134[[#This Row],['#punten]],0)</f>
        <v>1506</v>
      </c>
      <c r="X181" s="61">
        <f>ROUND((Table134[[#This Row],[Goals]]+Table134[[#This Row],[Asissts]])/(Table134[[#This Row],['#minuten]]/90),2)</f>
        <v>0</v>
      </c>
      <c r="Y181" s="38"/>
    </row>
    <row r="182" spans="1:26" x14ac:dyDescent="0.2">
      <c r="A182" s="6" t="s">
        <v>585</v>
      </c>
      <c r="B182" s="21" t="s">
        <v>159</v>
      </c>
      <c r="C182" s="22">
        <v>1000000</v>
      </c>
      <c r="D182" s="23" t="s">
        <v>203</v>
      </c>
      <c r="E182" s="23">
        <v>25</v>
      </c>
      <c r="F182" s="23" t="s">
        <v>141</v>
      </c>
      <c r="G182" s="44">
        <v>480</v>
      </c>
      <c r="H182" s="45">
        <v>222</v>
      </c>
      <c r="I182" s="45">
        <f>ROUND(Table134[[#This Row],[laatste 5 wed.]]/Table134[[#This Row],['#punten]]*100,1)</f>
        <v>46.3</v>
      </c>
      <c r="J182" s="23">
        <v>15</v>
      </c>
      <c r="K182" s="23">
        <v>14</v>
      </c>
      <c r="L182" s="23">
        <v>1304</v>
      </c>
      <c r="M182" s="23">
        <v>450</v>
      </c>
      <c r="N182" s="23">
        <f>ROUND(Table134[[#This Row],[Min laatste 5]]/Table134[[#This Row],['#minuten]]*100,1)</f>
        <v>34.5</v>
      </c>
      <c r="O182" s="23">
        <v>0</v>
      </c>
      <c r="P182" s="23">
        <v>1</v>
      </c>
      <c r="Q182" s="45">
        <v>5</v>
      </c>
      <c r="R182" s="23">
        <v>0</v>
      </c>
      <c r="S182" s="23">
        <v>6</v>
      </c>
      <c r="T182" s="46">
        <f>ROUND(Table134[[#This Row],['#punten]]/Table134[[#This Row],['#Wed]],2)</f>
        <v>32</v>
      </c>
      <c r="U182" s="44">
        <f>ROUND(Table134[[#This Row],['#punten]]/Table134[[#This Row],['#minuten]],2)</f>
        <v>0.37</v>
      </c>
      <c r="V182" s="23">
        <f>ROUND(Table134[[#This Row],['#punten]]/(Table134[[#This Row],['#minuten]]/90),2)</f>
        <v>33.130000000000003</v>
      </c>
      <c r="W182" s="23">
        <f>ROUND(Table134[[#This Row],[Prijs]]/Table134[[#This Row],['#punten]],0)</f>
        <v>2083</v>
      </c>
      <c r="X182" s="27">
        <f>ROUND((Table134[[#This Row],[Goals]]+Table134[[#This Row],[Asissts]])/(Table134[[#This Row],['#minuten]]/90),2)</f>
        <v>7.0000000000000007E-2</v>
      </c>
      <c r="Y182" s="38"/>
    </row>
    <row r="183" spans="1:26" x14ac:dyDescent="0.2">
      <c r="A183" s="6" t="s">
        <v>126</v>
      </c>
      <c r="B183" s="28" t="s">
        <v>6</v>
      </c>
      <c r="C183" s="29">
        <v>4000000</v>
      </c>
      <c r="D183" s="30" t="s">
        <v>203</v>
      </c>
      <c r="E183" s="30">
        <v>23</v>
      </c>
      <c r="F183" s="30" t="s">
        <v>177</v>
      </c>
      <c r="G183" s="47">
        <v>1182</v>
      </c>
      <c r="H183" s="48">
        <v>42</v>
      </c>
      <c r="I183" s="45">
        <f>ROUND(Table134[[#This Row],[laatste 5 wed.]]/Table134[[#This Row],['#punten]]*100,1)</f>
        <v>3.6</v>
      </c>
      <c r="J183" s="30">
        <v>16</v>
      </c>
      <c r="K183" s="30">
        <v>16</v>
      </c>
      <c r="L183" s="30">
        <v>1356</v>
      </c>
      <c r="M183" s="30">
        <v>180</v>
      </c>
      <c r="N183" s="23">
        <f>ROUND(Table134[[#This Row],[Min laatste 5]]/Table134[[#This Row],['#minuten]]*100,1)</f>
        <v>13.3</v>
      </c>
      <c r="O183" s="30">
        <v>0</v>
      </c>
      <c r="P183" s="30">
        <v>4</v>
      </c>
      <c r="Q183" s="48">
        <v>0</v>
      </c>
      <c r="R183" s="30">
        <v>0</v>
      </c>
      <c r="S183" s="30">
        <v>6</v>
      </c>
      <c r="T183" s="49">
        <f>ROUND(Table134[[#This Row],['#punten]]/Table134[[#This Row],['#Wed]],2)</f>
        <v>73.88</v>
      </c>
      <c r="U183" s="31">
        <f>ROUND(Table134[[#This Row],['#punten]]/Table134[[#This Row],['#minuten]],2)</f>
        <v>0.87</v>
      </c>
      <c r="V183" s="30">
        <f>ROUND(Table134[[#This Row],['#punten]]/(Table134[[#This Row],['#minuten]]/90),2)</f>
        <v>78.45</v>
      </c>
      <c r="W183" s="30">
        <f>ROUND(Table134[[#This Row],[Prijs]]/Table134[[#This Row],['#punten]],0)</f>
        <v>3384</v>
      </c>
      <c r="X183" s="34">
        <f>ROUND((Table134[[#This Row],[Goals]]+Table134[[#This Row],[Asissts]])/(Table134[[#This Row],['#minuten]]/90),2)</f>
        <v>0.27</v>
      </c>
      <c r="Z183" t="s">
        <v>633</v>
      </c>
    </row>
    <row r="184" spans="1:26" x14ac:dyDescent="0.2">
      <c r="A184" s="6" t="s">
        <v>178</v>
      </c>
      <c r="B184" s="51" t="s">
        <v>6</v>
      </c>
      <c r="C184" s="52">
        <v>3000000</v>
      </c>
      <c r="D184" s="53" t="s">
        <v>203</v>
      </c>
      <c r="E184" s="53">
        <v>21</v>
      </c>
      <c r="F184" s="53" t="s">
        <v>179</v>
      </c>
      <c r="G184" s="92">
        <v>1116</v>
      </c>
      <c r="H184" s="85">
        <v>144</v>
      </c>
      <c r="I184" s="45">
        <f>ROUND(Table134[[#This Row],[laatste 5 wed.]]/Table134[[#This Row],['#punten]]*100,1)</f>
        <v>12.9</v>
      </c>
      <c r="J184" s="53">
        <v>19</v>
      </c>
      <c r="K184" s="53">
        <v>18</v>
      </c>
      <c r="L184" s="53">
        <v>1467</v>
      </c>
      <c r="M184" s="53">
        <v>317</v>
      </c>
      <c r="N184" s="23">
        <f>ROUND(Table134[[#This Row],[Min laatste 5]]/Table134[[#This Row],['#minuten]]*100,1)</f>
        <v>21.6</v>
      </c>
      <c r="O184" s="53">
        <v>1</v>
      </c>
      <c r="P184" s="53">
        <v>2</v>
      </c>
      <c r="Q184" s="85">
        <v>4</v>
      </c>
      <c r="R184" s="53">
        <v>0</v>
      </c>
      <c r="S184" s="53">
        <v>6</v>
      </c>
      <c r="T184" s="94">
        <f>ROUND(Table134[[#This Row],['#punten]]/Table134[[#This Row],['#Wed]],2)</f>
        <v>58.74</v>
      </c>
      <c r="U184" s="54">
        <f>ROUND(Table134[[#This Row],['#punten]]/Table134[[#This Row],['#minuten]],2)</f>
        <v>0.76</v>
      </c>
      <c r="V184" s="53">
        <f>ROUND(Table134[[#This Row],['#punten]]/(Table134[[#This Row],['#minuten]]/90),2)</f>
        <v>68.47</v>
      </c>
      <c r="W184" s="53">
        <f>ROUND(Table134[[#This Row],[Prijs]]/Table134[[#This Row],['#punten]],0)</f>
        <v>2688</v>
      </c>
      <c r="X184" s="57">
        <f>ROUND((Table134[[#This Row],[Goals]]+Table134[[#This Row],[Asissts]])/(Table134[[#This Row],['#minuten]]/90),2)</f>
        <v>0.18</v>
      </c>
      <c r="Y184" s="38"/>
    </row>
    <row r="185" spans="1:26" x14ac:dyDescent="0.2">
      <c r="A185" s="6" t="s">
        <v>360</v>
      </c>
      <c r="B185" s="28" t="s">
        <v>6</v>
      </c>
      <c r="C185" s="29">
        <v>2000000</v>
      </c>
      <c r="D185" s="30" t="s">
        <v>203</v>
      </c>
      <c r="E185" s="30">
        <v>22</v>
      </c>
      <c r="F185" s="30" t="s">
        <v>143</v>
      </c>
      <c r="G185" s="47">
        <v>810</v>
      </c>
      <c r="H185" s="48">
        <v>150</v>
      </c>
      <c r="I185" s="45">
        <f>ROUND(Table134[[#This Row],[laatste 5 wed.]]/Table134[[#This Row],['#punten]]*100,1)</f>
        <v>18.5</v>
      </c>
      <c r="J185" s="30">
        <v>16</v>
      </c>
      <c r="K185" s="30">
        <v>13</v>
      </c>
      <c r="L185" s="30">
        <v>1186</v>
      </c>
      <c r="M185" s="30">
        <v>346</v>
      </c>
      <c r="N185" s="23">
        <f>ROUND(Table134[[#This Row],[Min laatste 5]]/Table134[[#This Row],['#minuten]]*100,1)</f>
        <v>29.2</v>
      </c>
      <c r="O185" s="30">
        <v>0</v>
      </c>
      <c r="P185" s="30">
        <v>1</v>
      </c>
      <c r="Q185" s="48">
        <v>0</v>
      </c>
      <c r="R185" s="30">
        <v>0</v>
      </c>
      <c r="S185" s="30">
        <v>5</v>
      </c>
      <c r="T185" s="49">
        <f>ROUND(Table134[[#This Row],['#punten]]/Table134[[#This Row],['#Wed]],2)</f>
        <v>50.63</v>
      </c>
      <c r="U185" s="31">
        <f>ROUND(Table134[[#This Row],['#punten]]/Table134[[#This Row],['#minuten]],2)</f>
        <v>0.68</v>
      </c>
      <c r="V185" s="30">
        <f>ROUND(Table134[[#This Row],['#punten]]/(Table134[[#This Row],['#minuten]]/90),2)</f>
        <v>61.47</v>
      </c>
      <c r="W185" s="30">
        <f>ROUND(Table134[[#This Row],[Prijs]]/Table134[[#This Row],['#punten]],0)</f>
        <v>2469</v>
      </c>
      <c r="X185" s="34">
        <f>ROUND((Table134[[#This Row],[Goals]]+Table134[[#This Row],[Asissts]])/(Table134[[#This Row],['#minuten]]/90),2)</f>
        <v>0.08</v>
      </c>
      <c r="Y185" s="38"/>
    </row>
    <row r="186" spans="1:26" x14ac:dyDescent="0.2">
      <c r="A186" s="6" t="s">
        <v>180</v>
      </c>
      <c r="B186" s="28" t="s">
        <v>6</v>
      </c>
      <c r="C186" s="29">
        <v>2500000</v>
      </c>
      <c r="D186" s="30" t="s">
        <v>203</v>
      </c>
      <c r="E186" s="30">
        <v>27</v>
      </c>
      <c r="F186" s="30" t="s">
        <v>141</v>
      </c>
      <c r="G186" s="47">
        <v>740</v>
      </c>
      <c r="H186" s="48">
        <v>0</v>
      </c>
      <c r="I186" s="45">
        <f>ROUND(Table134[[#This Row],[laatste 5 wed.]]/Table134[[#This Row],['#punten]]*100,1)</f>
        <v>0</v>
      </c>
      <c r="J186" s="30">
        <v>16</v>
      </c>
      <c r="K186" s="30">
        <v>15</v>
      </c>
      <c r="L186" s="30">
        <v>1262</v>
      </c>
      <c r="M186" s="30">
        <v>272</v>
      </c>
      <c r="N186" s="23">
        <f>ROUND(Table134[[#This Row],[Min laatste 5]]/Table134[[#This Row],['#minuten]]*100,1)</f>
        <v>21.6</v>
      </c>
      <c r="O186" s="30">
        <v>0</v>
      </c>
      <c r="P186" s="30">
        <v>0</v>
      </c>
      <c r="Q186" s="48">
        <v>3</v>
      </c>
      <c r="R186" s="30">
        <v>0</v>
      </c>
      <c r="S186" s="30">
        <v>5</v>
      </c>
      <c r="T186" s="49">
        <f>ROUND(Table134[[#This Row],['#punten]]/Table134[[#This Row],['#Wed]],2)</f>
        <v>46.25</v>
      </c>
      <c r="U186" s="31">
        <f>ROUND(Table134[[#This Row],['#punten]]/Table134[[#This Row],['#minuten]],2)</f>
        <v>0.59</v>
      </c>
      <c r="V186" s="30">
        <f>ROUND(Table134[[#This Row],['#punten]]/(Table134[[#This Row],['#minuten]]/90),2)</f>
        <v>52.77</v>
      </c>
      <c r="W186" s="30">
        <f>ROUND(Table134[[#This Row],[Prijs]]/Table134[[#This Row],['#punten]],0)</f>
        <v>3378</v>
      </c>
      <c r="X186" s="34">
        <f>ROUND((Table134[[#This Row],[Goals]]+Table134[[#This Row],[Asissts]])/(Table134[[#This Row],['#minuten]]/90),2)</f>
        <v>0</v>
      </c>
    </row>
    <row r="187" spans="1:26" x14ac:dyDescent="0.2">
      <c r="A187" s="6" t="s">
        <v>502</v>
      </c>
      <c r="B187" s="51" t="s">
        <v>6</v>
      </c>
      <c r="C187" s="52">
        <v>2500000</v>
      </c>
      <c r="D187" s="53" t="s">
        <v>203</v>
      </c>
      <c r="E187" s="53">
        <v>31</v>
      </c>
      <c r="F187" s="53" t="s">
        <v>141</v>
      </c>
      <c r="G187" s="92">
        <v>372</v>
      </c>
      <c r="H187" s="85">
        <v>42</v>
      </c>
      <c r="I187" s="45">
        <f>ROUND(Table134[[#This Row],[laatste 5 wed.]]/Table134[[#This Row],['#punten]]*100,1)</f>
        <v>11.3</v>
      </c>
      <c r="J187" s="53">
        <v>11</v>
      </c>
      <c r="K187" s="53">
        <v>7</v>
      </c>
      <c r="L187" s="53">
        <v>709</v>
      </c>
      <c r="M187" s="53">
        <v>270</v>
      </c>
      <c r="N187" s="23">
        <f>ROUND(Table134[[#This Row],[Min laatste 5]]/Table134[[#This Row],['#minuten]]*100,1)</f>
        <v>38.1</v>
      </c>
      <c r="O187" s="53">
        <v>1</v>
      </c>
      <c r="P187" s="53">
        <v>2</v>
      </c>
      <c r="Q187" s="85">
        <v>3</v>
      </c>
      <c r="R187" s="53">
        <v>0</v>
      </c>
      <c r="S187" s="53">
        <v>1</v>
      </c>
      <c r="T187" s="94">
        <f>ROUND(Table134[[#This Row],['#punten]]/Table134[[#This Row],['#Wed]],2)</f>
        <v>33.82</v>
      </c>
      <c r="U187" s="54">
        <f>ROUND(Table134[[#This Row],['#punten]]/Table134[[#This Row],['#minuten]],2)</f>
        <v>0.52</v>
      </c>
      <c r="V187" s="53">
        <f>ROUND(Table134[[#This Row],['#punten]]/(Table134[[#This Row],['#minuten]]/90),2)</f>
        <v>47.22</v>
      </c>
      <c r="W187" s="53">
        <f>ROUND(Table134[[#This Row],[Prijs]]/Table134[[#This Row],['#punten]],0)</f>
        <v>6720</v>
      </c>
      <c r="X187" s="57">
        <f>ROUND((Table134[[#This Row],[Goals]]+Table134[[#This Row],[Asissts]])/(Table134[[#This Row],['#minuten]]/90),2)</f>
        <v>0.38</v>
      </c>
    </row>
    <row r="188" spans="1:26" x14ac:dyDescent="0.2">
      <c r="A188" s="6" t="s">
        <v>597</v>
      </c>
      <c r="B188" s="62" t="s">
        <v>6</v>
      </c>
      <c r="C188" s="63">
        <v>2000000</v>
      </c>
      <c r="D188" s="60" t="s">
        <v>203</v>
      </c>
      <c r="E188" s="60">
        <v>21</v>
      </c>
      <c r="F188" s="60" t="s">
        <v>141</v>
      </c>
      <c r="G188" s="91">
        <v>132</v>
      </c>
      <c r="H188" s="86">
        <v>30</v>
      </c>
      <c r="I188" s="45">
        <f>ROUND(Table134[[#This Row],[laatste 5 wed.]]/Table134[[#This Row],['#punten]]*100,1)</f>
        <v>22.7</v>
      </c>
      <c r="J188" s="60">
        <v>13</v>
      </c>
      <c r="K188" s="60">
        <v>3</v>
      </c>
      <c r="L188" s="60">
        <v>402</v>
      </c>
      <c r="M188" s="60">
        <v>230</v>
      </c>
      <c r="N188" s="23">
        <f>ROUND(Table134[[#This Row],[Min laatste 5]]/Table134[[#This Row],['#minuten]]*100,1)</f>
        <v>57.2</v>
      </c>
      <c r="O188" s="60">
        <v>0</v>
      </c>
      <c r="P188" s="60">
        <v>1</v>
      </c>
      <c r="Q188" s="86">
        <v>0</v>
      </c>
      <c r="R188" s="60">
        <v>1</v>
      </c>
      <c r="S188" s="60">
        <v>1</v>
      </c>
      <c r="T188" s="93">
        <f>ROUND(Table134[[#This Row],['#punten]]/Table134[[#This Row],['#Wed]],2)</f>
        <v>10.15</v>
      </c>
      <c r="U188" s="58">
        <f>ROUND(Table134[[#This Row],['#punten]]/Table134[[#This Row],['#minuten]],2)</f>
        <v>0.33</v>
      </c>
      <c r="V188" s="60">
        <f>ROUND(Table134[[#This Row],['#punten]]/(Table134[[#This Row],['#minuten]]/90),2)</f>
        <v>29.55</v>
      </c>
      <c r="W188" s="60">
        <f>ROUND(Table134[[#This Row],[Prijs]]/Table134[[#This Row],['#punten]],0)</f>
        <v>15152</v>
      </c>
      <c r="X188" s="61">
        <f>ROUND((Table134[[#This Row],[Goals]]+Table134[[#This Row],[Asissts]])/(Table134[[#This Row],['#minuten]]/90),2)</f>
        <v>0.22</v>
      </c>
      <c r="Y188" s="38"/>
    </row>
    <row r="189" spans="1:26" x14ac:dyDescent="0.2">
      <c r="A189" s="6" t="s">
        <v>361</v>
      </c>
      <c r="B189" s="62" t="s">
        <v>44</v>
      </c>
      <c r="C189" s="63">
        <v>1500000</v>
      </c>
      <c r="D189" s="60" t="s">
        <v>203</v>
      </c>
      <c r="E189" s="60">
        <v>25</v>
      </c>
      <c r="F189" s="60" t="s">
        <v>167</v>
      </c>
      <c r="G189" s="91">
        <v>882</v>
      </c>
      <c r="H189" s="86">
        <v>306</v>
      </c>
      <c r="I189" s="45">
        <f>ROUND(Table134[[#This Row],[laatste 5 wed.]]/Table134[[#This Row],['#punten]]*100,1)</f>
        <v>34.700000000000003</v>
      </c>
      <c r="J189" s="60">
        <v>19</v>
      </c>
      <c r="K189" s="60">
        <v>19</v>
      </c>
      <c r="L189" s="60">
        <v>1695</v>
      </c>
      <c r="M189" s="60">
        <v>450</v>
      </c>
      <c r="N189" s="23">
        <f>ROUND(Table134[[#This Row],[Min laatste 5]]/Table134[[#This Row],['#minuten]]*100,1)</f>
        <v>26.5</v>
      </c>
      <c r="O189" s="60">
        <v>2</v>
      </c>
      <c r="P189" s="60">
        <v>2</v>
      </c>
      <c r="Q189" s="86">
        <v>3</v>
      </c>
      <c r="R189" s="60">
        <v>0</v>
      </c>
      <c r="S189" s="60">
        <v>4</v>
      </c>
      <c r="T189" s="93">
        <f>ROUND(Table134[[#This Row],['#punten]]/Table134[[#This Row],['#Wed]],2)</f>
        <v>46.42</v>
      </c>
      <c r="U189" s="58">
        <f>ROUND(Table134[[#This Row],['#punten]]/Table134[[#This Row],['#minuten]],2)</f>
        <v>0.52</v>
      </c>
      <c r="V189" s="60">
        <f>ROUND(Table134[[#This Row],['#punten]]/(Table134[[#This Row],['#minuten]]/90),2)</f>
        <v>46.83</v>
      </c>
      <c r="W189" s="60">
        <f>ROUND(Table134[[#This Row],[Prijs]]/Table134[[#This Row],['#punten]],0)</f>
        <v>1701</v>
      </c>
      <c r="X189" s="61">
        <f>ROUND((Table134[[#This Row],[Goals]]+Table134[[#This Row],[Asissts]])/(Table134[[#This Row],['#minuten]]/90),2)</f>
        <v>0.21</v>
      </c>
    </row>
    <row r="190" spans="1:26" x14ac:dyDescent="0.2">
      <c r="A190" s="6" t="s">
        <v>186</v>
      </c>
      <c r="B190" s="51" t="s">
        <v>44</v>
      </c>
      <c r="C190" s="52">
        <v>1000000</v>
      </c>
      <c r="D190" s="53" t="s">
        <v>203</v>
      </c>
      <c r="E190" s="53">
        <v>20</v>
      </c>
      <c r="F190" s="53" t="s">
        <v>187</v>
      </c>
      <c r="G190" s="92">
        <v>750</v>
      </c>
      <c r="H190" s="85">
        <v>174</v>
      </c>
      <c r="I190" s="45">
        <f>ROUND(Table134[[#This Row],[laatste 5 wed.]]/Table134[[#This Row],['#punten]]*100,1)</f>
        <v>23.2</v>
      </c>
      <c r="J190" s="53">
        <v>18</v>
      </c>
      <c r="K190" s="53">
        <v>18</v>
      </c>
      <c r="L190" s="53">
        <v>1575</v>
      </c>
      <c r="M190" s="53">
        <v>320</v>
      </c>
      <c r="N190" s="23">
        <f>ROUND(Table134[[#This Row],[Min laatste 5]]/Table134[[#This Row],['#minuten]]*100,1)</f>
        <v>20.3</v>
      </c>
      <c r="O190" s="53">
        <v>1</v>
      </c>
      <c r="P190" s="53">
        <v>0</v>
      </c>
      <c r="Q190" s="85">
        <v>0</v>
      </c>
      <c r="R190" s="53">
        <v>0</v>
      </c>
      <c r="S190" s="53">
        <v>4</v>
      </c>
      <c r="T190" s="94">
        <f>ROUND(Table134[[#This Row],['#punten]]/Table134[[#This Row],['#Wed]],2)</f>
        <v>41.67</v>
      </c>
      <c r="U190" s="54">
        <f>ROUND(Table134[[#This Row],['#punten]]/Table134[[#This Row],['#minuten]],2)</f>
        <v>0.48</v>
      </c>
      <c r="V190" s="53">
        <f>ROUND(Table134[[#This Row],['#punten]]/(Table134[[#This Row],['#minuten]]/90),2)</f>
        <v>42.86</v>
      </c>
      <c r="W190" s="53">
        <f>ROUND(Table134[[#This Row],[Prijs]]/Table134[[#This Row],['#punten]],0)</f>
        <v>1333</v>
      </c>
      <c r="X190" s="57">
        <f>ROUND((Table134[[#This Row],[Goals]]+Table134[[#This Row],[Asissts]])/(Table134[[#This Row],['#minuten]]/90),2)</f>
        <v>0.06</v>
      </c>
    </row>
    <row r="191" spans="1:26" x14ac:dyDescent="0.2">
      <c r="A191" s="6" t="s">
        <v>184</v>
      </c>
      <c r="B191" s="62" t="s">
        <v>44</v>
      </c>
      <c r="C191" s="63">
        <v>1500000</v>
      </c>
      <c r="D191" s="60" t="s">
        <v>203</v>
      </c>
      <c r="E191" s="60">
        <v>22</v>
      </c>
      <c r="F191" s="60" t="s">
        <v>160</v>
      </c>
      <c r="G191" s="91">
        <v>732</v>
      </c>
      <c r="H191" s="86">
        <v>108</v>
      </c>
      <c r="I191" s="45">
        <f>ROUND(Table134[[#This Row],[laatste 5 wed.]]/Table134[[#This Row],['#punten]]*100,1)</f>
        <v>14.8</v>
      </c>
      <c r="J191" s="60">
        <v>18</v>
      </c>
      <c r="K191" s="60">
        <v>18</v>
      </c>
      <c r="L191" s="60">
        <v>1478</v>
      </c>
      <c r="M191" s="60">
        <v>235</v>
      </c>
      <c r="N191" s="23">
        <f>ROUND(Table134[[#This Row],[Min laatste 5]]/Table134[[#This Row],['#minuten]]*100,1)</f>
        <v>15.9</v>
      </c>
      <c r="O191" s="60">
        <v>1</v>
      </c>
      <c r="P191" s="60">
        <v>3</v>
      </c>
      <c r="Q191" s="86">
        <v>4</v>
      </c>
      <c r="R191" s="60">
        <v>1</v>
      </c>
      <c r="S191" s="60">
        <v>4</v>
      </c>
      <c r="T191" s="93">
        <f>ROUND(Table134[[#This Row],['#punten]]/Table134[[#This Row],['#Wed]],2)</f>
        <v>40.67</v>
      </c>
      <c r="U191" s="58">
        <f>ROUND(Table134[[#This Row],['#punten]]/Table134[[#This Row],['#minuten]],2)</f>
        <v>0.5</v>
      </c>
      <c r="V191" s="60">
        <f>ROUND(Table134[[#This Row],['#punten]]/(Table134[[#This Row],['#minuten]]/90),2)</f>
        <v>44.57</v>
      </c>
      <c r="W191" s="60">
        <f>ROUND(Table134[[#This Row],[Prijs]]/Table134[[#This Row],['#punten]],0)</f>
        <v>2049</v>
      </c>
      <c r="X191" s="61">
        <f>ROUND((Table134[[#This Row],[Goals]]+Table134[[#This Row],[Asissts]])/(Table134[[#This Row],['#minuten]]/90),2)</f>
        <v>0.24</v>
      </c>
      <c r="Y191" s="38"/>
    </row>
    <row r="192" spans="1:26" x14ac:dyDescent="0.2">
      <c r="A192" s="6" t="s">
        <v>362</v>
      </c>
      <c r="B192" s="21" t="s">
        <v>44</v>
      </c>
      <c r="C192" s="22">
        <v>1250000</v>
      </c>
      <c r="D192" s="23" t="s">
        <v>203</v>
      </c>
      <c r="E192" s="23">
        <v>27</v>
      </c>
      <c r="F192" s="23" t="s">
        <v>141</v>
      </c>
      <c r="G192" s="44">
        <v>714</v>
      </c>
      <c r="H192" s="45">
        <v>234</v>
      </c>
      <c r="I192" s="45">
        <f>ROUND(Table134[[#This Row],[laatste 5 wed.]]/Table134[[#This Row],['#punten]]*100,1)</f>
        <v>32.799999999999997</v>
      </c>
      <c r="J192" s="23">
        <v>17</v>
      </c>
      <c r="K192" s="23">
        <v>16</v>
      </c>
      <c r="L192" s="23">
        <v>1453</v>
      </c>
      <c r="M192" s="23">
        <v>442</v>
      </c>
      <c r="N192" s="23">
        <f>ROUND(Table134[[#This Row],[Min laatste 5]]/Table134[[#This Row],['#minuten]]*100,1)</f>
        <v>30.4</v>
      </c>
      <c r="O192" s="23">
        <v>0</v>
      </c>
      <c r="P192" s="23">
        <v>3</v>
      </c>
      <c r="Q192" s="45">
        <v>2</v>
      </c>
      <c r="R192" s="23">
        <v>0</v>
      </c>
      <c r="S192" s="23">
        <v>4</v>
      </c>
      <c r="T192" s="46">
        <f>ROUND(Table134[[#This Row],['#punten]]/Table134[[#This Row],['#Wed]],2)</f>
        <v>42</v>
      </c>
      <c r="U192" s="24">
        <f>ROUND(Table134[[#This Row],['#punten]]/Table134[[#This Row],['#minuten]],2)</f>
        <v>0.49</v>
      </c>
      <c r="V192" s="23">
        <f>ROUND(Table134[[#This Row],['#punten]]/(Table134[[#This Row],['#minuten]]/90),2)</f>
        <v>44.23</v>
      </c>
      <c r="W192" s="23">
        <f>ROUND(Table134[[#This Row],[Prijs]]/Table134[[#This Row],['#punten]],0)</f>
        <v>1751</v>
      </c>
      <c r="X192" s="27">
        <f>ROUND((Table134[[#This Row],[Goals]]+Table134[[#This Row],[Asissts]])/(Table134[[#This Row],['#minuten]]/90),2)</f>
        <v>0.19</v>
      </c>
      <c r="Y192" s="38"/>
    </row>
    <row r="193" spans="1:25" x14ac:dyDescent="0.2">
      <c r="A193" s="6" t="s">
        <v>599</v>
      </c>
      <c r="B193" s="51" t="s">
        <v>44</v>
      </c>
      <c r="C193" s="52">
        <v>1000000</v>
      </c>
      <c r="D193" s="53" t="s">
        <v>203</v>
      </c>
      <c r="E193" s="53">
        <v>30</v>
      </c>
      <c r="F193" s="53" t="s">
        <v>141</v>
      </c>
      <c r="G193" s="92">
        <v>384</v>
      </c>
      <c r="H193" s="85">
        <v>114</v>
      </c>
      <c r="I193" s="45">
        <f>ROUND(Table134[[#This Row],[laatste 5 wed.]]/Table134[[#This Row],['#punten]]*100,1)</f>
        <v>29.7</v>
      </c>
      <c r="J193" s="53">
        <v>16</v>
      </c>
      <c r="K193" s="53">
        <v>13</v>
      </c>
      <c r="L193" s="53">
        <v>1078</v>
      </c>
      <c r="M193" s="53">
        <v>270</v>
      </c>
      <c r="N193" s="23">
        <f>ROUND(Table134[[#This Row],[Min laatste 5]]/Table134[[#This Row],['#minuten]]*100,1)</f>
        <v>25</v>
      </c>
      <c r="O193" s="53">
        <v>1</v>
      </c>
      <c r="P193" s="53">
        <v>0</v>
      </c>
      <c r="Q193" s="85">
        <v>1</v>
      </c>
      <c r="R193" s="53">
        <v>0</v>
      </c>
      <c r="S193" s="53">
        <v>2</v>
      </c>
      <c r="T193" s="94">
        <f>ROUND(Table134[[#This Row],['#punten]]/Table134[[#This Row],['#Wed]],2)</f>
        <v>24</v>
      </c>
      <c r="U193" s="92">
        <f>ROUND(Table134[[#This Row],['#punten]]/Table134[[#This Row],['#minuten]],2)</f>
        <v>0.36</v>
      </c>
      <c r="V193" s="53">
        <f>ROUND(Table134[[#This Row],['#punten]]/(Table134[[#This Row],['#minuten]]/90),2)</f>
        <v>32.06</v>
      </c>
      <c r="W193" s="53">
        <f>ROUND(Table134[[#This Row],[Prijs]]/Table134[[#This Row],['#punten]],0)</f>
        <v>2604</v>
      </c>
      <c r="X193" s="57">
        <f>ROUND((Table134[[#This Row],[Goals]]+Table134[[#This Row],[Asissts]])/(Table134[[#This Row],['#minuten]]/90),2)</f>
        <v>0.08</v>
      </c>
      <c r="Y193" s="38"/>
    </row>
    <row r="194" spans="1:25" x14ac:dyDescent="0.2">
      <c r="A194" s="6" t="s">
        <v>204</v>
      </c>
      <c r="B194" s="51" t="s">
        <v>45</v>
      </c>
      <c r="C194" s="52">
        <v>4500000</v>
      </c>
      <c r="D194" s="53" t="s">
        <v>203</v>
      </c>
      <c r="E194" s="53">
        <v>23</v>
      </c>
      <c r="F194" s="53" t="s">
        <v>141</v>
      </c>
      <c r="G194" s="92">
        <v>1734</v>
      </c>
      <c r="H194" s="85">
        <v>558</v>
      </c>
      <c r="I194" s="45">
        <f>ROUND(Table134[[#This Row],[laatste 5 wed.]]/Table134[[#This Row],['#punten]]*100,1)</f>
        <v>32.200000000000003</v>
      </c>
      <c r="J194" s="53">
        <v>19</v>
      </c>
      <c r="K194" s="53">
        <v>19</v>
      </c>
      <c r="L194" s="53">
        <v>1699</v>
      </c>
      <c r="M194" s="53">
        <v>440</v>
      </c>
      <c r="N194" s="23">
        <f>ROUND(Table134[[#This Row],[Min laatste 5]]/Table134[[#This Row],['#minuten]]*100,1)</f>
        <v>25.9</v>
      </c>
      <c r="O194" s="53">
        <v>5</v>
      </c>
      <c r="P194" s="53">
        <v>2</v>
      </c>
      <c r="Q194" s="85">
        <v>0</v>
      </c>
      <c r="R194" s="53">
        <v>0</v>
      </c>
      <c r="S194" s="53">
        <v>7</v>
      </c>
      <c r="T194" s="94">
        <f>ROUND(Table134[[#This Row],['#punten]]/Table134[[#This Row],['#Wed]],2)</f>
        <v>91.26</v>
      </c>
      <c r="U194" s="54">
        <f>ROUND(Table134[[#This Row],['#punten]]/Table134[[#This Row],['#minuten]],2)</f>
        <v>1.02</v>
      </c>
      <c r="V194" s="53">
        <f>ROUND(Table134[[#This Row],['#punten]]/(Table134[[#This Row],['#minuten]]/90),2)</f>
        <v>91.85</v>
      </c>
      <c r="W194" s="53">
        <f>ROUND(Table134[[#This Row],[Prijs]]/Table134[[#This Row],['#punten]],0)</f>
        <v>2595</v>
      </c>
      <c r="X194" s="57">
        <f>ROUND((Table134[[#This Row],[Goals]]+Table134[[#This Row],[Asissts]])/(Table134[[#This Row],['#minuten]]/90),2)</f>
        <v>0.37</v>
      </c>
    </row>
    <row r="195" spans="1:25" x14ac:dyDescent="0.2">
      <c r="A195" s="6" t="s">
        <v>21</v>
      </c>
      <c r="B195" s="51" t="s">
        <v>45</v>
      </c>
      <c r="C195" s="52">
        <v>3500000</v>
      </c>
      <c r="D195" s="53" t="s">
        <v>203</v>
      </c>
      <c r="E195" s="53">
        <v>26</v>
      </c>
      <c r="F195" s="53" t="s">
        <v>205</v>
      </c>
      <c r="G195" s="92">
        <v>1230</v>
      </c>
      <c r="H195" s="85">
        <v>366</v>
      </c>
      <c r="I195" s="45">
        <f>ROUND(Table134[[#This Row],[laatste 5 wed.]]/Table134[[#This Row],['#punten]]*100,1)</f>
        <v>29.8</v>
      </c>
      <c r="J195" s="53">
        <v>19</v>
      </c>
      <c r="K195" s="53">
        <v>19</v>
      </c>
      <c r="L195" s="53">
        <v>1710</v>
      </c>
      <c r="M195" s="53">
        <v>450</v>
      </c>
      <c r="N195" s="23">
        <f>ROUND(Table134[[#This Row],[Min laatste 5]]/Table134[[#This Row],['#minuten]]*100,1)</f>
        <v>26.3</v>
      </c>
      <c r="O195" s="53">
        <v>0</v>
      </c>
      <c r="P195" s="53">
        <v>2</v>
      </c>
      <c r="Q195" s="85">
        <v>1</v>
      </c>
      <c r="R195" s="53">
        <v>0</v>
      </c>
      <c r="S195" s="53">
        <v>7</v>
      </c>
      <c r="T195" s="94">
        <f>ROUND(Table134[[#This Row],['#punten]]/Table134[[#This Row],['#Wed]],2)</f>
        <v>64.739999999999995</v>
      </c>
      <c r="U195" s="54">
        <f>ROUND(Table134[[#This Row],['#punten]]/Table134[[#This Row],['#minuten]],2)</f>
        <v>0.72</v>
      </c>
      <c r="V195" s="53">
        <f>ROUND(Table134[[#This Row],['#punten]]/(Table134[[#This Row],['#minuten]]/90),2)</f>
        <v>64.739999999999995</v>
      </c>
      <c r="W195" s="53">
        <f>ROUND(Table134[[#This Row],[Prijs]]/Table134[[#This Row],['#punten]],0)</f>
        <v>2846</v>
      </c>
      <c r="X195" s="57">
        <f>ROUND((Table134[[#This Row],[Goals]]+Table134[[#This Row],[Asissts]])/(Table134[[#This Row],['#minuten]]/90),2)</f>
        <v>0.11</v>
      </c>
      <c r="Y195" s="38"/>
    </row>
    <row r="196" spans="1:25" x14ac:dyDescent="0.2">
      <c r="A196" s="6" t="s">
        <v>202</v>
      </c>
      <c r="B196" s="51" t="s">
        <v>45</v>
      </c>
      <c r="C196" s="52">
        <v>4000000</v>
      </c>
      <c r="D196" s="53" t="s">
        <v>203</v>
      </c>
      <c r="E196" s="53">
        <v>22</v>
      </c>
      <c r="F196" s="53" t="s">
        <v>141</v>
      </c>
      <c r="G196" s="92">
        <v>1194</v>
      </c>
      <c r="H196" s="85">
        <v>258</v>
      </c>
      <c r="I196" s="45">
        <f>ROUND(Table134[[#This Row],[laatste 5 wed.]]/Table134[[#This Row],['#punten]]*100,1)</f>
        <v>21.6</v>
      </c>
      <c r="J196" s="53">
        <v>18</v>
      </c>
      <c r="K196" s="53">
        <v>18</v>
      </c>
      <c r="L196" s="53">
        <v>1442</v>
      </c>
      <c r="M196" s="53">
        <v>279</v>
      </c>
      <c r="N196" s="23">
        <f>ROUND(Table134[[#This Row],[Min laatste 5]]/Table134[[#This Row],['#minuten]]*100,1)</f>
        <v>19.3</v>
      </c>
      <c r="O196" s="53">
        <v>0</v>
      </c>
      <c r="P196" s="53">
        <v>4</v>
      </c>
      <c r="Q196" s="85">
        <v>2</v>
      </c>
      <c r="R196" s="53">
        <v>0</v>
      </c>
      <c r="S196" s="53">
        <v>7</v>
      </c>
      <c r="T196" s="94">
        <f>ROUND(Table134[[#This Row],['#punten]]/Table134[[#This Row],['#Wed]],2)</f>
        <v>66.33</v>
      </c>
      <c r="U196" s="54">
        <f>ROUND(Table134[[#This Row],['#punten]]/Table134[[#This Row],['#minuten]],2)</f>
        <v>0.83</v>
      </c>
      <c r="V196" s="53">
        <f>ROUND(Table134[[#This Row],['#punten]]/(Table134[[#This Row],['#minuten]]/90),2)</f>
        <v>74.52</v>
      </c>
      <c r="W196" s="53">
        <f>ROUND(Table134[[#This Row],[Prijs]]/Table134[[#This Row],['#punten]],0)</f>
        <v>3350</v>
      </c>
      <c r="X196" s="57">
        <f>ROUND((Table134[[#This Row],[Goals]]+Table134[[#This Row],[Asissts]])/(Table134[[#This Row],['#minuten]]/90),2)</f>
        <v>0.25</v>
      </c>
      <c r="Y196" s="38"/>
    </row>
    <row r="197" spans="1:25" x14ac:dyDescent="0.2">
      <c r="A197" s="6" t="s">
        <v>207</v>
      </c>
      <c r="B197" s="62" t="s">
        <v>45</v>
      </c>
      <c r="C197" s="63">
        <v>3000000</v>
      </c>
      <c r="D197" s="60" t="s">
        <v>203</v>
      </c>
      <c r="E197" s="60">
        <v>31</v>
      </c>
      <c r="F197" s="60" t="s">
        <v>182</v>
      </c>
      <c r="G197" s="91">
        <v>840</v>
      </c>
      <c r="H197" s="86">
        <v>342</v>
      </c>
      <c r="I197" s="45">
        <f>ROUND(Table134[[#This Row],[laatste 5 wed.]]/Table134[[#This Row],['#punten]]*100,1)</f>
        <v>40.700000000000003</v>
      </c>
      <c r="J197" s="60">
        <v>13</v>
      </c>
      <c r="K197" s="60">
        <v>12</v>
      </c>
      <c r="L197" s="60">
        <v>996</v>
      </c>
      <c r="M197" s="60">
        <v>382</v>
      </c>
      <c r="N197" s="23">
        <f>ROUND(Table134[[#This Row],[Min laatste 5]]/Table134[[#This Row],['#minuten]]*100,1)</f>
        <v>38.4</v>
      </c>
      <c r="O197" s="60">
        <v>0</v>
      </c>
      <c r="P197" s="60">
        <v>2</v>
      </c>
      <c r="Q197" s="86">
        <v>1</v>
      </c>
      <c r="R197" s="60">
        <v>0</v>
      </c>
      <c r="S197" s="60">
        <v>4</v>
      </c>
      <c r="T197" s="93">
        <f>ROUND(Table134[[#This Row],['#punten]]/Table134[[#This Row],['#Wed]],2)</f>
        <v>64.62</v>
      </c>
      <c r="U197" s="58">
        <f>ROUND(Table134[[#This Row],['#punten]]/Table134[[#This Row],['#minuten]],2)</f>
        <v>0.84</v>
      </c>
      <c r="V197" s="60">
        <f>ROUND(Table134[[#This Row],['#punten]]/(Table134[[#This Row],['#minuten]]/90),2)</f>
        <v>75.900000000000006</v>
      </c>
      <c r="W197" s="60">
        <f>ROUND(Table134[[#This Row],[Prijs]]/Table134[[#This Row],['#punten]],0)</f>
        <v>3571</v>
      </c>
      <c r="X197" s="61">
        <f>ROUND((Table134[[#This Row],[Goals]]+Table134[[#This Row],[Asissts]])/(Table134[[#This Row],['#minuten]]/90),2)</f>
        <v>0.18</v>
      </c>
      <c r="Y197" s="38"/>
    </row>
    <row r="198" spans="1:25" x14ac:dyDescent="0.2">
      <c r="A198" s="6" t="s">
        <v>206</v>
      </c>
      <c r="B198" s="51" t="s">
        <v>45</v>
      </c>
      <c r="C198" s="52">
        <v>3500000</v>
      </c>
      <c r="D198" s="53" t="s">
        <v>203</v>
      </c>
      <c r="E198" s="53">
        <v>27</v>
      </c>
      <c r="F198" s="53" t="s">
        <v>141</v>
      </c>
      <c r="G198" s="92">
        <v>414</v>
      </c>
      <c r="H198" s="85">
        <v>90</v>
      </c>
      <c r="I198" s="45">
        <f>ROUND(Table134[[#This Row],[laatste 5 wed.]]/Table134[[#This Row],['#punten]]*100,1)</f>
        <v>21.7</v>
      </c>
      <c r="J198" s="53">
        <v>10</v>
      </c>
      <c r="K198" s="53">
        <v>7</v>
      </c>
      <c r="L198" s="53">
        <v>548</v>
      </c>
      <c r="M198" s="53">
        <v>73</v>
      </c>
      <c r="N198" s="23">
        <f>ROUND(Table134[[#This Row],[Min laatste 5]]/Table134[[#This Row],['#minuten]]*100,1)</f>
        <v>13.3</v>
      </c>
      <c r="O198" s="53">
        <v>1</v>
      </c>
      <c r="P198" s="53">
        <v>0</v>
      </c>
      <c r="Q198" s="85">
        <v>1</v>
      </c>
      <c r="R198" s="53">
        <v>1</v>
      </c>
      <c r="S198" s="53">
        <v>3</v>
      </c>
      <c r="T198" s="94">
        <f>ROUND(Table134[[#This Row],['#punten]]/Table134[[#This Row],['#Wed]],2)</f>
        <v>41.4</v>
      </c>
      <c r="U198" s="92">
        <f>ROUND(Table134[[#This Row],['#punten]]/Table134[[#This Row],['#minuten]],2)</f>
        <v>0.76</v>
      </c>
      <c r="V198" s="53">
        <f>ROUND(Table134[[#This Row],['#punten]]/(Table134[[#This Row],['#minuten]]/90),2)</f>
        <v>67.989999999999995</v>
      </c>
      <c r="W198" s="53">
        <f>ROUND(Table134[[#This Row],[Prijs]]/Table134[[#This Row],['#punten]],0)</f>
        <v>8454</v>
      </c>
      <c r="X198" s="57">
        <f>ROUND((Table134[[#This Row],[Goals]]+Table134[[#This Row],[Asissts]])/(Table134[[#This Row],['#minuten]]/90),2)</f>
        <v>0.16</v>
      </c>
      <c r="Y198" s="38"/>
    </row>
    <row r="199" spans="1:25" x14ac:dyDescent="0.2">
      <c r="A199" s="6" t="s">
        <v>209</v>
      </c>
      <c r="B199" s="21" t="s">
        <v>46</v>
      </c>
      <c r="C199" s="22">
        <v>2000000</v>
      </c>
      <c r="D199" s="23" t="s">
        <v>203</v>
      </c>
      <c r="E199" s="23">
        <v>33</v>
      </c>
      <c r="F199" s="23" t="s">
        <v>143</v>
      </c>
      <c r="G199" s="44">
        <v>942</v>
      </c>
      <c r="H199" s="45">
        <v>270</v>
      </c>
      <c r="I199" s="45">
        <f>ROUND(Table134[[#This Row],[laatste 5 wed.]]/Table134[[#This Row],['#punten]]*100,1)</f>
        <v>28.7</v>
      </c>
      <c r="J199" s="23">
        <v>19</v>
      </c>
      <c r="K199" s="23">
        <v>19</v>
      </c>
      <c r="L199" s="23">
        <v>1682</v>
      </c>
      <c r="M199" s="23">
        <v>442</v>
      </c>
      <c r="N199" s="23">
        <f>ROUND(Table134[[#This Row],[Min laatste 5]]/Table134[[#This Row],['#minuten]]*100,1)</f>
        <v>26.3</v>
      </c>
      <c r="O199" s="23">
        <v>0</v>
      </c>
      <c r="P199" s="23">
        <v>3</v>
      </c>
      <c r="Q199" s="45">
        <v>2</v>
      </c>
      <c r="R199" s="23">
        <v>0</v>
      </c>
      <c r="S199" s="23">
        <v>6</v>
      </c>
      <c r="T199" s="46">
        <f>ROUND(Table134[[#This Row],['#punten]]/Table134[[#This Row],['#Wed]],2)</f>
        <v>49.58</v>
      </c>
      <c r="U199" s="24">
        <f>ROUND(Table134[[#This Row],['#punten]]/Table134[[#This Row],['#minuten]],2)</f>
        <v>0.56000000000000005</v>
      </c>
      <c r="V199" s="23">
        <f>ROUND(Table134[[#This Row],['#punten]]/(Table134[[#This Row],['#minuten]]/90),2)</f>
        <v>50.4</v>
      </c>
      <c r="W199" s="23">
        <f>ROUND(Table134[[#This Row],[Prijs]]/Table134[[#This Row],['#punten]],0)</f>
        <v>2123</v>
      </c>
      <c r="X199" s="27">
        <f>ROUND((Table134[[#This Row],[Goals]]+Table134[[#This Row],[Asissts]])/(Table134[[#This Row],['#minuten]]/90),2)</f>
        <v>0.16</v>
      </c>
      <c r="Y199" s="38"/>
    </row>
    <row r="200" spans="1:25" x14ac:dyDescent="0.2">
      <c r="A200" s="6" t="s">
        <v>127</v>
      </c>
      <c r="B200" s="62" t="s">
        <v>46</v>
      </c>
      <c r="C200" s="63">
        <v>1500000</v>
      </c>
      <c r="D200" s="60" t="s">
        <v>203</v>
      </c>
      <c r="E200" s="60">
        <v>23</v>
      </c>
      <c r="F200" s="60" t="s">
        <v>196</v>
      </c>
      <c r="G200" s="91">
        <v>744</v>
      </c>
      <c r="H200" s="86">
        <v>270</v>
      </c>
      <c r="I200" s="45">
        <f>ROUND(Table134[[#This Row],[laatste 5 wed.]]/Table134[[#This Row],['#punten]]*100,1)</f>
        <v>36.299999999999997</v>
      </c>
      <c r="J200" s="60">
        <v>18</v>
      </c>
      <c r="K200" s="60">
        <v>18</v>
      </c>
      <c r="L200" s="60">
        <v>1611</v>
      </c>
      <c r="M200" s="60">
        <v>450</v>
      </c>
      <c r="N200" s="23">
        <f>ROUND(Table134[[#This Row],[Min laatste 5]]/Table134[[#This Row],['#minuten]]*100,1)</f>
        <v>27.9</v>
      </c>
      <c r="O200" s="60">
        <v>1</v>
      </c>
      <c r="P200" s="60">
        <v>0</v>
      </c>
      <c r="Q200" s="86">
        <v>6</v>
      </c>
      <c r="R200" s="60">
        <v>0</v>
      </c>
      <c r="S200" s="60">
        <v>6</v>
      </c>
      <c r="T200" s="93">
        <f>ROUND(Table134[[#This Row],['#punten]]/Table134[[#This Row],['#Wed]],2)</f>
        <v>41.33</v>
      </c>
      <c r="U200" s="58">
        <f>ROUND(Table134[[#This Row],['#punten]]/Table134[[#This Row],['#minuten]],2)</f>
        <v>0.46</v>
      </c>
      <c r="V200" s="60">
        <f>ROUND(Table134[[#This Row],['#punten]]/(Table134[[#This Row],['#minuten]]/90),2)</f>
        <v>41.56</v>
      </c>
      <c r="W200" s="60">
        <f>ROUND(Table134[[#This Row],[Prijs]]/Table134[[#This Row],['#punten]],0)</f>
        <v>2016</v>
      </c>
      <c r="X200" s="61">
        <f>ROUND((Table134[[#This Row],[Goals]]+Table134[[#This Row],[Asissts]])/(Table134[[#This Row],['#minuten]]/90),2)</f>
        <v>0.06</v>
      </c>
    </row>
    <row r="201" spans="1:25" x14ac:dyDescent="0.2">
      <c r="A201" s="6" t="s">
        <v>211</v>
      </c>
      <c r="B201" s="51" t="s">
        <v>46</v>
      </c>
      <c r="C201" s="52">
        <v>1500000</v>
      </c>
      <c r="D201" s="53" t="s">
        <v>203</v>
      </c>
      <c r="E201" s="53">
        <v>35</v>
      </c>
      <c r="F201" s="53" t="s">
        <v>169</v>
      </c>
      <c r="G201" s="92">
        <v>574</v>
      </c>
      <c r="H201" s="85">
        <v>180</v>
      </c>
      <c r="I201" s="45">
        <f>ROUND(Table134[[#This Row],[laatste 5 wed.]]/Table134[[#This Row],['#punten]]*100,1)</f>
        <v>31.4</v>
      </c>
      <c r="J201" s="53">
        <v>16</v>
      </c>
      <c r="K201" s="53">
        <v>16</v>
      </c>
      <c r="L201" s="53">
        <v>1416</v>
      </c>
      <c r="M201" s="53">
        <v>257</v>
      </c>
      <c r="N201" s="23">
        <f>ROUND(Table134[[#This Row],[Min laatste 5]]/Table134[[#This Row],['#minuten]]*100,1)</f>
        <v>18.100000000000001</v>
      </c>
      <c r="O201" s="53">
        <v>0</v>
      </c>
      <c r="P201" s="53">
        <v>0</v>
      </c>
      <c r="Q201" s="85">
        <v>4</v>
      </c>
      <c r="R201" s="53">
        <v>0</v>
      </c>
      <c r="S201" s="53">
        <v>5</v>
      </c>
      <c r="T201" s="94">
        <f>ROUND(Table134[[#This Row],['#punten]]/Table134[[#This Row],['#Wed]],2)</f>
        <v>35.880000000000003</v>
      </c>
      <c r="U201" s="54">
        <f>ROUND(Table134[[#This Row],['#punten]]/Table134[[#This Row],['#minuten]],2)</f>
        <v>0.41</v>
      </c>
      <c r="V201" s="53">
        <f>ROUND(Table134[[#This Row],['#punten]]/(Table134[[#This Row],['#minuten]]/90),2)</f>
        <v>36.479999999999997</v>
      </c>
      <c r="W201" s="53">
        <f>ROUND(Table134[[#This Row],[Prijs]]/Table134[[#This Row],['#punten]],0)</f>
        <v>2613</v>
      </c>
      <c r="X201" s="57">
        <f>ROUND((Table134[[#This Row],[Goals]]+Table134[[#This Row],[Asissts]])/(Table134[[#This Row],['#minuten]]/90),2)</f>
        <v>0</v>
      </c>
    </row>
    <row r="202" spans="1:25" x14ac:dyDescent="0.2">
      <c r="A202" s="6" t="s">
        <v>363</v>
      </c>
      <c r="B202" s="28" t="s">
        <v>46</v>
      </c>
      <c r="C202" s="29">
        <v>1500000</v>
      </c>
      <c r="D202" s="30" t="s">
        <v>203</v>
      </c>
      <c r="E202" s="30">
        <v>30</v>
      </c>
      <c r="F202" s="30" t="s">
        <v>141</v>
      </c>
      <c r="G202" s="47">
        <v>552</v>
      </c>
      <c r="H202" s="48">
        <v>306</v>
      </c>
      <c r="I202" s="45">
        <f>ROUND(Table134[[#This Row],[laatste 5 wed.]]/Table134[[#This Row],['#punten]]*100,1)</f>
        <v>55.4</v>
      </c>
      <c r="J202" s="30">
        <v>16</v>
      </c>
      <c r="K202" s="30">
        <v>13</v>
      </c>
      <c r="L202" s="30">
        <v>1062</v>
      </c>
      <c r="M202" s="30">
        <v>259</v>
      </c>
      <c r="N202" s="23">
        <f>ROUND(Table134[[#This Row],[Min laatste 5]]/Table134[[#This Row],['#minuten]]*100,1)</f>
        <v>24.4</v>
      </c>
      <c r="O202" s="30">
        <v>0</v>
      </c>
      <c r="P202" s="30">
        <v>1</v>
      </c>
      <c r="Q202" s="48">
        <v>4</v>
      </c>
      <c r="R202" s="30">
        <v>0</v>
      </c>
      <c r="S202" s="30">
        <v>4</v>
      </c>
      <c r="T202" s="49">
        <f>ROUND(Table134[[#This Row],['#punten]]/Table134[[#This Row],['#Wed]],2)</f>
        <v>34.5</v>
      </c>
      <c r="U202" s="31">
        <f>ROUND(Table134[[#This Row],['#punten]]/Table134[[#This Row],['#minuten]],2)</f>
        <v>0.52</v>
      </c>
      <c r="V202" s="30">
        <f>ROUND(Table134[[#This Row],['#punten]]/(Table134[[#This Row],['#minuten]]/90),2)</f>
        <v>46.78</v>
      </c>
      <c r="W202" s="30">
        <f>ROUND(Table134[[#This Row],[Prijs]]/Table134[[#This Row],['#punten]],0)</f>
        <v>2717</v>
      </c>
      <c r="X202" s="34">
        <f>ROUND((Table134[[#This Row],[Goals]]+Table134[[#This Row],[Asissts]])/(Table134[[#This Row],['#minuten]]/90),2)</f>
        <v>0.08</v>
      </c>
      <c r="Y202" s="38"/>
    </row>
    <row r="203" spans="1:25" x14ac:dyDescent="0.2">
      <c r="A203" s="6" t="s">
        <v>505</v>
      </c>
      <c r="B203" s="28" t="s">
        <v>46</v>
      </c>
      <c r="C203" s="29">
        <v>500000</v>
      </c>
      <c r="D203" s="30" t="s">
        <v>203</v>
      </c>
      <c r="E203" s="30">
        <v>20</v>
      </c>
      <c r="F203" s="30" t="s">
        <v>516</v>
      </c>
      <c r="G203" s="47">
        <v>144</v>
      </c>
      <c r="H203" s="48">
        <v>90</v>
      </c>
      <c r="I203" s="45">
        <f>ROUND(Table134[[#This Row],[laatste 5 wed.]]/Table134[[#This Row],['#punten]]*100,1)</f>
        <v>62.5</v>
      </c>
      <c r="J203" s="30">
        <v>6</v>
      </c>
      <c r="K203" s="30">
        <v>3</v>
      </c>
      <c r="L203" s="30">
        <v>277</v>
      </c>
      <c r="M203" s="30">
        <v>173</v>
      </c>
      <c r="N203" s="23">
        <f>ROUND(Table134[[#This Row],[Min laatste 5]]/Table134[[#This Row],['#minuten]]*100,1)</f>
        <v>62.5</v>
      </c>
      <c r="O203" s="30">
        <v>0</v>
      </c>
      <c r="P203" s="30">
        <v>0</v>
      </c>
      <c r="Q203" s="48">
        <v>0</v>
      </c>
      <c r="R203" s="30">
        <v>0</v>
      </c>
      <c r="S203" s="30">
        <v>1</v>
      </c>
      <c r="T203" s="49">
        <f>ROUND(Table134[[#This Row],['#punten]]/Table134[[#This Row],['#Wed]],2)</f>
        <v>24</v>
      </c>
      <c r="U203" s="31">
        <f>ROUND(Table134[[#This Row],['#punten]]/Table134[[#This Row],['#minuten]],2)</f>
        <v>0.52</v>
      </c>
      <c r="V203" s="30">
        <f>ROUND(Table134[[#This Row],['#punten]]/(Table134[[#This Row],['#minuten]]/90),2)</f>
        <v>46.79</v>
      </c>
      <c r="W203" s="30">
        <f>ROUND(Table134[[#This Row],[Prijs]]/Table134[[#This Row],['#punten]],0)</f>
        <v>3472</v>
      </c>
      <c r="X203" s="34">
        <f>ROUND((Table134[[#This Row],[Goals]]+Table134[[#This Row],[Asissts]])/(Table134[[#This Row],['#minuten]]/90),2)</f>
        <v>0</v>
      </c>
    </row>
    <row r="204" spans="1:25" x14ac:dyDescent="0.2">
      <c r="A204" s="6" t="s">
        <v>604</v>
      </c>
      <c r="B204" s="21" t="s">
        <v>46</v>
      </c>
      <c r="C204" s="22">
        <v>500000</v>
      </c>
      <c r="D204" s="23" t="s">
        <v>203</v>
      </c>
      <c r="E204" s="23">
        <v>23</v>
      </c>
      <c r="F204" s="23" t="s">
        <v>167</v>
      </c>
      <c r="G204" s="44">
        <v>120</v>
      </c>
      <c r="H204" s="45">
        <v>66</v>
      </c>
      <c r="I204" s="45">
        <f>ROUND(Table134[[#This Row],[laatste 5 wed.]]/Table134[[#This Row],['#punten]]*100,1)</f>
        <v>55</v>
      </c>
      <c r="J204" s="23">
        <v>7</v>
      </c>
      <c r="K204" s="23">
        <v>2</v>
      </c>
      <c r="L204" s="23">
        <v>280</v>
      </c>
      <c r="M204" s="23">
        <v>191</v>
      </c>
      <c r="N204" s="23">
        <f>ROUND(Table134[[#This Row],[Min laatste 5]]/Table134[[#This Row],['#minuten]]*100,1)</f>
        <v>68.2</v>
      </c>
      <c r="O204" s="23">
        <v>0</v>
      </c>
      <c r="P204" s="23">
        <v>0</v>
      </c>
      <c r="Q204" s="45">
        <v>1</v>
      </c>
      <c r="R204" s="23">
        <v>0</v>
      </c>
      <c r="S204" s="23">
        <v>1</v>
      </c>
      <c r="T204" s="46">
        <f>ROUND(Table134[[#This Row],['#punten]]/Table134[[#This Row],['#Wed]],2)</f>
        <v>17.14</v>
      </c>
      <c r="U204" s="44">
        <f>ROUND(Table134[[#This Row],['#punten]]/Table134[[#This Row],['#minuten]],2)</f>
        <v>0.43</v>
      </c>
      <c r="V204" s="23">
        <f>ROUND(Table134[[#This Row],['#punten]]/(Table134[[#This Row],['#minuten]]/90),2)</f>
        <v>38.57</v>
      </c>
      <c r="W204" s="23">
        <f>ROUND(Table134[[#This Row],[Prijs]]/Table134[[#This Row],['#punten]],0)</f>
        <v>4167</v>
      </c>
      <c r="X204" s="27">
        <f>ROUND((Table134[[#This Row],[Goals]]+Table134[[#This Row],[Asissts]])/(Table134[[#This Row],['#minuten]]/90),2)</f>
        <v>0</v>
      </c>
      <c r="Y204" s="38"/>
    </row>
    <row r="205" spans="1:25" x14ac:dyDescent="0.2">
      <c r="A205" s="6" t="s">
        <v>221</v>
      </c>
      <c r="B205" s="51" t="s">
        <v>39</v>
      </c>
      <c r="C205" s="52">
        <v>2500000</v>
      </c>
      <c r="D205" s="53" t="s">
        <v>203</v>
      </c>
      <c r="E205" s="53">
        <v>29</v>
      </c>
      <c r="F205" s="53" t="s">
        <v>141</v>
      </c>
      <c r="G205" s="92">
        <v>1326</v>
      </c>
      <c r="H205" s="85">
        <v>282</v>
      </c>
      <c r="I205" s="45">
        <f>ROUND(Table134[[#This Row],[laatste 5 wed.]]/Table134[[#This Row],['#punten]]*100,1)</f>
        <v>21.3</v>
      </c>
      <c r="J205" s="53">
        <v>19</v>
      </c>
      <c r="K205" s="53">
        <v>19</v>
      </c>
      <c r="L205" s="53">
        <v>1710</v>
      </c>
      <c r="M205" s="53">
        <v>450</v>
      </c>
      <c r="N205" s="23">
        <f>ROUND(Table134[[#This Row],[Min laatste 5]]/Table134[[#This Row],['#minuten]]*100,1)</f>
        <v>26.3</v>
      </c>
      <c r="O205" s="53">
        <v>4</v>
      </c>
      <c r="P205" s="53">
        <v>3</v>
      </c>
      <c r="Q205" s="85">
        <v>5</v>
      </c>
      <c r="R205" s="53">
        <v>0</v>
      </c>
      <c r="S205" s="53">
        <v>6</v>
      </c>
      <c r="T205" s="94">
        <f>ROUND(Table134[[#This Row],['#punten]]/Table134[[#This Row],['#Wed]],2)</f>
        <v>69.790000000000006</v>
      </c>
      <c r="U205" s="54">
        <f>ROUND(Table134[[#This Row],['#punten]]/Table134[[#This Row],['#minuten]],2)</f>
        <v>0.78</v>
      </c>
      <c r="V205" s="53">
        <f>ROUND(Table134[[#This Row],['#punten]]/(Table134[[#This Row],['#minuten]]/90),2)</f>
        <v>69.790000000000006</v>
      </c>
      <c r="W205" s="53">
        <f>ROUND(Table134[[#This Row],[Prijs]]/Table134[[#This Row],['#punten]],0)</f>
        <v>1885</v>
      </c>
      <c r="X205" s="57">
        <f>ROUND((Table134[[#This Row],[Goals]]+Table134[[#This Row],[Asissts]])/(Table134[[#This Row],['#minuten]]/90),2)</f>
        <v>0.37</v>
      </c>
    </row>
    <row r="206" spans="1:25" x14ac:dyDescent="0.2">
      <c r="A206" s="6" t="s">
        <v>220</v>
      </c>
      <c r="B206" s="62" t="s">
        <v>39</v>
      </c>
      <c r="C206" s="63">
        <v>1750000</v>
      </c>
      <c r="D206" s="60" t="s">
        <v>203</v>
      </c>
      <c r="E206" s="60">
        <v>26</v>
      </c>
      <c r="F206" s="60" t="s">
        <v>141</v>
      </c>
      <c r="G206" s="91">
        <v>966</v>
      </c>
      <c r="H206" s="86">
        <v>186</v>
      </c>
      <c r="I206" s="45">
        <f>ROUND(Table134[[#This Row],[laatste 5 wed.]]/Table134[[#This Row],['#punten]]*100,1)</f>
        <v>19.3</v>
      </c>
      <c r="J206" s="60">
        <v>19</v>
      </c>
      <c r="K206" s="60">
        <v>19</v>
      </c>
      <c r="L206" s="60">
        <v>1710</v>
      </c>
      <c r="M206" s="60">
        <v>450</v>
      </c>
      <c r="N206" s="23">
        <f>ROUND(Table134[[#This Row],[Min laatste 5]]/Table134[[#This Row],['#minuten]]*100,1)</f>
        <v>26.3</v>
      </c>
      <c r="O206" s="60">
        <v>0</v>
      </c>
      <c r="P206" s="60">
        <v>2</v>
      </c>
      <c r="Q206" s="86">
        <v>2</v>
      </c>
      <c r="R206" s="60">
        <v>0</v>
      </c>
      <c r="S206" s="60">
        <v>6</v>
      </c>
      <c r="T206" s="93">
        <f>ROUND(Table134[[#This Row],['#punten]]/Table134[[#This Row],['#Wed]],2)</f>
        <v>50.84</v>
      </c>
      <c r="U206" s="58">
        <f>ROUND(Table134[[#This Row],['#punten]]/Table134[[#This Row],['#minuten]],2)</f>
        <v>0.56000000000000005</v>
      </c>
      <c r="V206" s="60">
        <f>ROUND(Table134[[#This Row],['#punten]]/(Table134[[#This Row],['#minuten]]/90),2)</f>
        <v>50.84</v>
      </c>
      <c r="W206" s="60">
        <f>ROUND(Table134[[#This Row],[Prijs]]/Table134[[#This Row],['#punten]],0)</f>
        <v>1812</v>
      </c>
      <c r="X206" s="61">
        <f>ROUND((Table134[[#This Row],[Goals]]+Table134[[#This Row],[Asissts]])/(Table134[[#This Row],['#minuten]]/90),2)</f>
        <v>0.11</v>
      </c>
    </row>
    <row r="207" spans="1:25" x14ac:dyDescent="0.2">
      <c r="A207" s="6" t="s">
        <v>517</v>
      </c>
      <c r="B207" s="62" t="s">
        <v>39</v>
      </c>
      <c r="C207" s="63">
        <v>1250000</v>
      </c>
      <c r="D207" s="60" t="s">
        <v>203</v>
      </c>
      <c r="E207" s="60">
        <v>27</v>
      </c>
      <c r="F207" s="60" t="s">
        <v>141</v>
      </c>
      <c r="G207" s="91">
        <v>936</v>
      </c>
      <c r="H207" s="86">
        <v>258</v>
      </c>
      <c r="I207" s="45">
        <f>ROUND(Table134[[#This Row],[laatste 5 wed.]]/Table134[[#This Row],['#punten]]*100,1)</f>
        <v>27.6</v>
      </c>
      <c r="J207" s="60">
        <v>16</v>
      </c>
      <c r="K207" s="60">
        <v>15</v>
      </c>
      <c r="L207" s="60">
        <v>1349</v>
      </c>
      <c r="M207" s="60">
        <v>405</v>
      </c>
      <c r="N207" s="23">
        <f>ROUND(Table134[[#This Row],[Min laatste 5]]/Table134[[#This Row],['#minuten]]*100,1)</f>
        <v>30</v>
      </c>
      <c r="O207" s="60">
        <v>2</v>
      </c>
      <c r="P207" s="60">
        <v>0</v>
      </c>
      <c r="Q207" s="86">
        <v>2</v>
      </c>
      <c r="R207" s="60">
        <v>0</v>
      </c>
      <c r="S207" s="60">
        <v>5</v>
      </c>
      <c r="T207" s="93">
        <f>ROUND(Table134[[#This Row],['#punten]]/Table134[[#This Row],['#Wed]],2)</f>
        <v>58.5</v>
      </c>
      <c r="U207" s="58">
        <f>ROUND(Table134[[#This Row],['#punten]]/Table134[[#This Row],['#minuten]],2)</f>
        <v>0.69</v>
      </c>
      <c r="V207" s="60">
        <f>ROUND(Table134[[#This Row],['#punten]]/(Table134[[#This Row],['#minuten]]/90),2)</f>
        <v>62.45</v>
      </c>
      <c r="W207" s="60">
        <f>ROUND(Table134[[#This Row],[Prijs]]/Table134[[#This Row],['#punten]],0)</f>
        <v>1335</v>
      </c>
      <c r="X207" s="61">
        <f>ROUND((Table134[[#This Row],[Goals]]+Table134[[#This Row],[Asissts]])/(Table134[[#This Row],['#minuten]]/90),2)</f>
        <v>0.13</v>
      </c>
      <c r="Y207" s="38"/>
    </row>
    <row r="208" spans="1:25" x14ac:dyDescent="0.2">
      <c r="A208" s="6" t="s">
        <v>222</v>
      </c>
      <c r="B208" s="51" t="s">
        <v>39</v>
      </c>
      <c r="C208" s="52">
        <v>1250000</v>
      </c>
      <c r="D208" s="53" t="s">
        <v>203</v>
      </c>
      <c r="E208" s="53">
        <v>25</v>
      </c>
      <c r="F208" s="53" t="s">
        <v>141</v>
      </c>
      <c r="G208" s="92">
        <v>660</v>
      </c>
      <c r="H208" s="85">
        <v>240</v>
      </c>
      <c r="I208" s="45">
        <f>ROUND(Table134[[#This Row],[laatste 5 wed.]]/Table134[[#This Row],['#punten]]*100,1)</f>
        <v>36.4</v>
      </c>
      <c r="J208" s="53">
        <v>17</v>
      </c>
      <c r="K208" s="53">
        <v>16</v>
      </c>
      <c r="L208" s="53">
        <v>1296</v>
      </c>
      <c r="M208" s="53">
        <v>349</v>
      </c>
      <c r="N208" s="23">
        <f>ROUND(Table134[[#This Row],[Min laatste 5]]/Table134[[#This Row],['#minuten]]*100,1)</f>
        <v>26.9</v>
      </c>
      <c r="O208" s="53">
        <v>1</v>
      </c>
      <c r="P208" s="53">
        <v>0</v>
      </c>
      <c r="Q208" s="85">
        <v>4</v>
      </c>
      <c r="R208" s="53">
        <v>1</v>
      </c>
      <c r="S208" s="53">
        <v>4</v>
      </c>
      <c r="T208" s="94">
        <f>ROUND(Table134[[#This Row],['#punten]]/Table134[[#This Row],['#Wed]],2)</f>
        <v>38.82</v>
      </c>
      <c r="U208" s="54">
        <f>ROUND(Table134[[#This Row],['#punten]]/Table134[[#This Row],['#minuten]],2)</f>
        <v>0.51</v>
      </c>
      <c r="V208" s="53">
        <f>ROUND(Table134[[#This Row],['#punten]]/(Table134[[#This Row],['#minuten]]/90),2)</f>
        <v>45.83</v>
      </c>
      <c r="W208" s="53">
        <f>ROUND(Table134[[#This Row],[Prijs]]/Table134[[#This Row],['#punten]],0)</f>
        <v>1894</v>
      </c>
      <c r="X208" s="57">
        <f>ROUND((Table134[[#This Row],[Goals]]+Table134[[#This Row],[Asissts]])/(Table134[[#This Row],['#minuten]]/90),2)</f>
        <v>7.0000000000000007E-2</v>
      </c>
      <c r="Y208" s="38"/>
    </row>
    <row r="209" spans="1:26" x14ac:dyDescent="0.2">
      <c r="A209" s="6" t="s">
        <v>225</v>
      </c>
      <c r="B209" s="62" t="s">
        <v>48</v>
      </c>
      <c r="C209" s="63">
        <v>1750000</v>
      </c>
      <c r="D209" s="60" t="s">
        <v>203</v>
      </c>
      <c r="E209" s="60">
        <v>27</v>
      </c>
      <c r="F209" s="60" t="s">
        <v>226</v>
      </c>
      <c r="G209" s="91">
        <v>670</v>
      </c>
      <c r="H209" s="86">
        <v>16</v>
      </c>
      <c r="I209" s="45">
        <f>ROUND(Table134[[#This Row],[laatste 5 wed.]]/Table134[[#This Row],['#punten]]*100,1)</f>
        <v>2.4</v>
      </c>
      <c r="J209" s="60">
        <v>15</v>
      </c>
      <c r="K209" s="60">
        <v>13</v>
      </c>
      <c r="L209" s="60">
        <v>1185</v>
      </c>
      <c r="M209" s="60">
        <v>274</v>
      </c>
      <c r="N209" s="23">
        <f>ROUND(Table134[[#This Row],[Min laatste 5]]/Table134[[#This Row],['#minuten]]*100,1)</f>
        <v>23.1</v>
      </c>
      <c r="O209" s="60">
        <v>2</v>
      </c>
      <c r="P209" s="60">
        <v>1</v>
      </c>
      <c r="Q209" s="86">
        <v>0</v>
      </c>
      <c r="R209" s="60">
        <v>0</v>
      </c>
      <c r="S209" s="60">
        <v>2</v>
      </c>
      <c r="T209" s="93">
        <f>ROUND(Table134[[#This Row],['#punten]]/Table134[[#This Row],['#Wed]],2)</f>
        <v>44.67</v>
      </c>
      <c r="U209" s="58">
        <f>ROUND(Table134[[#This Row],['#punten]]/Table134[[#This Row],['#minuten]],2)</f>
        <v>0.56999999999999995</v>
      </c>
      <c r="V209" s="60">
        <f>ROUND(Table134[[#This Row],['#punten]]/(Table134[[#This Row],['#minuten]]/90),2)</f>
        <v>50.89</v>
      </c>
      <c r="W209" s="60">
        <f>ROUND(Table134[[#This Row],[Prijs]]/Table134[[#This Row],['#punten]],0)</f>
        <v>2612</v>
      </c>
      <c r="X209" s="61">
        <f>ROUND((Table134[[#This Row],[Goals]]+Table134[[#This Row],[Asissts]])/(Table134[[#This Row],['#minuten]]/90),2)</f>
        <v>0.23</v>
      </c>
    </row>
    <row r="210" spans="1:26" x14ac:dyDescent="0.2">
      <c r="A210" s="6" t="s">
        <v>227</v>
      </c>
      <c r="B210" s="51" t="s">
        <v>48</v>
      </c>
      <c r="C210" s="52">
        <v>2000000</v>
      </c>
      <c r="D210" s="53" t="s">
        <v>203</v>
      </c>
      <c r="E210" s="53">
        <v>25</v>
      </c>
      <c r="F210" s="53" t="s">
        <v>200</v>
      </c>
      <c r="G210" s="92">
        <v>654</v>
      </c>
      <c r="H210" s="85">
        <v>36</v>
      </c>
      <c r="I210" s="45">
        <f>ROUND(Table134[[#This Row],[laatste 5 wed.]]/Table134[[#This Row],['#punten]]*100,1)</f>
        <v>5.5</v>
      </c>
      <c r="J210" s="53">
        <v>18</v>
      </c>
      <c r="K210" s="53">
        <v>18</v>
      </c>
      <c r="L210" s="53">
        <v>1620</v>
      </c>
      <c r="M210" s="53">
        <v>360</v>
      </c>
      <c r="N210" s="23">
        <f>ROUND(Table134[[#This Row],[Min laatste 5]]/Table134[[#This Row],['#minuten]]*100,1)</f>
        <v>22.2</v>
      </c>
      <c r="O210" s="53">
        <v>0</v>
      </c>
      <c r="P210" s="53">
        <v>2</v>
      </c>
      <c r="Q210" s="85">
        <v>4</v>
      </c>
      <c r="R210" s="53">
        <v>0</v>
      </c>
      <c r="S210" s="53">
        <v>4</v>
      </c>
      <c r="T210" s="94">
        <f>ROUND(Table134[[#This Row],['#punten]]/Table134[[#This Row],['#Wed]],2)</f>
        <v>36.33</v>
      </c>
      <c r="U210" s="54">
        <f>ROUND(Table134[[#This Row],['#punten]]/Table134[[#This Row],['#minuten]],2)</f>
        <v>0.4</v>
      </c>
      <c r="V210" s="53">
        <f>ROUND(Table134[[#This Row],['#punten]]/(Table134[[#This Row],['#minuten]]/90),2)</f>
        <v>36.33</v>
      </c>
      <c r="W210" s="53">
        <f>ROUND(Table134[[#This Row],[Prijs]]/Table134[[#This Row],['#punten]],0)</f>
        <v>3058</v>
      </c>
      <c r="X210" s="57">
        <f>ROUND((Table134[[#This Row],[Goals]]+Table134[[#This Row],[Asissts]])/(Table134[[#This Row],['#minuten]]/90),2)</f>
        <v>0.11</v>
      </c>
      <c r="Y210" s="38"/>
    </row>
    <row r="211" spans="1:26" x14ac:dyDescent="0.2">
      <c r="A211" s="6" t="s">
        <v>519</v>
      </c>
      <c r="B211" s="28" t="s">
        <v>48</v>
      </c>
      <c r="C211" s="29">
        <v>1750000</v>
      </c>
      <c r="D211" s="30" t="s">
        <v>203</v>
      </c>
      <c r="E211" s="30">
        <v>29</v>
      </c>
      <c r="F211" s="30" t="s">
        <v>141</v>
      </c>
      <c r="G211" s="47">
        <v>558</v>
      </c>
      <c r="H211" s="48">
        <v>72</v>
      </c>
      <c r="I211" s="45">
        <f>ROUND(Table134[[#This Row],[laatste 5 wed.]]/Table134[[#This Row],['#punten]]*100,1)</f>
        <v>12.9</v>
      </c>
      <c r="J211" s="30">
        <v>15</v>
      </c>
      <c r="K211" s="30">
        <v>15</v>
      </c>
      <c r="L211" s="30">
        <v>1269</v>
      </c>
      <c r="M211" s="30">
        <v>450</v>
      </c>
      <c r="N211" s="23">
        <f>ROUND(Table134[[#This Row],[Min laatste 5]]/Table134[[#This Row],['#minuten]]*100,1)</f>
        <v>35.5</v>
      </c>
      <c r="O211" s="30">
        <v>1</v>
      </c>
      <c r="P211" s="30">
        <v>0</v>
      </c>
      <c r="Q211" s="48">
        <v>1</v>
      </c>
      <c r="R211" s="30">
        <v>0</v>
      </c>
      <c r="S211" s="30">
        <v>3</v>
      </c>
      <c r="T211" s="49">
        <f>ROUND(Table134[[#This Row],['#punten]]/Table134[[#This Row],['#Wed]],2)</f>
        <v>37.200000000000003</v>
      </c>
      <c r="U211" s="31">
        <f>ROUND(Table134[[#This Row],['#punten]]/Table134[[#This Row],['#minuten]],2)</f>
        <v>0.44</v>
      </c>
      <c r="V211" s="30">
        <f>ROUND(Table134[[#This Row],['#punten]]/(Table134[[#This Row],['#minuten]]/90),2)</f>
        <v>39.57</v>
      </c>
      <c r="W211" s="30">
        <f>ROUND(Table134[[#This Row],[Prijs]]/Table134[[#This Row],['#punten]],0)</f>
        <v>3136</v>
      </c>
      <c r="X211" s="34">
        <f>ROUND((Table134[[#This Row],[Goals]]+Table134[[#This Row],[Asissts]])/(Table134[[#This Row],['#minuten]]/90),2)</f>
        <v>7.0000000000000007E-2</v>
      </c>
    </row>
    <row r="212" spans="1:26" x14ac:dyDescent="0.2">
      <c r="A212" s="6" t="s">
        <v>584</v>
      </c>
      <c r="B212" s="28" t="s">
        <v>48</v>
      </c>
      <c r="C212" s="29">
        <v>1750000</v>
      </c>
      <c r="D212" s="30" t="s">
        <v>203</v>
      </c>
      <c r="E212" s="30">
        <v>19</v>
      </c>
      <c r="F212" s="30" t="s">
        <v>179</v>
      </c>
      <c r="G212" s="47">
        <v>444</v>
      </c>
      <c r="H212" s="48">
        <v>72</v>
      </c>
      <c r="I212" s="45">
        <f>ROUND(Table134[[#This Row],[laatste 5 wed.]]/Table134[[#This Row],['#punten]]*100,1)</f>
        <v>16.2</v>
      </c>
      <c r="J212" s="30">
        <v>14</v>
      </c>
      <c r="K212" s="30">
        <v>10</v>
      </c>
      <c r="L212" s="30">
        <v>883</v>
      </c>
      <c r="M212" s="30">
        <v>439</v>
      </c>
      <c r="N212" s="23">
        <f>ROUND(Table134[[#This Row],[Min laatste 5]]/Table134[[#This Row],['#minuten]]*100,1)</f>
        <v>49.7</v>
      </c>
      <c r="O212" s="30">
        <v>0</v>
      </c>
      <c r="P212" s="30">
        <v>1</v>
      </c>
      <c r="Q212" s="48">
        <v>1</v>
      </c>
      <c r="R212" s="30">
        <v>0</v>
      </c>
      <c r="S212" s="30">
        <v>3</v>
      </c>
      <c r="T212" s="46">
        <f>ROUND(Table134[[#This Row],['#punten]]/Table134[[#This Row],['#Wed]],2)</f>
        <v>31.71</v>
      </c>
      <c r="U212" s="44">
        <f>ROUND(Table134[[#This Row],['#punten]]/Table134[[#This Row],['#minuten]],2)</f>
        <v>0.5</v>
      </c>
      <c r="V212" s="23">
        <f>ROUND(Table134[[#This Row],['#punten]]/(Table134[[#This Row],['#minuten]]/90),2)</f>
        <v>45.25</v>
      </c>
      <c r="W212" s="23">
        <f>ROUND(Table134[[#This Row],[Prijs]]/Table134[[#This Row],['#punten]],0)</f>
        <v>3941</v>
      </c>
      <c r="X212" s="27">
        <f>ROUND((Table134[[#This Row],[Goals]]+Table134[[#This Row],[Asissts]])/(Table134[[#This Row],['#minuten]]/90),2)</f>
        <v>0.1</v>
      </c>
      <c r="Y212" s="38"/>
    </row>
    <row r="213" spans="1:26" x14ac:dyDescent="0.2">
      <c r="A213" s="6" t="s">
        <v>228</v>
      </c>
      <c r="B213" s="28" t="s">
        <v>48</v>
      </c>
      <c r="C213" s="29">
        <v>1250000</v>
      </c>
      <c r="D213" s="30" t="s">
        <v>203</v>
      </c>
      <c r="E213" s="30">
        <v>21</v>
      </c>
      <c r="F213" s="30" t="s">
        <v>141</v>
      </c>
      <c r="G213" s="47">
        <v>426</v>
      </c>
      <c r="H213" s="48">
        <v>42</v>
      </c>
      <c r="I213" s="45">
        <f>ROUND(Table134[[#This Row],[laatste 5 wed.]]/Table134[[#This Row],['#punten]]*100,1)</f>
        <v>9.9</v>
      </c>
      <c r="J213" s="30">
        <v>14</v>
      </c>
      <c r="K213" s="30">
        <v>11</v>
      </c>
      <c r="L213" s="30">
        <v>974</v>
      </c>
      <c r="M213" s="30">
        <v>244</v>
      </c>
      <c r="N213" s="23">
        <f>ROUND(Table134[[#This Row],[Min laatste 5]]/Table134[[#This Row],['#minuten]]*100,1)</f>
        <v>25.1</v>
      </c>
      <c r="O213" s="30">
        <v>0</v>
      </c>
      <c r="P213" s="30">
        <v>1</v>
      </c>
      <c r="Q213" s="48">
        <v>1</v>
      </c>
      <c r="R213" s="30">
        <v>0</v>
      </c>
      <c r="S213" s="30">
        <v>3</v>
      </c>
      <c r="T213" s="46">
        <f>ROUND(Table134[[#This Row],['#punten]]/Table134[[#This Row],['#Wed]],2)</f>
        <v>30.43</v>
      </c>
      <c r="U213" s="24">
        <f>ROUND(Table134[[#This Row],['#punten]]/Table134[[#This Row],['#minuten]],2)</f>
        <v>0.44</v>
      </c>
      <c r="V213" s="23">
        <f>ROUND(Table134[[#This Row],['#punten]]/(Table134[[#This Row],['#minuten]]/90),2)</f>
        <v>39.36</v>
      </c>
      <c r="W213" s="23">
        <f>ROUND(Table134[[#This Row],[Prijs]]/Table134[[#This Row],['#punten]],0)</f>
        <v>2934</v>
      </c>
      <c r="X213" s="27">
        <f>ROUND((Table134[[#This Row],[Goals]]+Table134[[#This Row],[Asissts]])/(Table134[[#This Row],['#minuten]]/90),2)</f>
        <v>0.09</v>
      </c>
      <c r="Y213" s="38"/>
    </row>
    <row r="214" spans="1:26" x14ac:dyDescent="0.2">
      <c r="A214" s="6" t="s">
        <v>247</v>
      </c>
      <c r="B214" s="51" t="s">
        <v>239</v>
      </c>
      <c r="C214" s="52">
        <v>1250000</v>
      </c>
      <c r="D214" s="53" t="s">
        <v>203</v>
      </c>
      <c r="E214" s="53">
        <v>25</v>
      </c>
      <c r="F214" s="53" t="s">
        <v>141</v>
      </c>
      <c r="G214" s="92">
        <v>456</v>
      </c>
      <c r="H214" s="85">
        <v>60</v>
      </c>
      <c r="I214" s="45">
        <f>ROUND(Table134[[#This Row],[laatste 5 wed.]]/Table134[[#This Row],['#punten]]*100,1)</f>
        <v>13.2</v>
      </c>
      <c r="J214" s="53">
        <v>17</v>
      </c>
      <c r="K214" s="53">
        <v>17</v>
      </c>
      <c r="L214" s="53">
        <v>1461</v>
      </c>
      <c r="M214" s="53">
        <v>450</v>
      </c>
      <c r="N214" s="23">
        <f>ROUND(Table134[[#This Row],[Min laatste 5]]/Table134[[#This Row],['#minuten]]*100,1)</f>
        <v>30.8</v>
      </c>
      <c r="O214" s="53">
        <v>1</v>
      </c>
      <c r="P214" s="53">
        <v>2</v>
      </c>
      <c r="Q214" s="85">
        <v>2</v>
      </c>
      <c r="R214" s="53">
        <v>1</v>
      </c>
      <c r="S214" s="53">
        <v>0</v>
      </c>
      <c r="T214" s="94">
        <f>ROUND(Table134[[#This Row],['#punten]]/Table134[[#This Row],['#Wed]],2)</f>
        <v>26.82</v>
      </c>
      <c r="U214" s="54">
        <f>ROUND(Table134[[#This Row],['#punten]]/Table134[[#This Row],['#minuten]],2)</f>
        <v>0.31</v>
      </c>
      <c r="V214" s="53">
        <f>ROUND(Table134[[#This Row],['#punten]]/(Table134[[#This Row],['#minuten]]/90),2)</f>
        <v>28.09</v>
      </c>
      <c r="W214" s="53">
        <f>ROUND(Table134[[#This Row],[Prijs]]/Table134[[#This Row],['#punten]],0)</f>
        <v>2741</v>
      </c>
      <c r="X214" s="57">
        <f>ROUND((Table134[[#This Row],[Goals]]+Table134[[#This Row],[Asissts]])/(Table134[[#This Row],['#minuten]]/90),2)</f>
        <v>0.18</v>
      </c>
    </row>
    <row r="215" spans="1:26" x14ac:dyDescent="0.2">
      <c r="A215" s="6" t="s">
        <v>252</v>
      </c>
      <c r="B215" s="62" t="s">
        <v>10</v>
      </c>
      <c r="C215" s="63">
        <v>1500000</v>
      </c>
      <c r="D215" s="60" t="s">
        <v>203</v>
      </c>
      <c r="E215" s="60">
        <v>26</v>
      </c>
      <c r="F215" s="60" t="s">
        <v>141</v>
      </c>
      <c r="G215" s="91">
        <v>816</v>
      </c>
      <c r="H215" s="86">
        <v>342</v>
      </c>
      <c r="I215" s="45">
        <f>ROUND(Table134[[#This Row],[laatste 5 wed.]]/Table134[[#This Row],['#punten]]*100,1)</f>
        <v>41.9</v>
      </c>
      <c r="J215" s="60">
        <v>19</v>
      </c>
      <c r="K215" s="60">
        <v>19</v>
      </c>
      <c r="L215" s="60">
        <v>1696</v>
      </c>
      <c r="M215" s="60">
        <v>450</v>
      </c>
      <c r="N215" s="23">
        <f>ROUND(Table134[[#This Row],[Min laatste 5]]/Table134[[#This Row],['#minuten]]*100,1)</f>
        <v>26.5</v>
      </c>
      <c r="O215" s="60">
        <v>1</v>
      </c>
      <c r="P215" s="60">
        <v>2</v>
      </c>
      <c r="Q215" s="86">
        <v>4</v>
      </c>
      <c r="R215" s="60">
        <v>0</v>
      </c>
      <c r="S215" s="60">
        <v>3</v>
      </c>
      <c r="T215" s="93">
        <f>ROUND(Table134[[#This Row],['#punten]]/Table134[[#This Row],['#Wed]],2)</f>
        <v>42.95</v>
      </c>
      <c r="U215" s="58">
        <f>ROUND(Table134[[#This Row],['#punten]]/Table134[[#This Row],['#minuten]],2)</f>
        <v>0.48</v>
      </c>
      <c r="V215" s="60">
        <f>ROUND(Table134[[#This Row],['#punten]]/(Table134[[#This Row],['#minuten]]/90),2)</f>
        <v>43.3</v>
      </c>
      <c r="W215" s="60">
        <f>ROUND(Table134[[#This Row],[Prijs]]/Table134[[#This Row],['#punten]],0)</f>
        <v>1838</v>
      </c>
      <c r="X215" s="61">
        <f>ROUND((Table134[[#This Row],[Goals]]+Table134[[#This Row],[Asissts]])/(Table134[[#This Row],['#minuten]]/90),2)</f>
        <v>0.16</v>
      </c>
      <c r="Y215" s="38"/>
    </row>
    <row r="216" spans="1:26" x14ac:dyDescent="0.2">
      <c r="A216" s="6" t="s">
        <v>22</v>
      </c>
      <c r="B216" s="51" t="s">
        <v>10</v>
      </c>
      <c r="C216" s="52">
        <v>1500000</v>
      </c>
      <c r="D216" s="53" t="s">
        <v>203</v>
      </c>
      <c r="E216" s="53">
        <v>22</v>
      </c>
      <c r="F216" s="53" t="s">
        <v>141</v>
      </c>
      <c r="G216" s="92">
        <v>672</v>
      </c>
      <c r="H216" s="85">
        <v>276</v>
      </c>
      <c r="I216" s="45">
        <f>ROUND(Table134[[#This Row],[laatste 5 wed.]]/Table134[[#This Row],['#punten]]*100,1)</f>
        <v>41.1</v>
      </c>
      <c r="J216" s="53">
        <v>16</v>
      </c>
      <c r="K216" s="53">
        <v>15</v>
      </c>
      <c r="L216" s="53">
        <v>1301</v>
      </c>
      <c r="M216" s="53">
        <v>386</v>
      </c>
      <c r="N216" s="23">
        <f>ROUND(Table134[[#This Row],[Min laatste 5]]/Table134[[#This Row],['#minuten]]*100,1)</f>
        <v>29.7</v>
      </c>
      <c r="O216" s="53">
        <v>2</v>
      </c>
      <c r="P216" s="53">
        <v>2</v>
      </c>
      <c r="Q216" s="85">
        <v>3</v>
      </c>
      <c r="R216" s="53">
        <v>1</v>
      </c>
      <c r="S216" s="53">
        <v>2</v>
      </c>
      <c r="T216" s="94">
        <f>ROUND(Table134[[#This Row],['#punten]]/Table134[[#This Row],['#Wed]],2)</f>
        <v>42</v>
      </c>
      <c r="U216" s="54">
        <f>ROUND(Table134[[#This Row],['#punten]]/Table134[[#This Row],['#minuten]],2)</f>
        <v>0.52</v>
      </c>
      <c r="V216" s="53">
        <f>ROUND(Table134[[#This Row],['#punten]]/(Table134[[#This Row],['#minuten]]/90),2)</f>
        <v>46.49</v>
      </c>
      <c r="W216" s="53">
        <f>ROUND(Table134[[#This Row],[Prijs]]/Table134[[#This Row],['#punten]],0)</f>
        <v>2232</v>
      </c>
      <c r="X216" s="57">
        <f>ROUND((Table134[[#This Row],[Goals]]+Table134[[#This Row],[Asissts]])/(Table134[[#This Row],['#minuten]]/90),2)</f>
        <v>0.28000000000000003</v>
      </c>
    </row>
    <row r="217" spans="1:26" x14ac:dyDescent="0.2">
      <c r="A217" s="6" t="s">
        <v>251</v>
      </c>
      <c r="B217" s="28" t="s">
        <v>10</v>
      </c>
      <c r="C217" s="29">
        <v>1250000</v>
      </c>
      <c r="D217" s="30" t="s">
        <v>203</v>
      </c>
      <c r="E217" s="30">
        <v>33</v>
      </c>
      <c r="F217" s="30" t="s">
        <v>141</v>
      </c>
      <c r="G217" s="47">
        <v>654</v>
      </c>
      <c r="H217" s="48">
        <v>246</v>
      </c>
      <c r="I217" s="45">
        <f>ROUND(Table134[[#This Row],[laatste 5 wed.]]/Table134[[#This Row],['#punten]]*100,1)</f>
        <v>37.6</v>
      </c>
      <c r="J217" s="30">
        <v>17</v>
      </c>
      <c r="K217" s="30">
        <v>17</v>
      </c>
      <c r="L217" s="30">
        <v>1480</v>
      </c>
      <c r="M217" s="30">
        <v>450</v>
      </c>
      <c r="N217" s="23">
        <f>ROUND(Table134[[#This Row],[Min laatste 5]]/Table134[[#This Row],['#minuten]]*100,1)</f>
        <v>30.4</v>
      </c>
      <c r="O217" s="30">
        <v>0</v>
      </c>
      <c r="P217" s="30">
        <v>0</v>
      </c>
      <c r="Q217" s="48">
        <v>1</v>
      </c>
      <c r="R217" s="30">
        <v>0</v>
      </c>
      <c r="S217" s="30">
        <v>3</v>
      </c>
      <c r="T217" s="46">
        <f>ROUND(Table134[[#This Row],['#punten]]/Table134[[#This Row],['#Wed]],2)</f>
        <v>38.47</v>
      </c>
      <c r="U217" s="24">
        <f>ROUND(Table134[[#This Row],['#punten]]/Table134[[#This Row],['#minuten]],2)</f>
        <v>0.44</v>
      </c>
      <c r="V217" s="23">
        <f>ROUND(Table134[[#This Row],['#punten]]/(Table134[[#This Row],['#minuten]]/90),2)</f>
        <v>39.770000000000003</v>
      </c>
      <c r="W217" s="23">
        <f>ROUND(Table134[[#This Row],[Prijs]]/Table134[[#This Row],['#punten]],0)</f>
        <v>1911</v>
      </c>
      <c r="X217" s="27">
        <f>ROUND((Table134[[#This Row],[Goals]]+Table134[[#This Row],[Asissts]])/(Table134[[#This Row],['#minuten]]/90),2)</f>
        <v>0</v>
      </c>
    </row>
    <row r="218" spans="1:26" x14ac:dyDescent="0.2">
      <c r="A218" s="6" t="s">
        <v>250</v>
      </c>
      <c r="B218" s="62" t="s">
        <v>10</v>
      </c>
      <c r="C218" s="63">
        <v>1750000</v>
      </c>
      <c r="D218" s="60" t="s">
        <v>203</v>
      </c>
      <c r="E218" s="60">
        <v>20</v>
      </c>
      <c r="F218" s="60" t="s">
        <v>141</v>
      </c>
      <c r="G218" s="91">
        <v>558</v>
      </c>
      <c r="H218" s="86">
        <v>258</v>
      </c>
      <c r="I218" s="45">
        <f>ROUND(Table134[[#This Row],[laatste 5 wed.]]/Table134[[#This Row],['#punten]]*100,1)</f>
        <v>46.2</v>
      </c>
      <c r="J218" s="60">
        <v>14</v>
      </c>
      <c r="K218" s="60">
        <v>9</v>
      </c>
      <c r="L218" s="60">
        <v>842</v>
      </c>
      <c r="M218" s="60">
        <v>91</v>
      </c>
      <c r="N218" s="23">
        <f>ROUND(Table134[[#This Row],[Min laatste 5]]/Table134[[#This Row],['#minuten]]*100,1)</f>
        <v>10.8</v>
      </c>
      <c r="O218" s="60">
        <v>3</v>
      </c>
      <c r="P218" s="60">
        <v>1</v>
      </c>
      <c r="Q218" s="86">
        <v>2</v>
      </c>
      <c r="R218" s="60">
        <v>0</v>
      </c>
      <c r="S218" s="60">
        <v>0</v>
      </c>
      <c r="T218" s="93">
        <f>ROUND(Table134[[#This Row],['#punten]]/Table134[[#This Row],['#Wed]],2)</f>
        <v>39.86</v>
      </c>
      <c r="U218" s="58">
        <f>ROUND(Table134[[#This Row],['#punten]]/Table134[[#This Row],['#minuten]],2)</f>
        <v>0.66</v>
      </c>
      <c r="V218" s="60">
        <f>ROUND(Table134[[#This Row],['#punten]]/(Table134[[#This Row],['#minuten]]/90),2)</f>
        <v>59.64</v>
      </c>
      <c r="W218" s="60">
        <f>ROUND(Table134[[#This Row],[Prijs]]/Table134[[#This Row],['#punten]],0)</f>
        <v>3136</v>
      </c>
      <c r="X218" s="61">
        <f>ROUND((Table134[[#This Row],[Goals]]+Table134[[#This Row],[Asissts]])/(Table134[[#This Row],['#minuten]]/90),2)</f>
        <v>0.43</v>
      </c>
      <c r="Y218" s="38"/>
      <c r="Z218" t="s">
        <v>653</v>
      </c>
    </row>
    <row r="219" spans="1:26" x14ac:dyDescent="0.2">
      <c r="A219" s="6" t="s">
        <v>368</v>
      </c>
      <c r="B219" s="28" t="s">
        <v>10</v>
      </c>
      <c r="C219" s="29">
        <v>1250000</v>
      </c>
      <c r="D219" s="30" t="s">
        <v>203</v>
      </c>
      <c r="E219" s="30">
        <v>26</v>
      </c>
      <c r="F219" s="30" t="s">
        <v>141</v>
      </c>
      <c r="G219" s="47">
        <v>474</v>
      </c>
      <c r="H219" s="48">
        <v>222</v>
      </c>
      <c r="I219" s="45">
        <f>ROUND(Table134[[#This Row],[laatste 5 wed.]]/Table134[[#This Row],['#punten]]*100,1)</f>
        <v>46.8</v>
      </c>
      <c r="J219" s="30">
        <v>11</v>
      </c>
      <c r="K219" s="30">
        <v>11</v>
      </c>
      <c r="L219" s="30">
        <v>882</v>
      </c>
      <c r="M219" s="30">
        <v>426</v>
      </c>
      <c r="N219" s="23">
        <f>ROUND(Table134[[#This Row],[Min laatste 5]]/Table134[[#This Row],['#minuten]]*100,1)</f>
        <v>48.3</v>
      </c>
      <c r="O219" s="30">
        <v>0</v>
      </c>
      <c r="P219" s="30">
        <v>0</v>
      </c>
      <c r="Q219" s="48">
        <v>1</v>
      </c>
      <c r="R219" s="30">
        <v>0</v>
      </c>
      <c r="S219" s="30">
        <v>2</v>
      </c>
      <c r="T219" s="49">
        <f>ROUND(Table134[[#This Row],['#punten]]/Table134[[#This Row],['#Wed]],2)</f>
        <v>43.09</v>
      </c>
      <c r="U219" s="31">
        <f>ROUND(Table134[[#This Row],['#punten]]/Table134[[#This Row],['#minuten]],2)</f>
        <v>0.54</v>
      </c>
      <c r="V219" s="30">
        <f>ROUND(Table134[[#This Row],['#punten]]/(Table134[[#This Row],['#minuten]]/90),2)</f>
        <v>48.37</v>
      </c>
      <c r="W219" s="30">
        <f>ROUND(Table134[[#This Row],[Prijs]]/Table134[[#This Row],['#punten]],0)</f>
        <v>2637</v>
      </c>
      <c r="X219" s="34">
        <f>ROUND((Table134[[#This Row],[Goals]]+Table134[[#This Row],[Asissts]])/(Table134[[#This Row],['#minuten]]/90),2)</f>
        <v>0</v>
      </c>
    </row>
    <row r="220" spans="1:26" x14ac:dyDescent="0.2">
      <c r="A220" s="6" t="s">
        <v>370</v>
      </c>
      <c r="B220" s="62" t="s">
        <v>260</v>
      </c>
      <c r="C220" s="63">
        <v>1250000</v>
      </c>
      <c r="D220" s="60" t="s">
        <v>203</v>
      </c>
      <c r="E220" s="60">
        <v>25</v>
      </c>
      <c r="F220" s="60" t="s">
        <v>141</v>
      </c>
      <c r="G220" s="91">
        <v>646</v>
      </c>
      <c r="H220" s="86">
        <v>144</v>
      </c>
      <c r="I220" s="45">
        <f>ROUND(Table134[[#This Row],[laatste 5 wed.]]/Table134[[#This Row],['#punten]]*100,1)</f>
        <v>22.3</v>
      </c>
      <c r="J220" s="60">
        <v>19</v>
      </c>
      <c r="K220" s="60">
        <v>19</v>
      </c>
      <c r="L220" s="60">
        <v>1710</v>
      </c>
      <c r="M220" s="23">
        <v>450</v>
      </c>
      <c r="N220" s="23">
        <f>ROUND(Table134[[#This Row],[Min laatste 5]]/Table134[[#This Row],['#minuten]]*100,1)</f>
        <v>26.3</v>
      </c>
      <c r="O220" s="60">
        <v>0</v>
      </c>
      <c r="P220" s="60">
        <v>1</v>
      </c>
      <c r="Q220" s="86">
        <v>3</v>
      </c>
      <c r="R220" s="60">
        <v>0</v>
      </c>
      <c r="S220" s="60">
        <v>4</v>
      </c>
      <c r="T220" s="93">
        <f>ROUND(Table134[[#This Row],['#punten]]/Table134[[#This Row],['#Wed]],2)</f>
        <v>34</v>
      </c>
      <c r="U220" s="58">
        <f>ROUND(Table134[[#This Row],['#punten]]/Table134[[#This Row],['#minuten]],2)</f>
        <v>0.38</v>
      </c>
      <c r="V220" s="60">
        <f>ROUND(Table134[[#This Row],['#punten]]/(Table134[[#This Row],['#minuten]]/90),2)</f>
        <v>34</v>
      </c>
      <c r="W220" s="60">
        <f>ROUND(Table134[[#This Row],[Prijs]]/Table134[[#This Row],['#punten]],0)</f>
        <v>1935</v>
      </c>
      <c r="X220" s="61">
        <f>ROUND((Table134[[#This Row],[Goals]]+Table134[[#This Row],[Asissts]])/(Table134[[#This Row],['#minuten]]/90),2)</f>
        <v>0.05</v>
      </c>
      <c r="Y220" s="38"/>
    </row>
    <row r="221" spans="1:26" x14ac:dyDescent="0.2">
      <c r="A221" s="6" t="s">
        <v>265</v>
      </c>
      <c r="B221" s="62" t="s">
        <v>260</v>
      </c>
      <c r="C221" s="63">
        <v>1500000</v>
      </c>
      <c r="D221" s="60" t="s">
        <v>203</v>
      </c>
      <c r="E221" s="60">
        <v>38</v>
      </c>
      <c r="F221" s="60" t="s">
        <v>141</v>
      </c>
      <c r="G221" s="91">
        <v>606</v>
      </c>
      <c r="H221" s="86">
        <v>144</v>
      </c>
      <c r="I221" s="45">
        <f>ROUND(Table134[[#This Row],[laatste 5 wed.]]/Table134[[#This Row],['#punten]]*100,1)</f>
        <v>23.8</v>
      </c>
      <c r="J221" s="60">
        <v>17</v>
      </c>
      <c r="K221" s="60">
        <v>17</v>
      </c>
      <c r="L221" s="60">
        <v>1485</v>
      </c>
      <c r="M221" s="60">
        <v>450</v>
      </c>
      <c r="N221" s="23">
        <f>ROUND(Table134[[#This Row],[Min laatste 5]]/Table134[[#This Row],['#minuten]]*100,1)</f>
        <v>30.3</v>
      </c>
      <c r="O221" s="60">
        <v>0</v>
      </c>
      <c r="P221" s="60">
        <v>0</v>
      </c>
      <c r="Q221" s="86">
        <v>3</v>
      </c>
      <c r="R221" s="60">
        <v>0</v>
      </c>
      <c r="S221" s="60">
        <v>4</v>
      </c>
      <c r="T221" s="93">
        <f>ROUND(Table134[[#This Row],['#punten]]/Table134[[#This Row],['#Wed]],2)</f>
        <v>35.65</v>
      </c>
      <c r="U221" s="58">
        <f>ROUND(Table134[[#This Row],['#punten]]/Table134[[#This Row],['#minuten]],2)</f>
        <v>0.41</v>
      </c>
      <c r="V221" s="60">
        <f>ROUND(Table134[[#This Row],['#punten]]/(Table134[[#This Row],['#minuten]]/90),2)</f>
        <v>36.729999999999997</v>
      </c>
      <c r="W221" s="60">
        <f>ROUND(Table134[[#This Row],[Prijs]]/Table134[[#This Row],['#punten]],0)</f>
        <v>2475</v>
      </c>
      <c r="X221" s="61">
        <f>ROUND((Table134[[#This Row],[Goals]]+Table134[[#This Row],[Asissts]])/(Table134[[#This Row],['#minuten]]/90),2)</f>
        <v>0</v>
      </c>
    </row>
    <row r="222" spans="1:26" x14ac:dyDescent="0.2">
      <c r="A222" s="6" t="s">
        <v>266</v>
      </c>
      <c r="B222" s="28" t="s">
        <v>260</v>
      </c>
      <c r="C222" s="29">
        <v>1250000</v>
      </c>
      <c r="D222" s="30" t="s">
        <v>203</v>
      </c>
      <c r="E222" s="30">
        <v>30</v>
      </c>
      <c r="F222" s="30" t="s">
        <v>267</v>
      </c>
      <c r="G222" s="47">
        <v>558</v>
      </c>
      <c r="H222" s="48">
        <v>168</v>
      </c>
      <c r="I222" s="45">
        <f>ROUND(Table134[[#This Row],[laatste 5 wed.]]/Table134[[#This Row],['#punten]]*100,1)</f>
        <v>30.1</v>
      </c>
      <c r="J222" s="30">
        <v>17</v>
      </c>
      <c r="K222" s="30">
        <v>17</v>
      </c>
      <c r="L222" s="30">
        <v>1420</v>
      </c>
      <c r="M222" s="30">
        <v>405</v>
      </c>
      <c r="N222" s="23">
        <f>ROUND(Table134[[#This Row],[Min laatste 5]]/Table134[[#This Row],['#minuten]]*100,1)</f>
        <v>28.5</v>
      </c>
      <c r="O222" s="30">
        <v>0</v>
      </c>
      <c r="P222" s="30">
        <v>0</v>
      </c>
      <c r="Q222" s="48">
        <v>3</v>
      </c>
      <c r="R222" s="30">
        <v>0</v>
      </c>
      <c r="S222" s="30">
        <v>4</v>
      </c>
      <c r="T222" s="49">
        <f>ROUND(Table134[[#This Row],['#punten]]/Table134[[#This Row],['#Wed]],2)</f>
        <v>32.82</v>
      </c>
      <c r="U222" s="31">
        <f>ROUND(Table134[[#This Row],['#punten]]/Table134[[#This Row],['#minuten]],2)</f>
        <v>0.39</v>
      </c>
      <c r="V222" s="30">
        <f>ROUND(Table134[[#This Row],['#punten]]/(Table134[[#This Row],['#minuten]]/90),2)</f>
        <v>35.369999999999997</v>
      </c>
      <c r="W222" s="30">
        <f>ROUND(Table134[[#This Row],[Prijs]]/Table134[[#This Row],['#punten]],0)</f>
        <v>2240</v>
      </c>
      <c r="X222" s="34">
        <f>ROUND((Table134[[#This Row],[Goals]]+Table134[[#This Row],[Asissts]])/(Table134[[#This Row],['#minuten]]/90),2)</f>
        <v>0</v>
      </c>
    </row>
    <row r="223" spans="1:26" x14ac:dyDescent="0.2">
      <c r="A223" s="6" t="s">
        <v>618</v>
      </c>
      <c r="B223" s="51" t="s">
        <v>260</v>
      </c>
      <c r="C223" s="52">
        <v>1500000</v>
      </c>
      <c r="D223" s="53" t="s">
        <v>203</v>
      </c>
      <c r="E223" s="53">
        <v>20</v>
      </c>
      <c r="F223" s="53" t="s">
        <v>514</v>
      </c>
      <c r="G223" s="92">
        <v>462</v>
      </c>
      <c r="H223" s="85">
        <v>102</v>
      </c>
      <c r="I223" s="45">
        <f>ROUND(Table134[[#This Row],[laatste 5 wed.]]/Table134[[#This Row],['#punten]]*100,1)</f>
        <v>22.1</v>
      </c>
      <c r="J223" s="53">
        <v>16</v>
      </c>
      <c r="K223" s="53">
        <v>15</v>
      </c>
      <c r="L223" s="53">
        <v>1243</v>
      </c>
      <c r="M223" s="53">
        <v>301</v>
      </c>
      <c r="N223" s="23">
        <f>ROUND(Table134[[#This Row],[Min laatste 5]]/Table134[[#This Row],['#minuten]]*100,1)</f>
        <v>24.2</v>
      </c>
      <c r="O223" s="53">
        <v>0</v>
      </c>
      <c r="P223" s="53">
        <v>1</v>
      </c>
      <c r="Q223" s="85">
        <v>6</v>
      </c>
      <c r="R223" s="53">
        <v>0</v>
      </c>
      <c r="S223" s="53">
        <v>3</v>
      </c>
      <c r="T223" s="94">
        <f>ROUND(Table134[[#This Row],['#punten]]/Table134[[#This Row],['#Wed]],2)</f>
        <v>28.88</v>
      </c>
      <c r="U223" s="92">
        <f>ROUND(Table134[[#This Row],['#punten]]/Table134[[#This Row],['#minuten]],2)</f>
        <v>0.37</v>
      </c>
      <c r="V223" s="53">
        <f>ROUND(Table134[[#This Row],['#punten]]/(Table134[[#This Row],['#minuten]]/90),2)</f>
        <v>33.450000000000003</v>
      </c>
      <c r="W223" s="53">
        <f>ROUND(Table134[[#This Row],[Prijs]]/Table134[[#This Row],['#punten]],0)</f>
        <v>3247</v>
      </c>
      <c r="X223" s="57">
        <f>ROUND((Table134[[#This Row],[Goals]]+Table134[[#This Row],[Asissts]])/(Table134[[#This Row],['#minuten]]/90),2)</f>
        <v>7.0000000000000007E-2</v>
      </c>
      <c r="Y223" s="38"/>
    </row>
    <row r="224" spans="1:26" x14ac:dyDescent="0.2">
      <c r="A224" s="6" t="s">
        <v>276</v>
      </c>
      <c r="B224" s="51" t="s">
        <v>11</v>
      </c>
      <c r="C224" s="52">
        <v>3500000</v>
      </c>
      <c r="D224" s="53" t="s">
        <v>203</v>
      </c>
      <c r="E224" s="53">
        <v>31</v>
      </c>
      <c r="F224" s="53" t="s">
        <v>196</v>
      </c>
      <c r="G224" s="92">
        <v>1548</v>
      </c>
      <c r="H224" s="85">
        <v>324</v>
      </c>
      <c r="I224" s="45">
        <f>ROUND(Table134[[#This Row],[laatste 5 wed.]]/Table134[[#This Row],['#punten]]*100,1)</f>
        <v>20.9</v>
      </c>
      <c r="J224" s="53">
        <v>19</v>
      </c>
      <c r="K224" s="53">
        <v>16</v>
      </c>
      <c r="L224" s="53">
        <v>1360</v>
      </c>
      <c r="M224" s="53">
        <v>357</v>
      </c>
      <c r="N224" s="23">
        <f>ROUND(Table134[[#This Row],[Min laatste 5]]/Table134[[#This Row],['#minuten]]*100,1)</f>
        <v>26.3</v>
      </c>
      <c r="O224" s="53">
        <v>2</v>
      </c>
      <c r="P224" s="53">
        <v>1</v>
      </c>
      <c r="Q224" s="85">
        <v>2</v>
      </c>
      <c r="R224" s="53">
        <v>0</v>
      </c>
      <c r="S224" s="53">
        <v>11</v>
      </c>
      <c r="T224" s="94">
        <f>ROUND(Table134[[#This Row],['#punten]]/Table134[[#This Row],['#Wed]],2)</f>
        <v>81.47</v>
      </c>
      <c r="U224" s="54">
        <f>ROUND(Table134[[#This Row],['#punten]]/Table134[[#This Row],['#minuten]],2)</f>
        <v>1.1399999999999999</v>
      </c>
      <c r="V224" s="53">
        <f>ROUND(Table134[[#This Row],['#punten]]/(Table134[[#This Row],['#minuten]]/90),2)</f>
        <v>102.44</v>
      </c>
      <c r="W224" s="53">
        <f>ROUND(Table134[[#This Row],[Prijs]]/Table134[[#This Row],['#punten]],0)</f>
        <v>2261</v>
      </c>
      <c r="X224" s="57">
        <f>ROUND((Table134[[#This Row],[Goals]]+Table134[[#This Row],[Asissts]])/(Table134[[#This Row],['#minuten]]/90),2)</f>
        <v>0.2</v>
      </c>
      <c r="Y224" s="38"/>
    </row>
    <row r="225" spans="1:25" x14ac:dyDescent="0.2">
      <c r="A225" s="6" t="s">
        <v>281</v>
      </c>
      <c r="B225" s="51" t="s">
        <v>11</v>
      </c>
      <c r="C225" s="52">
        <v>4000000</v>
      </c>
      <c r="D225" s="53" t="s">
        <v>203</v>
      </c>
      <c r="E225" s="53">
        <v>23</v>
      </c>
      <c r="F225" s="53" t="s">
        <v>175</v>
      </c>
      <c r="G225" s="92">
        <v>1464</v>
      </c>
      <c r="H225" s="85">
        <v>642</v>
      </c>
      <c r="I225" s="45">
        <f>ROUND(Table134[[#This Row],[laatste 5 wed.]]/Table134[[#This Row],['#punten]]*100,1)</f>
        <v>43.9</v>
      </c>
      <c r="J225" s="53">
        <v>14</v>
      </c>
      <c r="K225" s="53">
        <v>14</v>
      </c>
      <c r="L225" s="53">
        <v>1180</v>
      </c>
      <c r="M225" s="53">
        <v>450</v>
      </c>
      <c r="N225" s="23">
        <f>ROUND(Table134[[#This Row],[Min laatste 5]]/Table134[[#This Row],['#minuten]]*100,1)</f>
        <v>38.1</v>
      </c>
      <c r="O225" s="53">
        <v>1</v>
      </c>
      <c r="P225" s="53">
        <v>4</v>
      </c>
      <c r="Q225" s="85">
        <v>1</v>
      </c>
      <c r="R225" s="53">
        <v>0</v>
      </c>
      <c r="S225" s="53">
        <v>10</v>
      </c>
      <c r="T225" s="94">
        <f>ROUND(Table134[[#This Row],['#punten]]/Table134[[#This Row],['#Wed]],2)</f>
        <v>104.57</v>
      </c>
      <c r="U225" s="54">
        <f>ROUND(Table134[[#This Row],['#punten]]/Table134[[#This Row],['#minuten]],2)</f>
        <v>1.24</v>
      </c>
      <c r="V225" s="53">
        <f>ROUND(Table134[[#This Row],['#punten]]/(Table134[[#This Row],['#minuten]]/90),2)</f>
        <v>111.66</v>
      </c>
      <c r="W225" s="53">
        <f>ROUND(Table134[[#This Row],[Prijs]]/Table134[[#This Row],['#punten]],0)</f>
        <v>2732</v>
      </c>
      <c r="X225" s="57">
        <f>ROUND((Table134[[#This Row],[Goals]]+Table134[[#This Row],[Asissts]])/(Table134[[#This Row],['#minuten]]/90),2)</f>
        <v>0.38</v>
      </c>
    </row>
    <row r="226" spans="1:25" x14ac:dyDescent="0.2">
      <c r="A226" s="6" t="s">
        <v>279</v>
      </c>
      <c r="B226" s="28" t="s">
        <v>11</v>
      </c>
      <c r="C226" s="29">
        <v>4000000</v>
      </c>
      <c r="D226" s="30" t="s">
        <v>203</v>
      </c>
      <c r="E226" s="30">
        <v>26</v>
      </c>
      <c r="F226" s="30" t="s">
        <v>160</v>
      </c>
      <c r="G226" s="47">
        <v>1458</v>
      </c>
      <c r="H226" s="48">
        <v>402</v>
      </c>
      <c r="I226" s="45">
        <f>ROUND(Table134[[#This Row],[laatste 5 wed.]]/Table134[[#This Row],['#punten]]*100,1)</f>
        <v>27.6</v>
      </c>
      <c r="J226" s="30">
        <v>18</v>
      </c>
      <c r="K226" s="30">
        <v>17</v>
      </c>
      <c r="L226" s="30">
        <v>1541</v>
      </c>
      <c r="M226" s="30">
        <v>445</v>
      </c>
      <c r="N226" s="23">
        <f>ROUND(Table134[[#This Row],[Min laatste 5]]/Table134[[#This Row],['#minuten]]*100,1)</f>
        <v>28.9</v>
      </c>
      <c r="O226" s="30">
        <v>1</v>
      </c>
      <c r="P226" s="30">
        <v>1</v>
      </c>
      <c r="Q226" s="48">
        <v>2</v>
      </c>
      <c r="R226" s="30">
        <v>0</v>
      </c>
      <c r="S226" s="30">
        <v>10</v>
      </c>
      <c r="T226" s="49">
        <f>ROUND(Table134[[#This Row],['#punten]]/Table134[[#This Row],['#Wed]],2)</f>
        <v>81</v>
      </c>
      <c r="U226" s="31">
        <f>ROUND(Table134[[#This Row],['#punten]]/Table134[[#This Row],['#minuten]],2)</f>
        <v>0.95</v>
      </c>
      <c r="V226" s="30">
        <f>ROUND(Table134[[#This Row],['#punten]]/(Table134[[#This Row],['#minuten]]/90),2)</f>
        <v>85.15</v>
      </c>
      <c r="W226" s="30">
        <f>ROUND(Table134[[#This Row],[Prijs]]/Table134[[#This Row],['#punten]],0)</f>
        <v>2743</v>
      </c>
      <c r="X226" s="34">
        <f>ROUND((Table134[[#This Row],[Goals]]+Table134[[#This Row],[Asissts]])/(Table134[[#This Row],['#minuten]]/90),2)</f>
        <v>0.12</v>
      </c>
      <c r="Y226" s="38"/>
    </row>
    <row r="227" spans="1:25" x14ac:dyDescent="0.2">
      <c r="A227" s="6" t="s">
        <v>280</v>
      </c>
      <c r="B227" s="28" t="s">
        <v>11</v>
      </c>
      <c r="C227" s="29">
        <v>4000000</v>
      </c>
      <c r="D227" s="30" t="s">
        <v>203</v>
      </c>
      <c r="E227" s="30">
        <v>24</v>
      </c>
      <c r="F227" s="30" t="s">
        <v>141</v>
      </c>
      <c r="G227" s="47">
        <v>1224</v>
      </c>
      <c r="H227" s="48">
        <v>300</v>
      </c>
      <c r="I227" s="45">
        <f>ROUND(Table134[[#This Row],[laatste 5 wed.]]/Table134[[#This Row],['#punten]]*100,1)</f>
        <v>24.5</v>
      </c>
      <c r="J227" s="30">
        <v>16</v>
      </c>
      <c r="K227" s="30">
        <v>15</v>
      </c>
      <c r="L227" s="30">
        <v>1288</v>
      </c>
      <c r="M227" s="30">
        <v>354</v>
      </c>
      <c r="N227" s="23">
        <f>ROUND(Table134[[#This Row],[Min laatste 5]]/Table134[[#This Row],['#minuten]]*100,1)</f>
        <v>27.5</v>
      </c>
      <c r="O227" s="30">
        <v>0</v>
      </c>
      <c r="P227" s="30">
        <v>3</v>
      </c>
      <c r="Q227" s="48">
        <v>1</v>
      </c>
      <c r="R227" s="30">
        <v>0</v>
      </c>
      <c r="S227" s="30">
        <v>8</v>
      </c>
      <c r="T227" s="49">
        <f>ROUND(Table134[[#This Row],['#punten]]/Table134[[#This Row],['#Wed]],2)</f>
        <v>76.5</v>
      </c>
      <c r="U227" s="31">
        <f>ROUND(Table134[[#This Row],['#punten]]/Table134[[#This Row],['#minuten]],2)</f>
        <v>0.95</v>
      </c>
      <c r="V227" s="30">
        <f>ROUND(Table134[[#This Row],['#punten]]/(Table134[[#This Row],['#minuten]]/90),2)</f>
        <v>85.53</v>
      </c>
      <c r="W227" s="30">
        <f>ROUND(Table134[[#This Row],[Prijs]]/Table134[[#This Row],['#punten]],0)</f>
        <v>3268</v>
      </c>
      <c r="X227" s="34">
        <f>ROUND((Table134[[#This Row],[Goals]]+Table134[[#This Row],[Asissts]])/(Table134[[#This Row],['#minuten]]/90),2)</f>
        <v>0.21</v>
      </c>
      <c r="Y227" s="38"/>
    </row>
    <row r="228" spans="1:25" x14ac:dyDescent="0.2">
      <c r="A228" s="6" t="s">
        <v>282</v>
      </c>
      <c r="B228" s="51" t="s">
        <v>11</v>
      </c>
      <c r="C228" s="52">
        <v>3000000</v>
      </c>
      <c r="D228" s="53" t="s">
        <v>203</v>
      </c>
      <c r="E228" s="53">
        <v>33</v>
      </c>
      <c r="F228" s="53" t="s">
        <v>141</v>
      </c>
      <c r="G228" s="92">
        <v>876</v>
      </c>
      <c r="H228" s="85">
        <v>102</v>
      </c>
      <c r="I228" s="45">
        <f>ROUND(Table134[[#This Row],[laatste 5 wed.]]/Table134[[#This Row],['#punten]]*100,1)</f>
        <v>11.6</v>
      </c>
      <c r="J228" s="53">
        <v>15</v>
      </c>
      <c r="K228" s="53">
        <v>9</v>
      </c>
      <c r="L228" s="53">
        <v>942</v>
      </c>
      <c r="M228" s="53">
        <v>139</v>
      </c>
      <c r="N228" s="23">
        <f>ROUND(Table134[[#This Row],[Min laatste 5]]/Table134[[#This Row],['#minuten]]*100,1)</f>
        <v>14.8</v>
      </c>
      <c r="O228" s="53">
        <v>0</v>
      </c>
      <c r="P228" s="53">
        <v>1</v>
      </c>
      <c r="Q228" s="85">
        <v>0</v>
      </c>
      <c r="R228" s="53">
        <v>0</v>
      </c>
      <c r="S228" s="53">
        <v>6</v>
      </c>
      <c r="T228" s="94">
        <f>ROUND(Table134[[#This Row],['#punten]]/Table134[[#This Row],['#Wed]],2)</f>
        <v>58.4</v>
      </c>
      <c r="U228" s="54">
        <f>ROUND(Table134[[#This Row],['#punten]]/Table134[[#This Row],['#minuten]],2)</f>
        <v>0.93</v>
      </c>
      <c r="V228" s="53">
        <f>ROUND(Table134[[#This Row],['#punten]]/(Table134[[#This Row],['#minuten]]/90),2)</f>
        <v>83.69</v>
      </c>
      <c r="W228" s="53">
        <f>ROUND(Table134[[#This Row],[Prijs]]/Table134[[#This Row],['#punten]],0)</f>
        <v>3425</v>
      </c>
      <c r="X228" s="57">
        <f>ROUND((Table134[[#This Row],[Goals]]+Table134[[#This Row],[Asissts]])/(Table134[[#This Row],['#minuten]]/90),2)</f>
        <v>0.1</v>
      </c>
    </row>
    <row r="229" spans="1:25" x14ac:dyDescent="0.2">
      <c r="A229" s="6" t="s">
        <v>521</v>
      </c>
      <c r="B229" s="28" t="s">
        <v>40</v>
      </c>
      <c r="C229" s="29">
        <v>1500000</v>
      </c>
      <c r="D229" s="30" t="s">
        <v>203</v>
      </c>
      <c r="E229" s="30">
        <v>36</v>
      </c>
      <c r="F229" s="30" t="s">
        <v>141</v>
      </c>
      <c r="G229" s="47">
        <v>630</v>
      </c>
      <c r="H229" s="48">
        <v>96</v>
      </c>
      <c r="I229" s="45">
        <f>ROUND(Table134[[#This Row],[laatste 5 wed.]]/Table134[[#This Row],['#punten]]*100,1)</f>
        <v>15.2</v>
      </c>
      <c r="J229" s="30">
        <v>17</v>
      </c>
      <c r="K229" s="30">
        <v>16</v>
      </c>
      <c r="L229" s="30">
        <v>1436</v>
      </c>
      <c r="M229" s="30">
        <v>422</v>
      </c>
      <c r="N229" s="23">
        <f>ROUND(Table134[[#This Row],[Min laatste 5]]/Table134[[#This Row],['#minuten]]*100,1)</f>
        <v>29.4</v>
      </c>
      <c r="O229" s="30">
        <v>0</v>
      </c>
      <c r="P229" s="30">
        <v>4</v>
      </c>
      <c r="Q229" s="48">
        <v>5</v>
      </c>
      <c r="R229" s="30">
        <v>0</v>
      </c>
      <c r="S229" s="30">
        <v>2</v>
      </c>
      <c r="T229" s="49">
        <f>ROUND(Table134[[#This Row],['#punten]]/Table134[[#This Row],['#Wed]],2)</f>
        <v>37.06</v>
      </c>
      <c r="U229" s="31">
        <f>ROUND(Table134[[#This Row],['#punten]]/Table134[[#This Row],['#minuten]],2)</f>
        <v>0.44</v>
      </c>
      <c r="V229" s="30">
        <f>ROUND(Table134[[#This Row],['#punten]]/(Table134[[#This Row],['#minuten]]/90),2)</f>
        <v>39.479999999999997</v>
      </c>
      <c r="W229" s="30">
        <f>ROUND(Table134[[#This Row],[Prijs]]/Table134[[#This Row],['#punten]],0)</f>
        <v>2381</v>
      </c>
      <c r="X229" s="34">
        <f>ROUND((Table134[[#This Row],[Goals]]+Table134[[#This Row],[Asissts]])/(Table134[[#This Row],['#minuten]]/90),2)</f>
        <v>0.25</v>
      </c>
      <c r="Y229" s="38"/>
    </row>
    <row r="230" spans="1:25" x14ac:dyDescent="0.2">
      <c r="A230" s="6" t="s">
        <v>288</v>
      </c>
      <c r="B230" s="51" t="s">
        <v>40</v>
      </c>
      <c r="C230" s="52">
        <v>1500000</v>
      </c>
      <c r="D230" s="53" t="s">
        <v>203</v>
      </c>
      <c r="E230" s="53">
        <v>26</v>
      </c>
      <c r="F230" s="53" t="s">
        <v>141</v>
      </c>
      <c r="G230" s="92">
        <v>618</v>
      </c>
      <c r="H230" s="85">
        <v>60</v>
      </c>
      <c r="I230" s="45">
        <f>ROUND(Table134[[#This Row],[laatste 5 wed.]]/Table134[[#This Row],['#punten]]*100,1)</f>
        <v>9.6999999999999993</v>
      </c>
      <c r="J230" s="53">
        <v>19</v>
      </c>
      <c r="K230" s="53">
        <v>18</v>
      </c>
      <c r="L230" s="53">
        <v>1512</v>
      </c>
      <c r="M230" s="53">
        <v>308</v>
      </c>
      <c r="N230" s="23">
        <f>ROUND(Table134[[#This Row],[Min laatste 5]]/Table134[[#This Row],['#minuten]]*100,1)</f>
        <v>20.399999999999999</v>
      </c>
      <c r="O230" s="53">
        <v>0</v>
      </c>
      <c r="P230" s="53">
        <v>2</v>
      </c>
      <c r="Q230" s="85">
        <v>1</v>
      </c>
      <c r="R230" s="53">
        <v>0</v>
      </c>
      <c r="S230" s="53">
        <v>2</v>
      </c>
      <c r="T230" s="94">
        <f>ROUND(Table134[[#This Row],['#punten]]/Table134[[#This Row],['#Wed]],2)</f>
        <v>32.53</v>
      </c>
      <c r="U230" s="54">
        <f>ROUND(Table134[[#This Row],['#punten]]/Table134[[#This Row],['#minuten]],2)</f>
        <v>0.41</v>
      </c>
      <c r="V230" s="53">
        <f>ROUND(Table134[[#This Row],['#punten]]/(Table134[[#This Row],['#minuten]]/90),2)</f>
        <v>36.79</v>
      </c>
      <c r="W230" s="53">
        <f>ROUND(Table134[[#This Row],[Prijs]]/Table134[[#This Row],['#punten]],0)</f>
        <v>2427</v>
      </c>
      <c r="X230" s="57">
        <f>ROUND((Table134[[#This Row],[Goals]]+Table134[[#This Row],[Asissts]])/(Table134[[#This Row],['#minuten]]/90),2)</f>
        <v>0.12</v>
      </c>
    </row>
    <row r="231" spans="1:25" x14ac:dyDescent="0.2">
      <c r="A231" s="6" t="s">
        <v>286</v>
      </c>
      <c r="B231" s="28" t="s">
        <v>40</v>
      </c>
      <c r="C231" s="29">
        <v>1250000</v>
      </c>
      <c r="D231" s="30" t="s">
        <v>203</v>
      </c>
      <c r="E231" s="30">
        <v>27</v>
      </c>
      <c r="F231" s="30" t="s">
        <v>167</v>
      </c>
      <c r="G231" s="47">
        <v>466</v>
      </c>
      <c r="H231" s="48">
        <v>72</v>
      </c>
      <c r="I231" s="45">
        <f>ROUND(Table134[[#This Row],[laatste 5 wed.]]/Table134[[#This Row],['#punten]]*100,1)</f>
        <v>15.5</v>
      </c>
      <c r="J231" s="30">
        <v>16</v>
      </c>
      <c r="K231" s="30">
        <v>16</v>
      </c>
      <c r="L231" s="30">
        <v>1412</v>
      </c>
      <c r="M231" s="30">
        <v>448</v>
      </c>
      <c r="N231" s="23">
        <f>ROUND(Table134[[#This Row],[Min laatste 5]]/Table134[[#This Row],['#minuten]]*100,1)</f>
        <v>31.7</v>
      </c>
      <c r="O231" s="30">
        <v>0</v>
      </c>
      <c r="P231" s="30">
        <v>0</v>
      </c>
      <c r="Q231" s="48">
        <v>3</v>
      </c>
      <c r="R231" s="30">
        <v>0</v>
      </c>
      <c r="S231" s="30">
        <v>2</v>
      </c>
      <c r="T231" s="49">
        <f>ROUND(Table134[[#This Row],['#punten]]/Table134[[#This Row],['#Wed]],2)</f>
        <v>29.13</v>
      </c>
      <c r="U231" s="31">
        <f>ROUND(Table134[[#This Row],['#punten]]/Table134[[#This Row],['#minuten]],2)</f>
        <v>0.33</v>
      </c>
      <c r="V231" s="30">
        <f>ROUND(Table134[[#This Row],['#punten]]/(Table134[[#This Row],['#minuten]]/90),2)</f>
        <v>29.7</v>
      </c>
      <c r="W231" s="30">
        <f>ROUND(Table134[[#This Row],[Prijs]]/Table134[[#This Row],['#punten]],0)</f>
        <v>2682</v>
      </c>
      <c r="X231" s="34">
        <f>ROUND((Table134[[#This Row],[Goals]]+Table134[[#This Row],[Asissts]])/(Table134[[#This Row],['#minuten]]/90),2)</f>
        <v>0</v>
      </c>
    </row>
    <row r="232" spans="1:25" x14ac:dyDescent="0.2">
      <c r="A232" s="6" t="s">
        <v>522</v>
      </c>
      <c r="B232" s="28" t="s">
        <v>40</v>
      </c>
      <c r="C232" s="29">
        <v>1250000</v>
      </c>
      <c r="D232" s="30" t="s">
        <v>203</v>
      </c>
      <c r="E232" s="30">
        <v>23</v>
      </c>
      <c r="F232" s="30" t="s">
        <v>167</v>
      </c>
      <c r="G232" s="47">
        <v>462</v>
      </c>
      <c r="H232" s="48">
        <v>96</v>
      </c>
      <c r="I232" s="45">
        <f>ROUND(Table134[[#This Row],[laatste 5 wed.]]/Table134[[#This Row],['#punten]]*100,1)</f>
        <v>20.8</v>
      </c>
      <c r="J232" s="30">
        <v>16</v>
      </c>
      <c r="K232" s="30">
        <v>14</v>
      </c>
      <c r="L232" s="30">
        <v>1267</v>
      </c>
      <c r="M232" s="30">
        <v>450</v>
      </c>
      <c r="N232" s="23">
        <f>ROUND(Table134[[#This Row],[Min laatste 5]]/Table134[[#This Row],['#minuten]]*100,1)</f>
        <v>35.5</v>
      </c>
      <c r="O232" s="30">
        <v>0</v>
      </c>
      <c r="P232" s="30">
        <v>0</v>
      </c>
      <c r="Q232" s="48">
        <v>1</v>
      </c>
      <c r="R232" s="30">
        <v>1</v>
      </c>
      <c r="S232" s="30">
        <v>2</v>
      </c>
      <c r="T232" s="49">
        <f>ROUND(Table134[[#This Row],['#punten]]/Table134[[#This Row],['#Wed]],2)</f>
        <v>28.88</v>
      </c>
      <c r="U232" s="31">
        <f>ROUND(Table134[[#This Row],['#punten]]/Table134[[#This Row],['#minuten]],2)</f>
        <v>0.36</v>
      </c>
      <c r="V232" s="30">
        <f>ROUND(Table134[[#This Row],['#punten]]/(Table134[[#This Row],['#minuten]]/90),2)</f>
        <v>32.82</v>
      </c>
      <c r="W232" s="30">
        <f>ROUND(Table134[[#This Row],[Prijs]]/Table134[[#This Row],['#punten]],0)</f>
        <v>2706</v>
      </c>
      <c r="X232" s="34">
        <f>ROUND((Table134[[#This Row],[Goals]]+Table134[[#This Row],[Asissts]])/(Table134[[#This Row],['#minuten]]/90),2)</f>
        <v>0</v>
      </c>
      <c r="Y232" s="38"/>
    </row>
    <row r="233" spans="1:25" x14ac:dyDescent="0.2">
      <c r="A233" s="6" t="s">
        <v>284</v>
      </c>
      <c r="B233" s="51" t="s">
        <v>40</v>
      </c>
      <c r="C233" s="52">
        <v>750000</v>
      </c>
      <c r="D233" s="53" t="s">
        <v>203</v>
      </c>
      <c r="E233" s="53">
        <v>30</v>
      </c>
      <c r="F233" s="53" t="s">
        <v>285</v>
      </c>
      <c r="G233" s="92">
        <v>144</v>
      </c>
      <c r="H233" s="85">
        <v>18</v>
      </c>
      <c r="I233" s="45">
        <f>ROUND(Table134[[#This Row],[laatste 5 wed.]]/Table134[[#This Row],['#punten]]*100,1)</f>
        <v>12.5</v>
      </c>
      <c r="J233" s="53">
        <v>15</v>
      </c>
      <c r="K233" s="53">
        <v>9</v>
      </c>
      <c r="L233" s="53">
        <v>875</v>
      </c>
      <c r="M233" s="53">
        <v>215</v>
      </c>
      <c r="N233" s="23">
        <f>ROUND(Table134[[#This Row],[Min laatste 5]]/Table134[[#This Row],['#minuten]]*100,1)</f>
        <v>24.6</v>
      </c>
      <c r="O233" s="53">
        <v>0</v>
      </c>
      <c r="P233" s="53">
        <v>0</v>
      </c>
      <c r="Q233" s="85">
        <v>2</v>
      </c>
      <c r="R233" s="53">
        <v>0</v>
      </c>
      <c r="S233" s="53">
        <v>0</v>
      </c>
      <c r="T233" s="94">
        <f>ROUND(Table134[[#This Row],['#punten]]/Table134[[#This Row],['#Wed]],2)</f>
        <v>9.6</v>
      </c>
      <c r="U233" s="92">
        <f>ROUND(Table134[[#This Row],['#punten]]/Table134[[#This Row],['#minuten]],2)</f>
        <v>0.16</v>
      </c>
      <c r="V233" s="53">
        <f>ROUND(Table134[[#This Row],['#punten]]/(Table134[[#This Row],['#minuten]]/90),2)</f>
        <v>14.81</v>
      </c>
      <c r="W233" s="53">
        <f>ROUND(Table134[[#This Row],[Prijs]]/Table134[[#This Row],['#punten]],0)</f>
        <v>5208</v>
      </c>
      <c r="X233" s="57">
        <f>ROUND((Table134[[#This Row],[Goals]]+Table134[[#This Row],[Asissts]])/(Table134[[#This Row],['#minuten]]/90),2)</f>
        <v>0</v>
      </c>
      <c r="Y233" s="38"/>
    </row>
    <row r="234" spans="1:25" x14ac:dyDescent="0.2">
      <c r="A234" s="6" t="s">
        <v>119</v>
      </c>
      <c r="B234" s="28" t="s">
        <v>47</v>
      </c>
      <c r="C234" s="29">
        <v>1750000</v>
      </c>
      <c r="D234" s="30" t="s">
        <v>203</v>
      </c>
      <c r="E234" s="30">
        <v>32</v>
      </c>
      <c r="F234" s="30" t="s">
        <v>141</v>
      </c>
      <c r="G234" s="47">
        <v>822</v>
      </c>
      <c r="H234" s="48">
        <v>54</v>
      </c>
      <c r="I234" s="45">
        <f>ROUND(Table134[[#This Row],[laatste 5 wed.]]/Table134[[#This Row],['#punten]]*100,1)</f>
        <v>6.6</v>
      </c>
      <c r="J234" s="30">
        <v>15</v>
      </c>
      <c r="K234" s="30">
        <v>15</v>
      </c>
      <c r="L234" s="30">
        <v>1350</v>
      </c>
      <c r="M234" s="30">
        <v>180</v>
      </c>
      <c r="N234" s="23">
        <f>ROUND(Table134[[#This Row],[Min laatste 5]]/Table134[[#This Row],['#minuten]]*100,1)</f>
        <v>13.3</v>
      </c>
      <c r="O234" s="30">
        <v>2</v>
      </c>
      <c r="P234" s="30">
        <v>1</v>
      </c>
      <c r="Q234" s="48">
        <v>1</v>
      </c>
      <c r="R234" s="30">
        <v>0</v>
      </c>
      <c r="S234" s="30">
        <v>3</v>
      </c>
      <c r="T234" s="49">
        <f>ROUND(Table134[[#This Row],['#punten]]/Table134[[#This Row],['#Wed]],2)</f>
        <v>54.8</v>
      </c>
      <c r="U234" s="31">
        <f>ROUND(Table134[[#This Row],['#punten]]/Table134[[#This Row],['#minuten]],2)</f>
        <v>0.61</v>
      </c>
      <c r="V234" s="30">
        <f>ROUND(Table134[[#This Row],['#punten]]/(Table134[[#This Row],['#minuten]]/90),2)</f>
        <v>54.8</v>
      </c>
      <c r="W234" s="30">
        <f>ROUND(Table134[[#This Row],[Prijs]]/Table134[[#This Row],['#punten]],0)</f>
        <v>2129</v>
      </c>
      <c r="X234" s="34">
        <f>ROUND((Table134[[#This Row],[Goals]]+Table134[[#This Row],[Asissts]])/(Table134[[#This Row],['#minuten]]/90),2)</f>
        <v>0.2</v>
      </c>
      <c r="Y234" s="38"/>
    </row>
    <row r="235" spans="1:25" x14ac:dyDescent="0.2">
      <c r="A235" s="6" t="s">
        <v>307</v>
      </c>
      <c r="B235" s="51" t="s">
        <v>47</v>
      </c>
      <c r="C235" s="52">
        <v>1500000</v>
      </c>
      <c r="D235" s="53" t="s">
        <v>203</v>
      </c>
      <c r="E235" s="53">
        <v>21</v>
      </c>
      <c r="F235" s="53" t="s">
        <v>141</v>
      </c>
      <c r="G235" s="92">
        <v>750</v>
      </c>
      <c r="H235" s="85">
        <v>120</v>
      </c>
      <c r="I235" s="45">
        <f>ROUND(Table134[[#This Row],[laatste 5 wed.]]/Table134[[#This Row],['#punten]]*100,1)</f>
        <v>16</v>
      </c>
      <c r="J235" s="53">
        <v>18</v>
      </c>
      <c r="K235" s="53">
        <v>18</v>
      </c>
      <c r="L235" s="53">
        <v>1620</v>
      </c>
      <c r="M235" s="53">
        <v>360</v>
      </c>
      <c r="N235" s="23">
        <f>ROUND(Table134[[#This Row],[Min laatste 5]]/Table134[[#This Row],['#minuten]]*100,1)</f>
        <v>22.2</v>
      </c>
      <c r="O235" s="53">
        <v>0</v>
      </c>
      <c r="P235" s="53">
        <v>0</v>
      </c>
      <c r="Q235" s="85">
        <v>2</v>
      </c>
      <c r="R235" s="53">
        <v>0</v>
      </c>
      <c r="S235" s="53">
        <v>5</v>
      </c>
      <c r="T235" s="94">
        <f>ROUND(Table134[[#This Row],['#punten]]/Table134[[#This Row],['#Wed]],2)</f>
        <v>41.67</v>
      </c>
      <c r="U235" s="54">
        <f>ROUND(Table134[[#This Row],['#punten]]/Table134[[#This Row],['#minuten]],2)</f>
        <v>0.46</v>
      </c>
      <c r="V235" s="53">
        <f>ROUND(Table134[[#This Row],['#punten]]/(Table134[[#This Row],['#minuten]]/90),2)</f>
        <v>41.67</v>
      </c>
      <c r="W235" s="53">
        <f>ROUND(Table134[[#This Row],[Prijs]]/Table134[[#This Row],['#punten]],0)</f>
        <v>2000</v>
      </c>
      <c r="X235" s="57">
        <f>ROUND((Table134[[#This Row],[Goals]]+Table134[[#This Row],[Asissts]])/(Table134[[#This Row],['#minuten]]/90),2)</f>
        <v>0</v>
      </c>
      <c r="Y235" s="38"/>
    </row>
    <row r="236" spans="1:25" x14ac:dyDescent="0.2">
      <c r="A236" s="6" t="s">
        <v>523</v>
      </c>
      <c r="B236" s="28" t="s">
        <v>47</v>
      </c>
      <c r="C236" s="29">
        <v>1750000</v>
      </c>
      <c r="D236" s="30" t="s">
        <v>203</v>
      </c>
      <c r="E236" s="30">
        <v>22</v>
      </c>
      <c r="F236" s="30" t="s">
        <v>141</v>
      </c>
      <c r="G236" s="47">
        <v>720</v>
      </c>
      <c r="H236" s="48">
        <v>162</v>
      </c>
      <c r="I236" s="45">
        <f>ROUND(Table134[[#This Row],[laatste 5 wed.]]/Table134[[#This Row],['#punten]]*100,1)</f>
        <v>22.5</v>
      </c>
      <c r="J236" s="30">
        <v>15</v>
      </c>
      <c r="K236" s="30">
        <v>14</v>
      </c>
      <c r="L236" s="30">
        <v>1297</v>
      </c>
      <c r="M236" s="30">
        <v>442</v>
      </c>
      <c r="N236" s="23">
        <f>ROUND(Table134[[#This Row],[Min laatste 5]]/Table134[[#This Row],['#minuten]]*100,1)</f>
        <v>34.1</v>
      </c>
      <c r="O236" s="30">
        <v>0</v>
      </c>
      <c r="P236" s="30">
        <v>2</v>
      </c>
      <c r="Q236" s="48">
        <v>2</v>
      </c>
      <c r="R236" s="30">
        <v>0</v>
      </c>
      <c r="S236" s="30">
        <v>5</v>
      </c>
      <c r="T236" s="49">
        <f>ROUND(Table134[[#This Row],['#punten]]/Table134[[#This Row],['#Wed]],2)</f>
        <v>48</v>
      </c>
      <c r="U236" s="31">
        <f>ROUND(Table134[[#This Row],['#punten]]/Table134[[#This Row],['#minuten]],2)</f>
        <v>0.56000000000000005</v>
      </c>
      <c r="V236" s="30">
        <f>ROUND(Table134[[#This Row],['#punten]]/(Table134[[#This Row],['#minuten]]/90),2)</f>
        <v>49.96</v>
      </c>
      <c r="W236" s="30">
        <f>ROUND(Table134[[#This Row],[Prijs]]/Table134[[#This Row],['#punten]],0)</f>
        <v>2431</v>
      </c>
      <c r="X236" s="34">
        <f>ROUND((Table134[[#This Row],[Goals]]+Table134[[#This Row],[Asissts]])/(Table134[[#This Row],['#minuten]]/90),2)</f>
        <v>0.14000000000000001</v>
      </c>
      <c r="Y236" s="38"/>
    </row>
    <row r="237" spans="1:25" x14ac:dyDescent="0.2">
      <c r="A237" s="6" t="s">
        <v>305</v>
      </c>
      <c r="B237" s="28" t="s">
        <v>47</v>
      </c>
      <c r="C237" s="29">
        <v>1750000</v>
      </c>
      <c r="D237" s="30" t="s">
        <v>203</v>
      </c>
      <c r="E237" s="30">
        <v>29</v>
      </c>
      <c r="F237" s="30" t="s">
        <v>306</v>
      </c>
      <c r="G237" s="47">
        <v>618</v>
      </c>
      <c r="H237" s="48">
        <v>36</v>
      </c>
      <c r="I237" s="45">
        <f>ROUND(Table134[[#This Row],[laatste 5 wed.]]/Table134[[#This Row],['#punten]]*100,1)</f>
        <v>5.8</v>
      </c>
      <c r="J237" s="30">
        <v>18</v>
      </c>
      <c r="K237" s="30">
        <v>18</v>
      </c>
      <c r="L237" s="30">
        <v>1543</v>
      </c>
      <c r="M237" s="30">
        <v>289</v>
      </c>
      <c r="N237" s="23">
        <f>ROUND(Table134[[#This Row],[Min laatste 5]]/Table134[[#This Row],['#minuten]]*100,1)</f>
        <v>18.7</v>
      </c>
      <c r="O237" s="30">
        <v>0</v>
      </c>
      <c r="P237" s="30">
        <v>0</v>
      </c>
      <c r="Q237" s="48">
        <v>3</v>
      </c>
      <c r="R237" s="30">
        <v>1</v>
      </c>
      <c r="S237" s="30">
        <v>4</v>
      </c>
      <c r="T237" s="49">
        <f>ROUND(Table134[[#This Row],['#punten]]/Table134[[#This Row],['#Wed]],2)</f>
        <v>34.33</v>
      </c>
      <c r="U237" s="31">
        <f>ROUND(Table134[[#This Row],['#punten]]/Table134[[#This Row],['#minuten]],2)</f>
        <v>0.4</v>
      </c>
      <c r="V237" s="30">
        <f>ROUND(Table134[[#This Row],['#punten]]/(Table134[[#This Row],['#minuten]]/90),2)</f>
        <v>36.049999999999997</v>
      </c>
      <c r="W237" s="30">
        <f>ROUND(Table134[[#This Row],[Prijs]]/Table134[[#This Row],['#punten]],0)</f>
        <v>2832</v>
      </c>
      <c r="X237" s="34">
        <f>ROUND((Table134[[#This Row],[Goals]]+Table134[[#This Row],[Asissts]])/(Table134[[#This Row],['#minuten]]/90),2)</f>
        <v>0</v>
      </c>
    </row>
    <row r="238" spans="1:25" x14ac:dyDescent="0.2">
      <c r="A238" s="6" t="s">
        <v>304</v>
      </c>
      <c r="B238" s="51" t="s">
        <v>47</v>
      </c>
      <c r="C238" s="52">
        <v>1250000</v>
      </c>
      <c r="D238" s="53" t="s">
        <v>203</v>
      </c>
      <c r="E238" s="53">
        <v>28</v>
      </c>
      <c r="F238" s="53" t="s">
        <v>141</v>
      </c>
      <c r="G238" s="92">
        <v>318</v>
      </c>
      <c r="H238" s="85">
        <v>162</v>
      </c>
      <c r="I238" s="45">
        <f>ROUND(Table134[[#This Row],[laatste 5 wed.]]/Table134[[#This Row],['#punten]]*100,1)</f>
        <v>50.9</v>
      </c>
      <c r="J238" s="53">
        <v>11</v>
      </c>
      <c r="K238" s="53">
        <v>8</v>
      </c>
      <c r="L238" s="53">
        <v>705</v>
      </c>
      <c r="M238" s="53">
        <v>278</v>
      </c>
      <c r="N238" s="23">
        <f>ROUND(Table134[[#This Row],[Min laatste 5]]/Table134[[#This Row],['#minuten]]*100,1)</f>
        <v>39.4</v>
      </c>
      <c r="O238" s="53">
        <v>0</v>
      </c>
      <c r="P238" s="53">
        <v>0</v>
      </c>
      <c r="Q238" s="85">
        <v>1</v>
      </c>
      <c r="R238" s="53">
        <v>0</v>
      </c>
      <c r="S238" s="53">
        <v>1</v>
      </c>
      <c r="T238" s="94">
        <f>ROUND(Table134[[#This Row],['#punten]]/Table134[[#This Row],['#Wed]],2)</f>
        <v>28.91</v>
      </c>
      <c r="U238" s="92">
        <f>ROUND(Table134[[#This Row],['#punten]]/Table134[[#This Row],['#minuten]],2)</f>
        <v>0.45</v>
      </c>
      <c r="V238" s="53">
        <f>ROUND(Table134[[#This Row],['#punten]]/(Table134[[#This Row],['#minuten]]/90),2)</f>
        <v>40.6</v>
      </c>
      <c r="W238" s="53">
        <f>ROUND(Table134[[#This Row],[Prijs]]/Table134[[#This Row],['#punten]],0)</f>
        <v>3931</v>
      </c>
      <c r="X238" s="57">
        <f>ROUND((Table134[[#This Row],[Goals]]+Table134[[#This Row],[Asissts]])/(Table134[[#This Row],['#minuten]]/90),2)</f>
        <v>0</v>
      </c>
      <c r="Y238" s="38"/>
    </row>
    <row r="239" spans="1:25" x14ac:dyDescent="0.2">
      <c r="A239" s="6" t="s">
        <v>582</v>
      </c>
      <c r="B239" s="51" t="s">
        <v>47</v>
      </c>
      <c r="C239" s="52">
        <v>750000</v>
      </c>
      <c r="D239" s="53" t="s">
        <v>203</v>
      </c>
      <c r="E239" s="53">
        <v>21</v>
      </c>
      <c r="F239" s="53" t="s">
        <v>141</v>
      </c>
      <c r="G239" s="92">
        <v>234</v>
      </c>
      <c r="H239" s="85">
        <v>132</v>
      </c>
      <c r="I239" s="45">
        <f>ROUND(Table134[[#This Row],[laatste 5 wed.]]/Table134[[#This Row],['#punten]]*100,1)</f>
        <v>56.4</v>
      </c>
      <c r="J239" s="53">
        <v>6</v>
      </c>
      <c r="K239" s="53">
        <v>4</v>
      </c>
      <c r="L239" s="53">
        <v>374</v>
      </c>
      <c r="M239" s="53">
        <v>262</v>
      </c>
      <c r="N239" s="23">
        <f>ROUND(Table134[[#This Row],[Min laatste 5]]/Table134[[#This Row],['#minuten]]*100,1)</f>
        <v>70.099999999999994</v>
      </c>
      <c r="O239" s="53">
        <v>0</v>
      </c>
      <c r="P239" s="53">
        <v>0</v>
      </c>
      <c r="Q239" s="85">
        <v>0</v>
      </c>
      <c r="R239" s="53">
        <v>0</v>
      </c>
      <c r="S239" s="53">
        <v>2</v>
      </c>
      <c r="T239" s="94">
        <f>ROUND(Table134[[#This Row],['#punten]]/Table134[[#This Row],['#Wed]],2)</f>
        <v>39</v>
      </c>
      <c r="U239" s="92">
        <f>ROUND(Table134[[#This Row],['#punten]]/Table134[[#This Row],['#minuten]],2)</f>
        <v>0.63</v>
      </c>
      <c r="V239" s="53">
        <f>ROUND(Table134[[#This Row],['#punten]]/(Table134[[#This Row],['#minuten]]/90),2)</f>
        <v>56.31</v>
      </c>
      <c r="W239" s="53">
        <f>ROUND(Table134[[#This Row],[Prijs]]/Table134[[#This Row],['#punten]],0)</f>
        <v>3205</v>
      </c>
      <c r="X239" s="57">
        <f>ROUND((Table134[[#This Row],[Goals]]+Table134[[#This Row],[Asissts]])/(Table134[[#This Row],['#minuten]]/90),2)</f>
        <v>0</v>
      </c>
      <c r="Y239" s="38"/>
    </row>
    <row r="240" spans="1:25" x14ac:dyDescent="0.2">
      <c r="A240" s="6" t="s">
        <v>623</v>
      </c>
      <c r="B240" s="51" t="s">
        <v>47</v>
      </c>
      <c r="C240" s="52">
        <v>1250000</v>
      </c>
      <c r="D240" s="53" t="s">
        <v>203</v>
      </c>
      <c r="E240" s="53">
        <v>23</v>
      </c>
      <c r="F240" s="53" t="s">
        <v>141</v>
      </c>
      <c r="G240" s="92">
        <v>42</v>
      </c>
      <c r="H240" s="85">
        <v>42</v>
      </c>
      <c r="I240" s="45">
        <f>ROUND(Table134[[#This Row],[laatste 5 wed.]]/Table134[[#This Row],['#punten]]*100,1)</f>
        <v>100</v>
      </c>
      <c r="J240" s="53">
        <v>4</v>
      </c>
      <c r="K240" s="53">
        <v>1</v>
      </c>
      <c r="L240" s="53">
        <v>109</v>
      </c>
      <c r="M240" s="53">
        <v>109</v>
      </c>
      <c r="N240" s="23">
        <f>ROUND(Table134[[#This Row],[Min laatste 5]]/Table134[[#This Row],['#minuten]]*100,1)</f>
        <v>100</v>
      </c>
      <c r="O240" s="53">
        <v>0</v>
      </c>
      <c r="P240" s="53">
        <v>0</v>
      </c>
      <c r="Q240" s="85">
        <v>0</v>
      </c>
      <c r="R240" s="53">
        <v>0</v>
      </c>
      <c r="S240" s="53">
        <v>0</v>
      </c>
      <c r="T240" s="94">
        <f>ROUND(Table134[[#This Row],['#punten]]/Table134[[#This Row],['#Wed]],2)</f>
        <v>10.5</v>
      </c>
      <c r="U240" s="92">
        <f>ROUND(Table134[[#This Row],['#punten]]/Table134[[#This Row],['#minuten]],2)</f>
        <v>0.39</v>
      </c>
      <c r="V240" s="53">
        <f>ROUND(Table134[[#This Row],['#punten]]/(Table134[[#This Row],['#minuten]]/90),2)</f>
        <v>34.68</v>
      </c>
      <c r="W240" s="53">
        <f>ROUND(Table134[[#This Row],[Prijs]]/Table134[[#This Row],['#punten]],0)</f>
        <v>29762</v>
      </c>
      <c r="X240" s="57">
        <f>ROUND((Table134[[#This Row],[Goals]]+Table134[[#This Row],[Asissts]])/(Table134[[#This Row],['#minuten]]/90),2)</f>
        <v>0</v>
      </c>
      <c r="Y240" s="38"/>
    </row>
    <row r="241" spans="1:26" x14ac:dyDescent="0.2">
      <c r="A241" s="6" t="s">
        <v>377</v>
      </c>
      <c r="B241" s="28" t="s">
        <v>49</v>
      </c>
      <c r="C241" s="29">
        <v>3000000</v>
      </c>
      <c r="D241" s="30" t="s">
        <v>203</v>
      </c>
      <c r="E241" s="30">
        <v>25</v>
      </c>
      <c r="F241" s="30" t="s">
        <v>218</v>
      </c>
      <c r="G241" s="47">
        <v>1008</v>
      </c>
      <c r="H241" s="48">
        <v>108</v>
      </c>
      <c r="I241" s="45">
        <f>ROUND(Table134[[#This Row],[laatste 5 wed.]]/Table134[[#This Row],['#punten]]*100,1)</f>
        <v>10.7</v>
      </c>
      <c r="J241" s="30">
        <v>17</v>
      </c>
      <c r="K241" s="30">
        <v>15</v>
      </c>
      <c r="L241" s="30">
        <v>1317</v>
      </c>
      <c r="M241" s="30">
        <v>182</v>
      </c>
      <c r="N241" s="23">
        <f>ROUND(Table134[[#This Row],[Min laatste 5]]/Table134[[#This Row],['#minuten]]*100,1)</f>
        <v>13.8</v>
      </c>
      <c r="O241" s="30">
        <v>0</v>
      </c>
      <c r="P241" s="30">
        <v>2</v>
      </c>
      <c r="Q241" s="48">
        <v>0</v>
      </c>
      <c r="R241" s="30">
        <v>0</v>
      </c>
      <c r="S241" s="30">
        <v>5</v>
      </c>
      <c r="T241" s="49">
        <f>ROUND(Table134[[#This Row],['#punten]]/Table134[[#This Row],['#Wed]],2)</f>
        <v>59.29</v>
      </c>
      <c r="U241" s="31">
        <f>ROUND(Table134[[#This Row],['#punten]]/Table134[[#This Row],['#minuten]],2)</f>
        <v>0.77</v>
      </c>
      <c r="V241" s="30">
        <f>ROUND(Table134[[#This Row],['#punten]]/(Table134[[#This Row],['#minuten]]/90),2)</f>
        <v>68.88</v>
      </c>
      <c r="W241" s="30">
        <f>ROUND(Table134[[#This Row],[Prijs]]/Table134[[#This Row],['#punten]],0)</f>
        <v>2976</v>
      </c>
      <c r="X241" s="34">
        <f>ROUND((Table134[[#This Row],[Goals]]+Table134[[#This Row],[Asissts]])/(Table134[[#This Row],['#minuten]]/90),2)</f>
        <v>0.14000000000000001</v>
      </c>
      <c r="Y241" s="38"/>
    </row>
    <row r="242" spans="1:26" x14ac:dyDescent="0.2">
      <c r="A242" s="6" t="s">
        <v>309</v>
      </c>
      <c r="B242" s="51" t="s">
        <v>49</v>
      </c>
      <c r="C242" s="52">
        <v>2500000</v>
      </c>
      <c r="D242" s="53" t="s">
        <v>203</v>
      </c>
      <c r="E242" s="53">
        <v>29</v>
      </c>
      <c r="F242" s="53" t="s">
        <v>141</v>
      </c>
      <c r="G242" s="92">
        <v>880</v>
      </c>
      <c r="H242" s="85">
        <v>126</v>
      </c>
      <c r="I242" s="45">
        <f>ROUND(Table134[[#This Row],[laatste 5 wed.]]/Table134[[#This Row],['#punten]]*100,1)</f>
        <v>14.3</v>
      </c>
      <c r="J242" s="53">
        <v>18</v>
      </c>
      <c r="K242" s="53">
        <v>18</v>
      </c>
      <c r="L242" s="53">
        <v>1451</v>
      </c>
      <c r="M242" s="53">
        <v>289</v>
      </c>
      <c r="N242" s="23">
        <f>ROUND(Table134[[#This Row],[Min laatste 5]]/Table134[[#This Row],['#minuten]]*100,1)</f>
        <v>19.899999999999999</v>
      </c>
      <c r="O242" s="53">
        <v>1</v>
      </c>
      <c r="P242" s="53">
        <v>0</v>
      </c>
      <c r="Q242" s="85">
        <v>5</v>
      </c>
      <c r="R242" s="53">
        <v>0</v>
      </c>
      <c r="S242" s="53">
        <v>5</v>
      </c>
      <c r="T242" s="94">
        <f>ROUND(Table134[[#This Row],['#punten]]/Table134[[#This Row],['#Wed]],2)</f>
        <v>48.89</v>
      </c>
      <c r="U242" s="54">
        <f>ROUND(Table134[[#This Row],['#punten]]/Table134[[#This Row],['#minuten]],2)</f>
        <v>0.61</v>
      </c>
      <c r="V242" s="53">
        <f>ROUND(Table134[[#This Row],['#punten]]/(Table134[[#This Row],['#minuten]]/90),2)</f>
        <v>54.58</v>
      </c>
      <c r="W242" s="53">
        <f>ROUND(Table134[[#This Row],[Prijs]]/Table134[[#This Row],['#punten]],0)</f>
        <v>2841</v>
      </c>
      <c r="X242" s="57">
        <f>ROUND((Table134[[#This Row],[Goals]]+Table134[[#This Row],[Asissts]])/(Table134[[#This Row],['#minuten]]/90),2)</f>
        <v>0.06</v>
      </c>
    </row>
    <row r="243" spans="1:26" x14ac:dyDescent="0.2">
      <c r="A243" s="6" t="s">
        <v>310</v>
      </c>
      <c r="B243" s="51" t="s">
        <v>49</v>
      </c>
      <c r="C243" s="52">
        <v>2500000</v>
      </c>
      <c r="D243" s="53" t="s">
        <v>203</v>
      </c>
      <c r="E243" s="53">
        <v>22</v>
      </c>
      <c r="F243" s="53" t="s">
        <v>141</v>
      </c>
      <c r="G243" s="92">
        <v>654</v>
      </c>
      <c r="H243" s="85">
        <v>162</v>
      </c>
      <c r="I243" s="45">
        <f>ROUND(Table134[[#This Row],[laatste 5 wed.]]/Table134[[#This Row],['#punten]]*100,1)</f>
        <v>24.8</v>
      </c>
      <c r="J243" s="53">
        <v>15</v>
      </c>
      <c r="K243" s="53">
        <v>15</v>
      </c>
      <c r="L243" s="53">
        <v>1240</v>
      </c>
      <c r="M243" s="53">
        <v>238</v>
      </c>
      <c r="N243" s="23">
        <f>ROUND(Table134[[#This Row],[Min laatste 5]]/Table134[[#This Row],['#minuten]]*100,1)</f>
        <v>19.2</v>
      </c>
      <c r="O243" s="53">
        <v>0</v>
      </c>
      <c r="P243" s="53">
        <v>0</v>
      </c>
      <c r="Q243" s="85">
        <v>4</v>
      </c>
      <c r="R243" s="53">
        <v>1</v>
      </c>
      <c r="S243" s="53">
        <v>4</v>
      </c>
      <c r="T243" s="94">
        <f>ROUND(Table134[[#This Row],['#punten]]/Table134[[#This Row],['#Wed]],2)</f>
        <v>43.6</v>
      </c>
      <c r="U243" s="54">
        <f>ROUND(Table134[[#This Row],['#punten]]/Table134[[#This Row],['#minuten]],2)</f>
        <v>0.53</v>
      </c>
      <c r="V243" s="53">
        <f>ROUND(Table134[[#This Row],['#punten]]/(Table134[[#This Row],['#minuten]]/90),2)</f>
        <v>47.47</v>
      </c>
      <c r="W243" s="53">
        <f>ROUND(Table134[[#This Row],[Prijs]]/Table134[[#This Row],['#punten]],0)</f>
        <v>3823</v>
      </c>
      <c r="X243" s="57">
        <f>ROUND((Table134[[#This Row],[Goals]]+Table134[[#This Row],[Asissts]])/(Table134[[#This Row],['#minuten]]/90),2)</f>
        <v>0</v>
      </c>
      <c r="Y243" s="38"/>
    </row>
    <row r="244" spans="1:26" x14ac:dyDescent="0.2">
      <c r="A244" s="6" t="s">
        <v>20</v>
      </c>
      <c r="B244" s="28" t="s">
        <v>49</v>
      </c>
      <c r="C244" s="29">
        <v>3000000</v>
      </c>
      <c r="D244" s="30" t="s">
        <v>203</v>
      </c>
      <c r="E244" s="30">
        <v>26</v>
      </c>
      <c r="F244" s="30" t="s">
        <v>141</v>
      </c>
      <c r="G244" s="47">
        <v>384</v>
      </c>
      <c r="H244" s="48">
        <v>204</v>
      </c>
      <c r="I244" s="45">
        <f>ROUND(Table134[[#This Row],[laatste 5 wed.]]/Table134[[#This Row],['#punten]]*100,1)</f>
        <v>53.1</v>
      </c>
      <c r="J244" s="30">
        <v>11</v>
      </c>
      <c r="K244" s="30">
        <v>9</v>
      </c>
      <c r="L244" s="30">
        <v>859</v>
      </c>
      <c r="M244" s="30">
        <v>425</v>
      </c>
      <c r="N244" s="23">
        <f>ROUND(Table134[[#This Row],[Min laatste 5]]/Table134[[#This Row],['#minuten]]*100,1)</f>
        <v>49.5</v>
      </c>
      <c r="O244" s="30">
        <v>0</v>
      </c>
      <c r="P244" s="30">
        <v>0</v>
      </c>
      <c r="Q244" s="48">
        <v>1</v>
      </c>
      <c r="R244" s="30">
        <v>0</v>
      </c>
      <c r="S244" s="30">
        <v>1</v>
      </c>
      <c r="T244" s="49">
        <f>ROUND(Table134[[#This Row],['#punten]]/Table134[[#This Row],['#Wed]],2)</f>
        <v>34.909999999999997</v>
      </c>
      <c r="U244" s="31">
        <f>ROUND(Table134[[#This Row],['#punten]]/Table134[[#This Row],['#minuten]],2)</f>
        <v>0.45</v>
      </c>
      <c r="V244" s="30">
        <f>ROUND(Table134[[#This Row],['#punten]]/(Table134[[#This Row],['#minuten]]/90),2)</f>
        <v>40.229999999999997</v>
      </c>
      <c r="W244" s="30">
        <f>ROUND(Table134[[#This Row],[Prijs]]/Table134[[#This Row],['#punten]],0)</f>
        <v>7813</v>
      </c>
      <c r="X244" s="34">
        <f>ROUND((Table134[[#This Row],[Goals]]+Table134[[#This Row],[Asissts]])/(Table134[[#This Row],['#minuten]]/90),2)</f>
        <v>0</v>
      </c>
      <c r="Y244" s="38"/>
    </row>
    <row r="245" spans="1:26" x14ac:dyDescent="0.2">
      <c r="A245" s="6" t="s">
        <v>125</v>
      </c>
      <c r="B245" s="51" t="s">
        <v>49</v>
      </c>
      <c r="C245" s="52">
        <v>3500000</v>
      </c>
      <c r="D245" s="53" t="s">
        <v>203</v>
      </c>
      <c r="E245" s="53">
        <v>29</v>
      </c>
      <c r="F245" s="53" t="s">
        <v>141</v>
      </c>
      <c r="G245" s="92">
        <v>324</v>
      </c>
      <c r="H245" s="85">
        <v>258</v>
      </c>
      <c r="I245" s="45">
        <f>ROUND(Table134[[#This Row],[laatste 5 wed.]]/Table134[[#This Row],['#punten]]*100,1)</f>
        <v>79.599999999999994</v>
      </c>
      <c r="J245" s="53">
        <v>8</v>
      </c>
      <c r="K245" s="53">
        <v>6</v>
      </c>
      <c r="L245" s="53">
        <v>488</v>
      </c>
      <c r="M245" s="53">
        <v>300</v>
      </c>
      <c r="N245" s="23">
        <f>ROUND(Table134[[#This Row],[Min laatste 5]]/Table134[[#This Row],['#minuten]]*100,1)</f>
        <v>61.5</v>
      </c>
      <c r="O245" s="53">
        <v>0</v>
      </c>
      <c r="P245" s="53">
        <v>1</v>
      </c>
      <c r="Q245" s="85">
        <v>0</v>
      </c>
      <c r="R245" s="53">
        <v>0</v>
      </c>
      <c r="S245" s="53">
        <v>1</v>
      </c>
      <c r="T245" s="94">
        <f>ROUND(Table134[[#This Row],['#punten]]/Table134[[#This Row],['#Wed]],2)</f>
        <v>40.5</v>
      </c>
      <c r="U245" s="54">
        <f>ROUND(Table134[[#This Row],['#punten]]/Table134[[#This Row],['#minuten]],2)</f>
        <v>0.66</v>
      </c>
      <c r="V245" s="53">
        <f>ROUND(Table134[[#This Row],['#punten]]/(Table134[[#This Row],['#minuten]]/90),2)</f>
        <v>59.75</v>
      </c>
      <c r="W245" s="53">
        <f>ROUND(Table134[[#This Row],[Prijs]]/Table134[[#This Row],['#punten]],0)</f>
        <v>10802</v>
      </c>
      <c r="X245" s="57">
        <f>ROUND((Table134[[#This Row],[Goals]]+Table134[[#This Row],[Asissts]])/(Table134[[#This Row],['#minuten]]/90),2)</f>
        <v>0.18</v>
      </c>
      <c r="Y245" s="38"/>
    </row>
    <row r="246" spans="1:26" x14ac:dyDescent="0.2">
      <c r="A246" s="6" t="s">
        <v>382</v>
      </c>
      <c r="B246" s="51" t="s">
        <v>317</v>
      </c>
      <c r="C246" s="52">
        <v>1750000</v>
      </c>
      <c r="D246" s="53" t="s">
        <v>203</v>
      </c>
      <c r="E246" s="53">
        <v>20</v>
      </c>
      <c r="F246" s="53" t="s">
        <v>141</v>
      </c>
      <c r="G246" s="92">
        <v>924</v>
      </c>
      <c r="H246" s="85">
        <v>318</v>
      </c>
      <c r="I246" s="45">
        <f>ROUND(Table134[[#This Row],[laatste 5 wed.]]/Table134[[#This Row],['#punten]]*100,1)</f>
        <v>34.4</v>
      </c>
      <c r="J246" s="53">
        <v>17</v>
      </c>
      <c r="K246" s="53">
        <v>16</v>
      </c>
      <c r="L246" s="53">
        <v>1461</v>
      </c>
      <c r="M246" s="53">
        <v>439</v>
      </c>
      <c r="N246" s="23">
        <f>ROUND(Table134[[#This Row],[Min laatste 5]]/Table134[[#This Row],['#minuten]]*100,1)</f>
        <v>30</v>
      </c>
      <c r="O246" s="53">
        <v>2</v>
      </c>
      <c r="P246" s="53">
        <v>1</v>
      </c>
      <c r="Q246" s="85">
        <v>2</v>
      </c>
      <c r="R246" s="53">
        <v>0</v>
      </c>
      <c r="S246" s="53">
        <v>3</v>
      </c>
      <c r="T246" s="94">
        <f>ROUND(Table134[[#This Row],['#punten]]/Table134[[#This Row],['#Wed]],2)</f>
        <v>54.35</v>
      </c>
      <c r="U246" s="54">
        <f>ROUND(Table134[[#This Row],['#punten]]/Table134[[#This Row],['#minuten]],2)</f>
        <v>0.63</v>
      </c>
      <c r="V246" s="53">
        <f>ROUND(Table134[[#This Row],['#punten]]/(Table134[[#This Row],['#minuten]]/90),2)</f>
        <v>56.92</v>
      </c>
      <c r="W246" s="53">
        <f>ROUND(Table134[[#This Row],[Prijs]]/Table134[[#This Row],['#punten]],0)</f>
        <v>1894</v>
      </c>
      <c r="X246" s="57">
        <f>ROUND((Table134[[#This Row],[Goals]]+Table134[[#This Row],[Asissts]])/(Table134[[#This Row],['#minuten]]/90),2)</f>
        <v>0.18</v>
      </c>
      <c r="Y246" s="38"/>
    </row>
    <row r="247" spans="1:26" x14ac:dyDescent="0.2">
      <c r="A247" s="6" t="s">
        <v>327</v>
      </c>
      <c r="B247" s="51" t="s">
        <v>317</v>
      </c>
      <c r="C247" s="52">
        <v>1750000</v>
      </c>
      <c r="D247" s="53" t="s">
        <v>203</v>
      </c>
      <c r="E247" s="53">
        <v>26</v>
      </c>
      <c r="F247" s="53" t="s">
        <v>141</v>
      </c>
      <c r="G247" s="92">
        <v>612</v>
      </c>
      <c r="H247" s="85">
        <v>318</v>
      </c>
      <c r="I247" s="45">
        <f>ROUND(Table134[[#This Row],[laatste 5 wed.]]/Table134[[#This Row],['#punten]]*100,1)</f>
        <v>52</v>
      </c>
      <c r="J247" s="53">
        <v>16</v>
      </c>
      <c r="K247" s="53">
        <v>15</v>
      </c>
      <c r="L247" s="53">
        <v>1282</v>
      </c>
      <c r="M247" s="53">
        <v>450</v>
      </c>
      <c r="N247" s="23">
        <f>ROUND(Table134[[#This Row],[Min laatste 5]]/Table134[[#This Row],['#minuten]]*100,1)</f>
        <v>35.1</v>
      </c>
      <c r="O247" s="53">
        <v>0</v>
      </c>
      <c r="P247" s="53">
        <v>1</v>
      </c>
      <c r="Q247" s="85">
        <v>0</v>
      </c>
      <c r="R247" s="53">
        <v>0</v>
      </c>
      <c r="S247" s="53">
        <v>2</v>
      </c>
      <c r="T247" s="94">
        <f>ROUND(Table134[[#This Row],['#punten]]/Table134[[#This Row],['#Wed]],2)</f>
        <v>38.25</v>
      </c>
      <c r="U247" s="54">
        <f>ROUND(Table134[[#This Row],['#punten]]/Table134[[#This Row],['#minuten]],2)</f>
        <v>0.48</v>
      </c>
      <c r="V247" s="53">
        <f>ROUND(Table134[[#This Row],['#punten]]/(Table134[[#This Row],['#minuten]]/90),2)</f>
        <v>42.96</v>
      </c>
      <c r="W247" s="53">
        <f>ROUND(Table134[[#This Row],[Prijs]]/Table134[[#This Row],['#punten]],0)</f>
        <v>2859</v>
      </c>
      <c r="X247" s="57">
        <f>ROUND((Table134[[#This Row],[Goals]]+Table134[[#This Row],[Asissts]])/(Table134[[#This Row],['#minuten]]/90),2)</f>
        <v>7.0000000000000007E-2</v>
      </c>
      <c r="Y247" s="38"/>
    </row>
    <row r="248" spans="1:26" x14ac:dyDescent="0.2">
      <c r="A248" s="6" t="s">
        <v>324</v>
      </c>
      <c r="B248" s="51" t="s">
        <v>317</v>
      </c>
      <c r="C248" s="52">
        <v>1250000</v>
      </c>
      <c r="D248" s="53" t="s">
        <v>203</v>
      </c>
      <c r="E248" s="53">
        <v>23</v>
      </c>
      <c r="F248" s="53" t="s">
        <v>141</v>
      </c>
      <c r="G248" s="92">
        <v>516</v>
      </c>
      <c r="H248" s="85">
        <v>294</v>
      </c>
      <c r="I248" s="45">
        <f>ROUND(Table134[[#This Row],[laatste 5 wed.]]/Table134[[#This Row],['#punten]]*100,1)</f>
        <v>57</v>
      </c>
      <c r="J248" s="53">
        <v>14</v>
      </c>
      <c r="K248" s="53">
        <v>11</v>
      </c>
      <c r="L248" s="53">
        <v>1142</v>
      </c>
      <c r="M248" s="53">
        <v>450</v>
      </c>
      <c r="N248" s="23">
        <f>ROUND(Table134[[#This Row],[Min laatste 5]]/Table134[[#This Row],['#minuten]]*100,1)</f>
        <v>39.4</v>
      </c>
      <c r="O248" s="53">
        <v>0</v>
      </c>
      <c r="P248" s="53">
        <v>0</v>
      </c>
      <c r="Q248" s="85">
        <v>1</v>
      </c>
      <c r="R248" s="53">
        <v>0</v>
      </c>
      <c r="S248" s="53">
        <v>2</v>
      </c>
      <c r="T248" s="94">
        <f>ROUND(Table134[[#This Row],['#punten]]/Table134[[#This Row],['#Wed]],2)</f>
        <v>36.86</v>
      </c>
      <c r="U248" s="54">
        <f>ROUND(Table134[[#This Row],['#punten]]/Table134[[#This Row],['#minuten]],2)</f>
        <v>0.45</v>
      </c>
      <c r="V248" s="53">
        <f>ROUND(Table134[[#This Row],['#punten]]/(Table134[[#This Row],['#minuten]]/90),2)</f>
        <v>40.67</v>
      </c>
      <c r="W248" s="53">
        <f>ROUND(Table134[[#This Row],[Prijs]]/Table134[[#This Row],['#punten]],0)</f>
        <v>2422</v>
      </c>
      <c r="X248" s="57">
        <f>ROUND((Table134[[#This Row],[Goals]]+Table134[[#This Row],[Asissts]])/(Table134[[#This Row],['#minuten]]/90),2)</f>
        <v>0</v>
      </c>
    </row>
    <row r="249" spans="1:26" x14ac:dyDescent="0.2">
      <c r="A249" s="6" t="s">
        <v>624</v>
      </c>
      <c r="B249" s="28" t="s">
        <v>317</v>
      </c>
      <c r="C249" s="29">
        <v>1250000</v>
      </c>
      <c r="D249" s="30" t="s">
        <v>203</v>
      </c>
      <c r="E249" s="30">
        <v>34</v>
      </c>
      <c r="F249" s="30" t="s">
        <v>141</v>
      </c>
      <c r="G249" s="47">
        <v>348</v>
      </c>
      <c r="H249" s="48">
        <v>318</v>
      </c>
      <c r="I249" s="45">
        <f>ROUND(Table134[[#This Row],[laatste 5 wed.]]/Table134[[#This Row],['#punten]]*100,1)</f>
        <v>91.4</v>
      </c>
      <c r="J249" s="30">
        <v>11</v>
      </c>
      <c r="K249" s="30">
        <v>9</v>
      </c>
      <c r="L249" s="30">
        <v>789</v>
      </c>
      <c r="M249" s="30">
        <v>441</v>
      </c>
      <c r="N249" s="23">
        <f>ROUND(Table134[[#This Row],[Min laatste 5]]/Table134[[#This Row],['#minuten]]*100,1)</f>
        <v>55.9</v>
      </c>
      <c r="O249" s="30">
        <v>0</v>
      </c>
      <c r="P249" s="30">
        <v>0</v>
      </c>
      <c r="Q249" s="48">
        <v>1</v>
      </c>
      <c r="R249" s="30">
        <v>1</v>
      </c>
      <c r="S249" s="30">
        <v>2</v>
      </c>
      <c r="T249" s="49">
        <f>ROUND(Table134[[#This Row],['#punten]]/Table134[[#This Row],['#Wed]],2)</f>
        <v>31.64</v>
      </c>
      <c r="U249" s="47">
        <f>ROUND(Table134[[#This Row],['#punten]]/Table134[[#This Row],['#minuten]],2)</f>
        <v>0.44</v>
      </c>
      <c r="V249" s="30">
        <f>ROUND(Table134[[#This Row],['#punten]]/(Table134[[#This Row],['#minuten]]/90),2)</f>
        <v>39.700000000000003</v>
      </c>
      <c r="W249" s="53">
        <f>ROUND(Table134[[#This Row],[Prijs]]/Table134[[#This Row],['#punten]],0)</f>
        <v>3592</v>
      </c>
      <c r="X249" s="34">
        <f>ROUND((Table134[[#This Row],[Goals]]+Table134[[#This Row],[Asissts]])/(Table134[[#This Row],['#minuten]]/90),2)</f>
        <v>0</v>
      </c>
      <c r="Y249" s="38"/>
    </row>
    <row r="250" spans="1:26" x14ac:dyDescent="0.2">
      <c r="A250" s="6" t="s">
        <v>627</v>
      </c>
      <c r="B250" s="28" t="s">
        <v>50</v>
      </c>
      <c r="C250" s="29">
        <v>750000</v>
      </c>
      <c r="D250" s="30" t="s">
        <v>203</v>
      </c>
      <c r="E250" s="30">
        <v>21</v>
      </c>
      <c r="F250" s="30" t="s">
        <v>141</v>
      </c>
      <c r="G250" s="47">
        <v>312</v>
      </c>
      <c r="H250" s="48">
        <v>228</v>
      </c>
      <c r="I250" s="45">
        <f>ROUND(Table134[[#This Row],[laatste 5 wed.]]/Table134[[#This Row],['#punten]]*100,1)</f>
        <v>73.099999999999994</v>
      </c>
      <c r="J250" s="30">
        <v>17</v>
      </c>
      <c r="K250" s="30">
        <v>10</v>
      </c>
      <c r="L250" s="30">
        <v>1135</v>
      </c>
      <c r="M250" s="30">
        <v>450</v>
      </c>
      <c r="N250" s="23">
        <f>ROUND(Table134[[#This Row],[Min laatste 5]]/Table134[[#This Row],['#minuten]]*100,1)</f>
        <v>39.6</v>
      </c>
      <c r="O250" s="30">
        <v>0</v>
      </c>
      <c r="P250" s="30">
        <v>0</v>
      </c>
      <c r="Q250" s="48">
        <v>2</v>
      </c>
      <c r="R250" s="30">
        <v>0</v>
      </c>
      <c r="S250" s="30">
        <v>2</v>
      </c>
      <c r="T250" s="49">
        <f>ROUND(Table134[[#This Row],['#punten]]/Table134[[#This Row],['#Wed]],2)</f>
        <v>18.350000000000001</v>
      </c>
      <c r="U250" s="47">
        <f>ROUND(Table134[[#This Row],['#punten]]/Table134[[#This Row],['#minuten]],2)</f>
        <v>0.27</v>
      </c>
      <c r="V250" s="30">
        <f>ROUND(Table134[[#This Row],['#punten]]/(Table134[[#This Row],['#minuten]]/90),2)</f>
        <v>24.74</v>
      </c>
      <c r="W250" s="30">
        <f>ROUND(Table134[[#This Row],[Prijs]]/Table134[[#This Row],['#punten]],0)</f>
        <v>2404</v>
      </c>
      <c r="X250" s="34">
        <f>ROUND((Table134[[#This Row],[Goals]]+Table134[[#This Row],[Asissts]])/(Table134[[#This Row],['#minuten]]/90),2)</f>
        <v>0</v>
      </c>
      <c r="Y250" s="38"/>
    </row>
    <row r="251" spans="1:26" x14ac:dyDescent="0.2">
      <c r="A251" s="6" t="s">
        <v>526</v>
      </c>
      <c r="B251" s="51" t="s">
        <v>50</v>
      </c>
      <c r="C251" s="52">
        <v>500000</v>
      </c>
      <c r="D251" s="53" t="s">
        <v>203</v>
      </c>
      <c r="E251" s="53">
        <v>19</v>
      </c>
      <c r="F251" s="53" t="s">
        <v>141</v>
      </c>
      <c r="G251" s="92">
        <v>102</v>
      </c>
      <c r="H251" s="85">
        <v>102</v>
      </c>
      <c r="I251" s="45">
        <f>ROUND(Table134[[#This Row],[laatste 5 wed.]]/Table134[[#This Row],['#punten]]*100,1)</f>
        <v>100</v>
      </c>
      <c r="J251" s="53">
        <v>5</v>
      </c>
      <c r="K251" s="53">
        <v>2</v>
      </c>
      <c r="L251" s="53">
        <v>235</v>
      </c>
      <c r="M251" s="53">
        <v>225</v>
      </c>
      <c r="N251" s="23">
        <f>ROUND(Table134[[#This Row],[Min laatste 5]]/Table134[[#This Row],['#minuten]]*100,1)</f>
        <v>95.7</v>
      </c>
      <c r="O251" s="53">
        <v>0</v>
      </c>
      <c r="P251" s="53">
        <v>0</v>
      </c>
      <c r="Q251" s="85">
        <v>0</v>
      </c>
      <c r="R251" s="53">
        <v>0</v>
      </c>
      <c r="S251" s="53">
        <v>1</v>
      </c>
      <c r="T251" s="94">
        <f>ROUND(Table134[[#This Row],['#punten]]/Table134[[#This Row],['#Wed]],2)</f>
        <v>20.399999999999999</v>
      </c>
      <c r="U251" s="54">
        <f>ROUND(Table134[[#This Row],['#punten]]/Table134[[#This Row],['#minuten]],2)</f>
        <v>0.43</v>
      </c>
      <c r="V251" s="53">
        <f>ROUND(Table134[[#This Row],['#punten]]/(Table134[[#This Row],['#minuten]]/90),2)</f>
        <v>39.06</v>
      </c>
      <c r="W251" s="53">
        <f>ROUND(Table134[[#This Row],[Prijs]]/Table134[[#This Row],['#punten]],0)</f>
        <v>4902</v>
      </c>
      <c r="X251" s="57">
        <f>ROUND((Table134[[#This Row],[Goals]]+Table134[[#This Row],[Asissts]])/(Table134[[#This Row],['#minuten]]/90),2)</f>
        <v>0</v>
      </c>
    </row>
    <row r="252" spans="1:26" x14ac:dyDescent="0.2">
      <c r="A252" s="6" t="s">
        <v>385</v>
      </c>
      <c r="B252" s="51" t="s">
        <v>51</v>
      </c>
      <c r="C252" s="52">
        <v>1000000</v>
      </c>
      <c r="D252" s="53" t="s">
        <v>203</v>
      </c>
      <c r="E252" s="53">
        <v>26</v>
      </c>
      <c r="F252" s="53" t="s">
        <v>381</v>
      </c>
      <c r="G252" s="92">
        <v>492</v>
      </c>
      <c r="H252" s="85">
        <v>114</v>
      </c>
      <c r="I252" s="45">
        <f>ROUND(Table134[[#This Row],[laatste 5 wed.]]/Table134[[#This Row],['#punten]]*100,1)</f>
        <v>23.2</v>
      </c>
      <c r="J252" s="53">
        <v>16</v>
      </c>
      <c r="K252" s="53">
        <v>15</v>
      </c>
      <c r="L252" s="53">
        <v>1245</v>
      </c>
      <c r="M252" s="53">
        <v>286</v>
      </c>
      <c r="N252" s="23">
        <f>ROUND(Table134[[#This Row],[Min laatste 5]]/Table134[[#This Row],['#minuten]]*100,1)</f>
        <v>23</v>
      </c>
      <c r="O252" s="53">
        <v>3</v>
      </c>
      <c r="P252" s="53">
        <v>0</v>
      </c>
      <c r="Q252" s="85">
        <v>1</v>
      </c>
      <c r="R252" s="53">
        <v>1</v>
      </c>
      <c r="S252" s="53">
        <v>0</v>
      </c>
      <c r="T252" s="94">
        <f>ROUND(Table134[[#This Row],['#punten]]/Table134[[#This Row],['#Wed]],2)</f>
        <v>30.75</v>
      </c>
      <c r="U252" s="54">
        <f>ROUND(Table134[[#This Row],['#punten]]/Table134[[#This Row],['#minuten]],2)</f>
        <v>0.4</v>
      </c>
      <c r="V252" s="53">
        <f>ROUND(Table134[[#This Row],['#punten]]/(Table134[[#This Row],['#minuten]]/90),2)</f>
        <v>35.57</v>
      </c>
      <c r="W252" s="53">
        <f>ROUND(Table134[[#This Row],[Prijs]]/Table134[[#This Row],['#punten]],0)</f>
        <v>2033</v>
      </c>
      <c r="X252" s="57">
        <f>ROUND((Table134[[#This Row],[Goals]]+Table134[[#This Row],[Asissts]])/(Table134[[#This Row],['#minuten]]/90),2)</f>
        <v>0.22</v>
      </c>
    </row>
    <row r="253" spans="1:26" x14ac:dyDescent="0.2">
      <c r="A253" s="6" t="s">
        <v>347</v>
      </c>
      <c r="B253" s="28" t="s">
        <v>51</v>
      </c>
      <c r="C253" s="29">
        <v>1000000</v>
      </c>
      <c r="D253" s="30" t="s">
        <v>203</v>
      </c>
      <c r="E253" s="30">
        <v>27</v>
      </c>
      <c r="F253" s="30" t="s">
        <v>141</v>
      </c>
      <c r="G253" s="47">
        <v>468</v>
      </c>
      <c r="H253" s="48">
        <v>180</v>
      </c>
      <c r="I253" s="45">
        <f>ROUND(Table134[[#This Row],[laatste 5 wed.]]/Table134[[#This Row],['#punten]]*100,1)</f>
        <v>38.5</v>
      </c>
      <c r="J253" s="30">
        <v>19</v>
      </c>
      <c r="K253" s="30">
        <v>19</v>
      </c>
      <c r="L253" s="30">
        <v>1643</v>
      </c>
      <c r="M253" s="30">
        <v>424</v>
      </c>
      <c r="N253" s="23">
        <f>ROUND(Table134[[#This Row],[Min laatste 5]]/Table134[[#This Row],['#minuten]]*100,1)</f>
        <v>25.8</v>
      </c>
      <c r="O253" s="30">
        <v>0</v>
      </c>
      <c r="P253" s="30">
        <v>1</v>
      </c>
      <c r="Q253" s="48">
        <v>0</v>
      </c>
      <c r="R253" s="30">
        <v>0</v>
      </c>
      <c r="S253" s="30">
        <v>1</v>
      </c>
      <c r="T253" s="49">
        <f>ROUND(Table134[[#This Row],['#punten]]/Table134[[#This Row],['#Wed]],2)</f>
        <v>24.63</v>
      </c>
      <c r="U253" s="31">
        <f>ROUND(Table134[[#This Row],['#punten]]/Table134[[#This Row],['#minuten]],2)</f>
        <v>0.28000000000000003</v>
      </c>
      <c r="V253" s="30">
        <f>ROUND(Table134[[#This Row],['#punten]]/(Table134[[#This Row],['#minuten]]/90),2)</f>
        <v>25.64</v>
      </c>
      <c r="W253" s="30">
        <f>ROUND(Table134[[#This Row],[Prijs]]/Table134[[#This Row],['#punten]],0)</f>
        <v>2137</v>
      </c>
      <c r="X253" s="34">
        <f>ROUND((Table134[[#This Row],[Goals]]+Table134[[#This Row],[Asissts]])/(Table134[[#This Row],['#minuten]]/90),2)</f>
        <v>0.05</v>
      </c>
    </row>
    <row r="254" spans="1:26" x14ac:dyDescent="0.2">
      <c r="A254" s="6" t="s">
        <v>629</v>
      </c>
      <c r="B254" s="51" t="s">
        <v>51</v>
      </c>
      <c r="C254" s="52">
        <v>750000</v>
      </c>
      <c r="D254" s="53" t="s">
        <v>203</v>
      </c>
      <c r="E254" s="53">
        <v>23</v>
      </c>
      <c r="F254" s="53" t="s">
        <v>142</v>
      </c>
      <c r="G254" s="92">
        <v>318</v>
      </c>
      <c r="H254" s="85">
        <v>66</v>
      </c>
      <c r="I254" s="45">
        <f>ROUND(Table134[[#This Row],[laatste 5 wed.]]/Table134[[#This Row],['#punten]]*100,2)</f>
        <v>20.75</v>
      </c>
      <c r="J254" s="53">
        <v>13</v>
      </c>
      <c r="K254" s="53">
        <v>11</v>
      </c>
      <c r="L254" s="53">
        <v>1013</v>
      </c>
      <c r="M254" s="53">
        <v>180</v>
      </c>
      <c r="N254" s="23">
        <f>ROUND(Table134[[#This Row],[Min laatste 5]]/Table134[[#This Row],['#minuten]]*100,1)</f>
        <v>17.8</v>
      </c>
      <c r="O254" s="53">
        <v>0</v>
      </c>
      <c r="P254" s="53">
        <v>1</v>
      </c>
      <c r="Q254" s="85">
        <v>0</v>
      </c>
      <c r="R254" s="53">
        <v>0</v>
      </c>
      <c r="S254" s="53">
        <v>1</v>
      </c>
      <c r="T254" s="94">
        <f>ROUND(Table134[[#This Row],['#punten]]/Table134[[#This Row],['#Wed]],2)</f>
        <v>24.46</v>
      </c>
      <c r="U254" s="92">
        <f>ROUND(Table134[[#This Row],['#punten]]/Table134[[#This Row],['#minuten]],2)</f>
        <v>0.31</v>
      </c>
      <c r="V254" s="53">
        <f>ROUND(Table134[[#This Row],['#punten]]/(Table134[[#This Row],['#minuten]]/90),2)</f>
        <v>28.25</v>
      </c>
      <c r="W254" s="53">
        <f>ROUND(Table134[[#This Row],[Prijs]]/Table134[[#This Row],['#punten]],0)</f>
        <v>2358</v>
      </c>
      <c r="X254" s="57">
        <f>ROUND((Table134[[#This Row],[Goals]]+Table134[[#This Row],[Asissts]])/(Table134[[#This Row],['#minuten]]/90),2)</f>
        <v>0.09</v>
      </c>
      <c r="Y254" s="38"/>
      <c r="Z254" t="s">
        <v>656</v>
      </c>
    </row>
    <row r="255" spans="1:26" x14ac:dyDescent="0.2">
      <c r="A255" s="6" t="s">
        <v>346</v>
      </c>
      <c r="B255" s="28" t="s">
        <v>51</v>
      </c>
      <c r="C255" s="29">
        <v>500000</v>
      </c>
      <c r="D255" s="30" t="s">
        <v>203</v>
      </c>
      <c r="E255" s="30">
        <v>23</v>
      </c>
      <c r="F255" s="30" t="s">
        <v>141</v>
      </c>
      <c r="G255" s="47">
        <v>210</v>
      </c>
      <c r="H255" s="48">
        <v>90</v>
      </c>
      <c r="I255" s="45">
        <f>ROUND(Table134[[#This Row],[laatste 5 wed.]]/Table134[[#This Row],['#punten]]*100,2)</f>
        <v>42.86</v>
      </c>
      <c r="J255" s="30">
        <v>14</v>
      </c>
      <c r="K255" s="30">
        <v>10</v>
      </c>
      <c r="L255" s="30">
        <v>982</v>
      </c>
      <c r="M255" s="30">
        <v>323</v>
      </c>
      <c r="N255" s="23">
        <f>ROUND(Table134[[#This Row],[Min laatste 5]]/Table134[[#This Row],['#minuten]]*100,1)</f>
        <v>32.9</v>
      </c>
      <c r="O255" s="30">
        <v>0</v>
      </c>
      <c r="P255" s="30">
        <v>0</v>
      </c>
      <c r="Q255" s="48">
        <v>1</v>
      </c>
      <c r="R255" s="30">
        <v>0</v>
      </c>
      <c r="S255" s="30">
        <v>1</v>
      </c>
      <c r="T255" s="49">
        <f>ROUND(Table134[[#This Row],['#punten]]/Table134[[#This Row],['#Wed]],2)</f>
        <v>15</v>
      </c>
      <c r="U255" s="47">
        <f>ROUND(Table134[[#This Row],['#punten]]/Table134[[#This Row],['#minuten]],2)</f>
        <v>0.21</v>
      </c>
      <c r="V255" s="30">
        <f>ROUND(Table134[[#This Row],['#punten]]/(Table134[[#This Row],['#minuten]]/90),2)</f>
        <v>19.25</v>
      </c>
      <c r="W255" s="30">
        <f>ROUND(Table134[[#This Row],[Prijs]]/Table134[[#This Row],['#punten]],0)</f>
        <v>2381</v>
      </c>
      <c r="X255" s="34">
        <f>ROUND((Table134[[#This Row],[Goals]]+Table134[[#This Row],[Asissts]])/(Table134[[#This Row],['#minuten]]/90),2)</f>
        <v>0</v>
      </c>
      <c r="Y255" s="38"/>
    </row>
    <row r="256" spans="1:26" x14ac:dyDescent="0.2">
      <c r="A256" s="6" t="s">
        <v>348</v>
      </c>
      <c r="B256" s="51" t="s">
        <v>51</v>
      </c>
      <c r="C256" s="52">
        <v>1000000</v>
      </c>
      <c r="D256" s="53" t="s">
        <v>203</v>
      </c>
      <c r="E256" s="53">
        <v>21</v>
      </c>
      <c r="F256" s="53" t="s">
        <v>141</v>
      </c>
      <c r="G256" s="92">
        <v>90</v>
      </c>
      <c r="H256" s="85">
        <v>102</v>
      </c>
      <c r="I256" s="45">
        <f>ROUND(Table134[[#This Row],[laatste 5 wed.]]/Table134[[#This Row],['#punten]]*100,1)</f>
        <v>113.3</v>
      </c>
      <c r="J256" s="53">
        <v>7</v>
      </c>
      <c r="K256" s="53">
        <v>6</v>
      </c>
      <c r="L256" s="53">
        <v>498</v>
      </c>
      <c r="M256" s="53">
        <v>238</v>
      </c>
      <c r="N256" s="23">
        <f>ROUND(Table134[[#This Row],[Min laatste 5]]/Table134[[#This Row],['#minuten]]*100,1)</f>
        <v>47.8</v>
      </c>
      <c r="O256" s="53">
        <v>0</v>
      </c>
      <c r="P256" s="53">
        <v>0</v>
      </c>
      <c r="Q256" s="85">
        <v>1</v>
      </c>
      <c r="R256" s="53">
        <v>0</v>
      </c>
      <c r="S256" s="53">
        <v>0</v>
      </c>
      <c r="T256" s="94">
        <f>ROUND(Table134[[#This Row],['#punten]]/Table134[[#This Row],['#Wed]],2)</f>
        <v>12.86</v>
      </c>
      <c r="U256" s="54">
        <f>ROUND(Table134[[#This Row],['#punten]]/Table134[[#This Row],['#minuten]],2)</f>
        <v>0.18</v>
      </c>
      <c r="V256" s="53">
        <f>ROUND(Table134[[#This Row],['#punten]]/(Table134[[#This Row],['#minuten]]/90),2)</f>
        <v>16.27</v>
      </c>
      <c r="W256" s="53">
        <f>ROUND(Table134[[#This Row],[Prijs]]/Table134[[#This Row],['#punten]],0)</f>
        <v>11111</v>
      </c>
      <c r="X256" s="57">
        <f>ROUND((Table134[[#This Row],[Goals]]+Table134[[#This Row],[Asissts]])/(Table134[[#This Row],['#minuten]]/90),2)</f>
        <v>0</v>
      </c>
      <c r="Y256" s="38"/>
      <c r="Z256" t="s">
        <v>656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FF0E-677A-5448-B33B-8C52E3F9E09C}">
  <dimension ref="A1:AS64"/>
  <sheetViews>
    <sheetView zoomScale="84" workbookViewId="0">
      <selection activeCell="H21" sqref="H21"/>
    </sheetView>
  </sheetViews>
  <sheetFormatPr baseColWidth="10" defaultRowHeight="16" x14ac:dyDescent="0.2"/>
  <cols>
    <col min="1" max="1" width="23.83203125" bestFit="1" customWidth="1"/>
    <col min="2" max="2" width="35.83203125" bestFit="1" customWidth="1"/>
    <col min="9" max="9" width="10.83203125" style="17"/>
    <col min="15" max="15" width="10.83203125" style="17"/>
    <col min="24" max="24" width="10.83203125" style="17"/>
    <col min="29" max="29" width="19" bestFit="1" customWidth="1"/>
    <col min="42" max="42" width="10.83203125" style="17"/>
    <col min="44" max="44" width="10.83203125" style="17"/>
  </cols>
  <sheetData>
    <row r="1" spans="1:45" x14ac:dyDescent="0.2">
      <c r="C1">
        <v>1</v>
      </c>
      <c r="D1">
        <v>2</v>
      </c>
      <c r="E1" t="s">
        <v>660</v>
      </c>
      <c r="F1">
        <v>4</v>
      </c>
      <c r="G1">
        <v>5</v>
      </c>
      <c r="H1" t="s">
        <v>660</v>
      </c>
      <c r="I1" s="17">
        <v>7</v>
      </c>
      <c r="J1">
        <v>8</v>
      </c>
      <c r="K1">
        <v>9</v>
      </c>
      <c r="L1">
        <v>10</v>
      </c>
      <c r="M1">
        <v>11</v>
      </c>
      <c r="N1">
        <v>12</v>
      </c>
      <c r="O1" s="17">
        <v>13</v>
      </c>
      <c r="P1">
        <v>14</v>
      </c>
      <c r="Q1">
        <v>15</v>
      </c>
      <c r="R1">
        <v>16</v>
      </c>
      <c r="S1">
        <v>17</v>
      </c>
      <c r="T1">
        <v>18</v>
      </c>
      <c r="X1" s="17" t="s">
        <v>664</v>
      </c>
      <c r="Y1" t="s">
        <v>661</v>
      </c>
      <c r="Z1" t="s">
        <v>662</v>
      </c>
      <c r="AA1" t="s">
        <v>663</v>
      </c>
      <c r="AE1" t="s">
        <v>665</v>
      </c>
      <c r="AF1" t="s">
        <v>666</v>
      </c>
      <c r="AG1">
        <v>10</v>
      </c>
      <c r="AL1">
        <v>9</v>
      </c>
      <c r="AM1">
        <v>11</v>
      </c>
      <c r="AR1" s="17" t="s">
        <v>664</v>
      </c>
      <c r="AS1" t="s">
        <v>666</v>
      </c>
    </row>
    <row r="2" spans="1:45" x14ac:dyDescent="0.2">
      <c r="C2" s="16" t="s">
        <v>11</v>
      </c>
      <c r="D2" s="16" t="s">
        <v>7</v>
      </c>
      <c r="E2" s="16" t="s">
        <v>14</v>
      </c>
      <c r="F2" s="16" t="s">
        <v>6</v>
      </c>
      <c r="G2" s="16" t="s">
        <v>5</v>
      </c>
      <c r="H2" s="16" t="s">
        <v>39</v>
      </c>
      <c r="I2" s="16" t="s">
        <v>10</v>
      </c>
      <c r="J2" s="16" t="s">
        <v>37</v>
      </c>
      <c r="K2" s="16" t="s">
        <v>260</v>
      </c>
      <c r="L2" s="16" t="s">
        <v>401</v>
      </c>
      <c r="M2" s="16" t="s">
        <v>41</v>
      </c>
      <c r="N2" s="16" t="s">
        <v>38</v>
      </c>
      <c r="O2" s="16" t="s">
        <v>15</v>
      </c>
      <c r="P2" s="16" t="s">
        <v>402</v>
      </c>
      <c r="Q2" s="16" t="s">
        <v>400</v>
      </c>
      <c r="R2" s="16" t="s">
        <v>40</v>
      </c>
      <c r="S2" s="16" t="s">
        <v>42</v>
      </c>
      <c r="T2" s="16" t="s">
        <v>16</v>
      </c>
      <c r="W2" s="17"/>
      <c r="X2" s="16" t="s">
        <v>15</v>
      </c>
      <c r="Y2" s="16" t="s">
        <v>14</v>
      </c>
      <c r="Z2" s="16" t="s">
        <v>39</v>
      </c>
      <c r="AA2" s="16" t="s">
        <v>37</v>
      </c>
      <c r="AE2" s="16" t="s">
        <v>11</v>
      </c>
      <c r="AF2" s="16" t="s">
        <v>402</v>
      </c>
      <c r="AG2" s="16" t="s">
        <v>401</v>
      </c>
      <c r="AL2" s="16" t="s">
        <v>260</v>
      </c>
      <c r="AM2" s="16" t="s">
        <v>41</v>
      </c>
      <c r="AP2" s="16"/>
      <c r="AQ2" s="16"/>
      <c r="AR2" s="16" t="s">
        <v>15</v>
      </c>
      <c r="AS2" s="16" t="s">
        <v>402</v>
      </c>
    </row>
    <row r="3" spans="1:45" x14ac:dyDescent="0.2">
      <c r="A3" s="16" t="s">
        <v>403</v>
      </c>
      <c r="B3" s="16" t="s">
        <v>398</v>
      </c>
      <c r="C3" s="17"/>
      <c r="D3" s="17"/>
      <c r="E3" s="17"/>
      <c r="F3" s="17"/>
      <c r="G3" s="17"/>
      <c r="H3" s="17"/>
      <c r="J3" s="17"/>
      <c r="K3" s="17"/>
      <c r="L3" s="17"/>
      <c r="M3" s="17"/>
      <c r="N3" s="17"/>
      <c r="P3" s="17"/>
      <c r="Q3" s="17"/>
      <c r="R3" s="17"/>
      <c r="S3" s="17"/>
      <c r="T3" s="17"/>
      <c r="W3" s="17"/>
      <c r="X3" s="73" t="s">
        <v>90</v>
      </c>
      <c r="Y3" s="95" t="s">
        <v>83</v>
      </c>
      <c r="Z3" s="73" t="s">
        <v>92</v>
      </c>
      <c r="AA3" s="96" t="s">
        <v>422</v>
      </c>
      <c r="AE3" s="70" t="s">
        <v>93</v>
      </c>
      <c r="AF3" s="96" t="s">
        <v>89</v>
      </c>
      <c r="AG3" s="96" t="s">
        <v>79</v>
      </c>
      <c r="AL3" s="17"/>
      <c r="AM3" s="17"/>
      <c r="AQ3" s="17"/>
      <c r="AR3" s="73" t="s">
        <v>90</v>
      </c>
      <c r="AS3" s="96" t="s">
        <v>89</v>
      </c>
    </row>
    <row r="4" spans="1:45" s="19" customFormat="1" x14ac:dyDescent="0.2">
      <c r="A4" s="17" t="s">
        <v>534</v>
      </c>
      <c r="B4" s="17">
        <v>20</v>
      </c>
      <c r="C4" s="70" t="s">
        <v>93</v>
      </c>
      <c r="D4" s="70" t="s">
        <v>95</v>
      </c>
      <c r="E4" s="95" t="s">
        <v>83</v>
      </c>
      <c r="F4" s="71" t="s">
        <v>102</v>
      </c>
      <c r="G4" s="71" t="s">
        <v>75</v>
      </c>
      <c r="H4" s="73" t="s">
        <v>92</v>
      </c>
      <c r="I4" s="73" t="s">
        <v>417</v>
      </c>
      <c r="J4" s="96" t="s">
        <v>422</v>
      </c>
      <c r="K4" s="71" t="s">
        <v>94</v>
      </c>
      <c r="L4" s="96" t="s">
        <v>79</v>
      </c>
      <c r="M4" s="96" t="s">
        <v>421</v>
      </c>
      <c r="N4" s="96" t="s">
        <v>78</v>
      </c>
      <c r="O4" s="73" t="s">
        <v>90</v>
      </c>
      <c r="P4" s="96" t="s">
        <v>89</v>
      </c>
      <c r="Q4" s="71" t="s">
        <v>98</v>
      </c>
      <c r="R4" s="70" t="s">
        <v>96</v>
      </c>
      <c r="S4" s="71" t="s">
        <v>104</v>
      </c>
      <c r="T4" s="71" t="s">
        <v>91</v>
      </c>
      <c r="W4" s="17"/>
      <c r="X4" s="96" t="s">
        <v>97</v>
      </c>
      <c r="Y4" s="73" t="s">
        <v>80</v>
      </c>
      <c r="Z4" s="96" t="s">
        <v>422</v>
      </c>
      <c r="AA4" s="70" t="s">
        <v>77</v>
      </c>
      <c r="AE4" s="95" t="s">
        <v>76</v>
      </c>
      <c r="AF4" s="70" t="s">
        <v>84</v>
      </c>
      <c r="AG4" s="71" t="s">
        <v>104</v>
      </c>
      <c r="AL4" s="71" t="s">
        <v>94</v>
      </c>
      <c r="AM4" s="96" t="s">
        <v>421</v>
      </c>
      <c r="AN4" s="19" t="s">
        <v>682</v>
      </c>
      <c r="AP4" s="17"/>
      <c r="AQ4" s="17"/>
      <c r="AR4" s="96" t="s">
        <v>97</v>
      </c>
      <c r="AS4" s="70" t="s">
        <v>84</v>
      </c>
    </row>
    <row r="5" spans="1:45" s="19" customFormat="1" x14ac:dyDescent="0.2">
      <c r="A5" s="17"/>
      <c r="B5" s="69" t="s">
        <v>556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W5" s="17"/>
      <c r="X5" s="70" t="s">
        <v>96</v>
      </c>
      <c r="Y5" s="96" t="s">
        <v>103</v>
      </c>
      <c r="Z5" s="96" t="s">
        <v>88</v>
      </c>
      <c r="AA5" s="96" t="s">
        <v>89</v>
      </c>
      <c r="AE5" s="95" t="s">
        <v>417</v>
      </c>
      <c r="AF5" s="96" t="s">
        <v>418</v>
      </c>
      <c r="AG5" s="70" t="s">
        <v>84</v>
      </c>
      <c r="AL5" s="17"/>
      <c r="AM5" s="17"/>
      <c r="AP5" s="17"/>
      <c r="AQ5" s="17"/>
      <c r="AR5" s="70" t="s">
        <v>96</v>
      </c>
      <c r="AS5" s="96" t="s">
        <v>418</v>
      </c>
    </row>
    <row r="6" spans="1:45" x14ac:dyDescent="0.2">
      <c r="A6" s="17" t="s">
        <v>535</v>
      </c>
      <c r="B6" s="17">
        <v>21</v>
      </c>
      <c r="C6" s="95" t="s">
        <v>76</v>
      </c>
      <c r="D6" s="96" t="s">
        <v>100</v>
      </c>
      <c r="E6" s="73" t="s">
        <v>80</v>
      </c>
      <c r="F6" s="73" t="s">
        <v>421</v>
      </c>
      <c r="G6" s="73" t="s">
        <v>88</v>
      </c>
      <c r="H6" s="96" t="s">
        <v>422</v>
      </c>
      <c r="I6" s="73" t="s">
        <v>101</v>
      </c>
      <c r="J6" s="70" t="s">
        <v>77</v>
      </c>
      <c r="K6" s="71" t="s">
        <v>81</v>
      </c>
      <c r="L6" s="71" t="s">
        <v>104</v>
      </c>
      <c r="M6" s="70" t="s">
        <v>87</v>
      </c>
      <c r="N6" s="70" t="s">
        <v>86</v>
      </c>
      <c r="O6" s="96" t="s">
        <v>97</v>
      </c>
      <c r="P6" s="70" t="s">
        <v>84</v>
      </c>
      <c r="Q6" s="73" t="s">
        <v>85</v>
      </c>
      <c r="R6" s="71" t="s">
        <v>82</v>
      </c>
      <c r="S6" s="70" t="s">
        <v>75</v>
      </c>
      <c r="T6" s="73" t="s">
        <v>419</v>
      </c>
      <c r="W6" s="17"/>
      <c r="X6" s="73" t="s">
        <v>417</v>
      </c>
      <c r="Y6" s="96" t="s">
        <v>91</v>
      </c>
      <c r="Z6" s="70" t="s">
        <v>96</v>
      </c>
      <c r="AA6" s="71" t="s">
        <v>98</v>
      </c>
      <c r="AE6" s="73" t="s">
        <v>418</v>
      </c>
      <c r="AF6" s="70" t="s">
        <v>102</v>
      </c>
      <c r="AG6" s="73" t="s">
        <v>101</v>
      </c>
      <c r="AL6" s="71" t="s">
        <v>81</v>
      </c>
      <c r="AM6" s="70" t="s">
        <v>87</v>
      </c>
      <c r="AN6" t="s">
        <v>683</v>
      </c>
      <c r="AQ6" s="17"/>
      <c r="AR6" s="73" t="s">
        <v>417</v>
      </c>
      <c r="AS6" s="70" t="s">
        <v>102</v>
      </c>
    </row>
    <row r="7" spans="1:45" s="67" customFormat="1" x14ac:dyDescent="0.2">
      <c r="A7" s="69"/>
      <c r="B7" s="69" t="s">
        <v>553</v>
      </c>
      <c r="C7" s="69"/>
      <c r="D7" s="69" t="s">
        <v>549</v>
      </c>
      <c r="E7" s="69"/>
      <c r="F7" s="69"/>
      <c r="G7" s="69" t="s">
        <v>551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W7" s="69"/>
      <c r="X7" s="70" t="s">
        <v>93</v>
      </c>
      <c r="Y7" s="95" t="s">
        <v>92</v>
      </c>
      <c r="Z7" s="73" t="s">
        <v>83</v>
      </c>
      <c r="AA7" s="70" t="s">
        <v>84</v>
      </c>
      <c r="AE7" s="71" t="s">
        <v>102</v>
      </c>
      <c r="AF7" s="73" t="s">
        <v>419</v>
      </c>
      <c r="AG7" s="96" t="s">
        <v>89</v>
      </c>
      <c r="AL7" s="69"/>
      <c r="AM7" s="69"/>
      <c r="AP7" s="17"/>
      <c r="AQ7" s="17"/>
      <c r="AR7" s="70" t="s">
        <v>93</v>
      </c>
      <c r="AS7" s="73" t="s">
        <v>419</v>
      </c>
    </row>
    <row r="8" spans="1:45" x14ac:dyDescent="0.2">
      <c r="A8" s="17" t="s">
        <v>536</v>
      </c>
      <c r="B8" s="17">
        <v>22</v>
      </c>
      <c r="C8" s="95" t="s">
        <v>417</v>
      </c>
      <c r="D8" s="95" t="s">
        <v>83</v>
      </c>
      <c r="E8" s="96" t="s">
        <v>103</v>
      </c>
      <c r="F8" s="73" t="s">
        <v>78</v>
      </c>
      <c r="G8" s="96" t="s">
        <v>82</v>
      </c>
      <c r="H8" s="96" t="s">
        <v>88</v>
      </c>
      <c r="I8" s="70" t="s">
        <v>93</v>
      </c>
      <c r="J8" s="96" t="s">
        <v>89</v>
      </c>
      <c r="K8" s="96" t="s">
        <v>420</v>
      </c>
      <c r="L8" s="70" t="s">
        <v>84</v>
      </c>
      <c r="M8" s="71" t="s">
        <v>94</v>
      </c>
      <c r="N8" s="71" t="s">
        <v>91</v>
      </c>
      <c r="O8" s="70" t="s">
        <v>96</v>
      </c>
      <c r="P8" s="96" t="s">
        <v>418</v>
      </c>
      <c r="Q8" s="70" t="s">
        <v>99</v>
      </c>
      <c r="R8" s="70" t="s">
        <v>77</v>
      </c>
      <c r="S8" s="73" t="s">
        <v>92</v>
      </c>
      <c r="T8" s="73" t="s">
        <v>90</v>
      </c>
      <c r="W8" s="17"/>
      <c r="X8" s="96" t="s">
        <v>421</v>
      </c>
      <c r="Y8" s="96" t="s">
        <v>100</v>
      </c>
      <c r="Z8" s="70" t="s">
        <v>75</v>
      </c>
      <c r="AA8" s="70" t="s">
        <v>96</v>
      </c>
      <c r="AE8" s="96" t="s">
        <v>81</v>
      </c>
      <c r="AF8" s="71" t="s">
        <v>103</v>
      </c>
      <c r="AG8" s="70" t="s">
        <v>93</v>
      </c>
      <c r="AL8" s="96" t="s">
        <v>420</v>
      </c>
      <c r="AM8" s="71" t="s">
        <v>94</v>
      </c>
      <c r="AN8" t="s">
        <v>683</v>
      </c>
      <c r="AQ8" s="17"/>
      <c r="AR8" s="96" t="s">
        <v>421</v>
      </c>
      <c r="AS8" s="71" t="s">
        <v>103</v>
      </c>
    </row>
    <row r="9" spans="1:45" s="67" customFormat="1" x14ac:dyDescent="0.2">
      <c r="A9" s="69"/>
      <c r="B9" s="69" t="s">
        <v>553</v>
      </c>
      <c r="C9" s="69" t="s">
        <v>554</v>
      </c>
      <c r="D9" s="69" t="s">
        <v>550</v>
      </c>
      <c r="E9" s="69"/>
      <c r="F9" s="69"/>
      <c r="G9" s="69" t="s">
        <v>552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W9" s="69"/>
      <c r="X9" s="71" t="s">
        <v>82</v>
      </c>
      <c r="Y9" s="70" t="s">
        <v>99</v>
      </c>
      <c r="Z9" s="73" t="s">
        <v>419</v>
      </c>
      <c r="AA9" s="70" t="s">
        <v>86</v>
      </c>
      <c r="AE9" s="71" t="s">
        <v>87</v>
      </c>
      <c r="AF9" s="73" t="s">
        <v>92</v>
      </c>
      <c r="AG9" s="96" t="s">
        <v>422</v>
      </c>
      <c r="AL9" s="69"/>
      <c r="AM9" s="69"/>
      <c r="AP9" s="17"/>
      <c r="AQ9" s="17"/>
      <c r="AR9" s="71" t="s">
        <v>82</v>
      </c>
      <c r="AS9" s="73" t="s">
        <v>92</v>
      </c>
    </row>
    <row r="10" spans="1:45" x14ac:dyDescent="0.2">
      <c r="A10" s="17" t="s">
        <v>537</v>
      </c>
      <c r="B10" s="17">
        <v>23</v>
      </c>
      <c r="C10" s="73" t="s">
        <v>418</v>
      </c>
      <c r="D10" s="73" t="s">
        <v>421</v>
      </c>
      <c r="E10" s="96" t="s">
        <v>91</v>
      </c>
      <c r="F10" s="71" t="s">
        <v>86</v>
      </c>
      <c r="G10" s="70" t="s">
        <v>95</v>
      </c>
      <c r="H10" s="70" t="s">
        <v>96</v>
      </c>
      <c r="I10" s="71" t="s">
        <v>100</v>
      </c>
      <c r="J10" s="71" t="s">
        <v>98</v>
      </c>
      <c r="K10" s="70" t="s">
        <v>75</v>
      </c>
      <c r="L10" s="73" t="s">
        <v>101</v>
      </c>
      <c r="M10" s="73" t="s">
        <v>85</v>
      </c>
      <c r="N10" s="73" t="s">
        <v>76</v>
      </c>
      <c r="O10" s="73" t="s">
        <v>417</v>
      </c>
      <c r="P10" s="70" t="s">
        <v>102</v>
      </c>
      <c r="Q10" s="71" t="s">
        <v>104</v>
      </c>
      <c r="R10" s="96" t="s">
        <v>97</v>
      </c>
      <c r="S10" s="96" t="s">
        <v>79</v>
      </c>
      <c r="T10" s="96" t="s">
        <v>80</v>
      </c>
      <c r="W10" s="17"/>
      <c r="X10" s="70" t="s">
        <v>77</v>
      </c>
      <c r="Y10" s="95" t="s">
        <v>417</v>
      </c>
      <c r="Z10" s="96" t="s">
        <v>89</v>
      </c>
      <c r="AA10" s="96" t="s">
        <v>97</v>
      </c>
      <c r="AE10" s="96" t="s">
        <v>98</v>
      </c>
      <c r="AF10" s="73" t="s">
        <v>90</v>
      </c>
      <c r="AG10" s="71" t="s">
        <v>94</v>
      </c>
      <c r="AL10" s="70" t="s">
        <v>75</v>
      </c>
      <c r="AM10" s="73" t="s">
        <v>85</v>
      </c>
      <c r="AN10" t="s">
        <v>682</v>
      </c>
      <c r="AQ10" s="17"/>
      <c r="AR10" s="70" t="s">
        <v>77</v>
      </c>
      <c r="AS10" s="73" t="s">
        <v>90</v>
      </c>
    </row>
    <row r="11" spans="1:45" x14ac:dyDescent="0.2">
      <c r="A11" s="17"/>
      <c r="B11" s="69" t="s">
        <v>557</v>
      </c>
      <c r="C11" s="17"/>
      <c r="D11" s="17"/>
      <c r="E11" s="17"/>
      <c r="F11" s="17"/>
      <c r="G11" s="17"/>
      <c r="H11" s="17"/>
      <c r="J11" s="17"/>
      <c r="K11" s="17"/>
      <c r="L11" s="17"/>
      <c r="M11" s="17"/>
      <c r="N11" s="17"/>
      <c r="P11" s="17"/>
      <c r="Q11" s="17"/>
      <c r="R11" s="17"/>
      <c r="S11" s="17"/>
      <c r="T11" s="17"/>
      <c r="W11" s="17"/>
      <c r="X11" s="96" t="s">
        <v>422</v>
      </c>
      <c r="Y11" s="73" t="s">
        <v>88</v>
      </c>
      <c r="Z11" s="70" t="s">
        <v>93</v>
      </c>
      <c r="AA11" s="73" t="s">
        <v>92</v>
      </c>
      <c r="AE11" s="73" t="s">
        <v>80</v>
      </c>
      <c r="AF11" s="73" t="s">
        <v>101</v>
      </c>
      <c r="AG11" s="71" t="s">
        <v>82</v>
      </c>
      <c r="AL11" s="17"/>
      <c r="AM11" s="17"/>
      <c r="AQ11" s="17"/>
      <c r="AR11" s="96" t="s">
        <v>422</v>
      </c>
      <c r="AS11" s="73" t="s">
        <v>101</v>
      </c>
    </row>
    <row r="12" spans="1:45" x14ac:dyDescent="0.2">
      <c r="A12" s="19" t="s">
        <v>538</v>
      </c>
      <c r="B12" s="19">
        <v>24</v>
      </c>
      <c r="C12" s="71" t="s">
        <v>102</v>
      </c>
      <c r="D12" s="70" t="s">
        <v>99</v>
      </c>
      <c r="E12" s="95" t="s">
        <v>92</v>
      </c>
      <c r="F12" s="96" t="s">
        <v>94</v>
      </c>
      <c r="G12" s="96" t="s">
        <v>103</v>
      </c>
      <c r="H12" s="73" t="s">
        <v>83</v>
      </c>
      <c r="I12" s="73" t="s">
        <v>76</v>
      </c>
      <c r="J12" s="70" t="s">
        <v>84</v>
      </c>
      <c r="K12" s="96" t="s">
        <v>88</v>
      </c>
      <c r="L12" s="96" t="s">
        <v>89</v>
      </c>
      <c r="M12" s="96" t="s">
        <v>78</v>
      </c>
      <c r="N12" s="96" t="s">
        <v>422</v>
      </c>
      <c r="O12" s="70" t="s">
        <v>93</v>
      </c>
      <c r="P12" s="73" t="s">
        <v>419</v>
      </c>
      <c r="Q12" s="96" t="s">
        <v>420</v>
      </c>
      <c r="R12" s="71" t="s">
        <v>81</v>
      </c>
      <c r="S12" s="71" t="s">
        <v>82</v>
      </c>
      <c r="T12" s="70" t="s">
        <v>87</v>
      </c>
      <c r="W12" s="17"/>
      <c r="X12" s="96" t="s">
        <v>88</v>
      </c>
      <c r="Y12" s="73" t="s">
        <v>97</v>
      </c>
      <c r="Z12" s="96" t="s">
        <v>420</v>
      </c>
      <c r="AA12" s="73" t="s">
        <v>417</v>
      </c>
      <c r="AE12" s="71" t="s">
        <v>84</v>
      </c>
      <c r="AF12" s="71" t="s">
        <v>81</v>
      </c>
      <c r="AG12" s="70" t="s">
        <v>96</v>
      </c>
      <c r="AL12" s="96" t="s">
        <v>88</v>
      </c>
      <c r="AM12" s="96" t="s">
        <v>78</v>
      </c>
      <c r="AN12" t="s">
        <v>684</v>
      </c>
      <c r="AQ12" s="17"/>
      <c r="AR12" s="96" t="s">
        <v>88</v>
      </c>
      <c r="AS12" s="71" t="s">
        <v>81</v>
      </c>
    </row>
    <row r="13" spans="1:45" s="67" customFormat="1" x14ac:dyDescent="0.2">
      <c r="A13" s="69"/>
      <c r="B13" s="69" t="s">
        <v>559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W13" s="69"/>
      <c r="X13" s="71" t="s">
        <v>91</v>
      </c>
      <c r="Y13" s="70" t="s">
        <v>93</v>
      </c>
      <c r="Z13" s="71" t="s">
        <v>104</v>
      </c>
      <c r="AA13" s="96" t="s">
        <v>421</v>
      </c>
      <c r="AE13" s="95" t="s">
        <v>85</v>
      </c>
      <c r="AF13" s="71" t="s">
        <v>100</v>
      </c>
      <c r="AG13" s="70" t="s">
        <v>102</v>
      </c>
      <c r="AL13" s="69"/>
      <c r="AM13" s="69"/>
      <c r="AP13" s="17"/>
      <c r="AQ13" s="17"/>
      <c r="AR13" s="71" t="s">
        <v>91</v>
      </c>
      <c r="AS13" s="71" t="s">
        <v>100</v>
      </c>
    </row>
    <row r="14" spans="1:45" x14ac:dyDescent="0.2">
      <c r="A14" s="17" t="s">
        <v>539</v>
      </c>
      <c r="B14" s="17">
        <v>25</v>
      </c>
      <c r="C14" s="96" t="s">
        <v>81</v>
      </c>
      <c r="D14" s="95" t="s">
        <v>417</v>
      </c>
      <c r="E14" s="96" t="s">
        <v>100</v>
      </c>
      <c r="F14" s="73" t="s">
        <v>89</v>
      </c>
      <c r="G14" s="73" t="s">
        <v>97</v>
      </c>
      <c r="H14" s="70" t="s">
        <v>75</v>
      </c>
      <c r="I14" s="96" t="s">
        <v>79</v>
      </c>
      <c r="J14" s="70" t="s">
        <v>96</v>
      </c>
      <c r="K14" s="73" t="s">
        <v>90</v>
      </c>
      <c r="L14" s="70" t="s">
        <v>93</v>
      </c>
      <c r="M14" s="70" t="s">
        <v>95</v>
      </c>
      <c r="N14" s="71" t="s">
        <v>98</v>
      </c>
      <c r="O14" s="96" t="s">
        <v>421</v>
      </c>
      <c r="P14" s="71" t="s">
        <v>103</v>
      </c>
      <c r="Q14" s="70" t="s">
        <v>77</v>
      </c>
      <c r="R14" s="73" t="s">
        <v>85</v>
      </c>
      <c r="S14" s="96" t="s">
        <v>418</v>
      </c>
      <c r="T14" s="73" t="s">
        <v>101</v>
      </c>
      <c r="W14" s="17"/>
      <c r="X14" s="73" t="s">
        <v>101</v>
      </c>
      <c r="Y14" s="73" t="s">
        <v>420</v>
      </c>
      <c r="Z14" s="70" t="s">
        <v>102</v>
      </c>
      <c r="AA14" s="73" t="s">
        <v>90</v>
      </c>
      <c r="AE14" s="73" t="s">
        <v>88</v>
      </c>
      <c r="AF14" s="70" t="s">
        <v>96</v>
      </c>
      <c r="AG14" s="73" t="s">
        <v>92</v>
      </c>
      <c r="AL14" s="73" t="s">
        <v>90</v>
      </c>
      <c r="AM14" s="70" t="s">
        <v>95</v>
      </c>
      <c r="AN14" t="s">
        <v>683</v>
      </c>
      <c r="AQ14" s="17"/>
      <c r="AR14" s="73" t="s">
        <v>101</v>
      </c>
      <c r="AS14" s="70" t="s">
        <v>96</v>
      </c>
    </row>
    <row r="15" spans="1:45" s="67" customFormat="1" x14ac:dyDescent="0.2">
      <c r="A15" s="69"/>
      <c r="B15" s="69" t="s">
        <v>559</v>
      </c>
      <c r="C15" s="69" t="s">
        <v>555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W15" s="69"/>
      <c r="X15" s="73" t="s">
        <v>85</v>
      </c>
      <c r="Y15" s="70" t="s">
        <v>95</v>
      </c>
      <c r="Z15" s="96" t="s">
        <v>78</v>
      </c>
      <c r="AA15" s="70" t="s">
        <v>99</v>
      </c>
      <c r="AE15" s="96" t="s">
        <v>100</v>
      </c>
      <c r="AF15" s="96" t="s">
        <v>79</v>
      </c>
      <c r="AG15" s="71" t="s">
        <v>91</v>
      </c>
      <c r="AL15" s="69"/>
      <c r="AM15" s="69"/>
      <c r="AP15" s="17"/>
      <c r="AQ15" s="17"/>
      <c r="AR15" s="73" t="s">
        <v>85</v>
      </c>
      <c r="AS15" s="96" t="s">
        <v>79</v>
      </c>
    </row>
    <row r="16" spans="1:45" x14ac:dyDescent="0.2">
      <c r="A16" s="17" t="s">
        <v>540</v>
      </c>
      <c r="B16" s="17">
        <v>26</v>
      </c>
      <c r="C16" s="71" t="s">
        <v>87</v>
      </c>
      <c r="D16" s="73" t="s">
        <v>88</v>
      </c>
      <c r="E16" s="70" t="s">
        <v>99</v>
      </c>
      <c r="F16" s="95" t="s">
        <v>76</v>
      </c>
      <c r="G16" s="96" t="s">
        <v>94</v>
      </c>
      <c r="H16" s="73" t="s">
        <v>419</v>
      </c>
      <c r="I16" s="71" t="s">
        <v>104</v>
      </c>
      <c r="J16" s="70" t="s">
        <v>86</v>
      </c>
      <c r="K16" s="96" t="s">
        <v>78</v>
      </c>
      <c r="L16" s="96" t="s">
        <v>422</v>
      </c>
      <c r="M16" s="73" t="s">
        <v>83</v>
      </c>
      <c r="N16" s="70" t="s">
        <v>102</v>
      </c>
      <c r="O16" s="71" t="s">
        <v>82</v>
      </c>
      <c r="P16" s="73" t="s">
        <v>92</v>
      </c>
      <c r="Q16" s="71" t="s">
        <v>91</v>
      </c>
      <c r="R16" s="96" t="s">
        <v>80</v>
      </c>
      <c r="S16" s="70" t="s">
        <v>84</v>
      </c>
      <c r="T16" s="96" t="s">
        <v>420</v>
      </c>
      <c r="W16" s="17"/>
      <c r="X16" s="71" t="s">
        <v>100</v>
      </c>
      <c r="Y16" s="95" t="s">
        <v>90</v>
      </c>
      <c r="Z16" s="70" t="s">
        <v>84</v>
      </c>
      <c r="AA16" s="96" t="s">
        <v>104</v>
      </c>
      <c r="AE16" s="73" t="s">
        <v>78</v>
      </c>
      <c r="AF16" s="70" t="s">
        <v>93</v>
      </c>
      <c r="AG16" s="70" t="s">
        <v>75</v>
      </c>
      <c r="AL16" s="96" t="s">
        <v>78</v>
      </c>
      <c r="AM16" s="73" t="s">
        <v>83</v>
      </c>
      <c r="AN16" t="s">
        <v>682</v>
      </c>
      <c r="AQ16" s="17"/>
      <c r="AR16" s="71" t="s">
        <v>100</v>
      </c>
      <c r="AS16" s="70" t="s">
        <v>93</v>
      </c>
    </row>
    <row r="17" spans="1:45" x14ac:dyDescent="0.2">
      <c r="A17" s="17"/>
      <c r="B17" s="69" t="s">
        <v>408</v>
      </c>
      <c r="C17" s="17"/>
      <c r="D17" s="17"/>
      <c r="E17" s="17"/>
      <c r="F17" s="17"/>
      <c r="G17" s="17"/>
      <c r="H17" s="17"/>
      <c r="J17" s="17"/>
      <c r="K17" s="17"/>
      <c r="L17" s="17"/>
      <c r="M17" s="17"/>
      <c r="N17" s="17"/>
      <c r="P17" s="17"/>
      <c r="Q17" s="17"/>
      <c r="R17" s="17"/>
      <c r="S17" s="17"/>
      <c r="T17" s="17"/>
      <c r="W17" s="17"/>
      <c r="X17" s="70" t="s">
        <v>95</v>
      </c>
      <c r="Y17" s="73" t="s">
        <v>418</v>
      </c>
      <c r="Z17" s="73" t="s">
        <v>76</v>
      </c>
      <c r="AA17" s="96" t="s">
        <v>79</v>
      </c>
      <c r="AE17" s="95" t="s">
        <v>83</v>
      </c>
      <c r="AF17" s="71" t="s">
        <v>82</v>
      </c>
      <c r="AG17" s="73" t="s">
        <v>419</v>
      </c>
      <c r="AL17" s="17"/>
      <c r="AM17" s="17"/>
      <c r="AQ17" s="17"/>
      <c r="AR17" s="70" t="s">
        <v>95</v>
      </c>
      <c r="AS17" s="71" t="s">
        <v>82</v>
      </c>
    </row>
    <row r="18" spans="1:45" x14ac:dyDescent="0.2">
      <c r="A18" s="17" t="s">
        <v>541</v>
      </c>
      <c r="B18" s="17">
        <v>27</v>
      </c>
      <c r="C18" s="96" t="s">
        <v>98</v>
      </c>
      <c r="D18" s="96" t="s">
        <v>103</v>
      </c>
      <c r="E18" s="95" t="s">
        <v>417</v>
      </c>
      <c r="F18" s="95" t="s">
        <v>85</v>
      </c>
      <c r="G18" s="73" t="s">
        <v>418</v>
      </c>
      <c r="H18" s="96" t="s">
        <v>89</v>
      </c>
      <c r="I18" s="70" t="s">
        <v>75</v>
      </c>
      <c r="J18" s="96" t="s">
        <v>97</v>
      </c>
      <c r="K18" s="70" t="s">
        <v>86</v>
      </c>
      <c r="L18" s="71" t="s">
        <v>94</v>
      </c>
      <c r="M18" s="71" t="s">
        <v>81</v>
      </c>
      <c r="N18" s="73" t="s">
        <v>101</v>
      </c>
      <c r="O18" s="70" t="s">
        <v>77</v>
      </c>
      <c r="P18" s="73" t="s">
        <v>90</v>
      </c>
      <c r="Q18" s="70" t="s">
        <v>96</v>
      </c>
      <c r="R18" s="96" t="s">
        <v>79</v>
      </c>
      <c r="S18" s="96" t="s">
        <v>421</v>
      </c>
      <c r="T18" s="70" t="s">
        <v>95</v>
      </c>
      <c r="W18" s="17"/>
      <c r="X18">
        <f>15*'Data tm deadline'!V115</f>
        <v>867.6</v>
      </c>
      <c r="Y18">
        <f>15*'Data tm deadline'!V66</f>
        <v>687.9</v>
      </c>
      <c r="Z18">
        <f>15*'Data tm deadline'!V75</f>
        <v>1098</v>
      </c>
      <c r="AA18">
        <f>15*'Data tm deadline'!V67</f>
        <v>697.19999999999993</v>
      </c>
      <c r="AE18">
        <f>15*'Data tm deadline'!V27</f>
        <v>649.05000000000007</v>
      </c>
      <c r="AF18">
        <f>15*'Data tm deadline'!V92</f>
        <v>565.20000000000005</v>
      </c>
      <c r="AL18" s="70" t="s">
        <v>86</v>
      </c>
      <c r="AM18" s="71" t="s">
        <v>81</v>
      </c>
      <c r="AN18" t="s">
        <v>682</v>
      </c>
      <c r="AP18"/>
      <c r="AR18">
        <f>15*'Data tm deadline'!AP115</f>
        <v>0</v>
      </c>
      <c r="AS18">
        <f>15*'Data tm deadline'!AI92</f>
        <v>0</v>
      </c>
    </row>
    <row r="19" spans="1:45" x14ac:dyDescent="0.2">
      <c r="A19" s="17" t="s">
        <v>542</v>
      </c>
      <c r="B19" s="17">
        <v>28</v>
      </c>
      <c r="C19" s="73" t="s">
        <v>80</v>
      </c>
      <c r="D19" s="95" t="s">
        <v>76</v>
      </c>
      <c r="E19" s="73" t="s">
        <v>88</v>
      </c>
      <c r="F19" s="95" t="s">
        <v>419</v>
      </c>
      <c r="G19" s="96" t="s">
        <v>91</v>
      </c>
      <c r="H19" s="70" t="s">
        <v>93</v>
      </c>
      <c r="I19" s="96" t="s">
        <v>78</v>
      </c>
      <c r="J19" s="73" t="s">
        <v>92</v>
      </c>
      <c r="K19" s="71" t="s">
        <v>104</v>
      </c>
      <c r="L19" s="71" t="s">
        <v>82</v>
      </c>
      <c r="M19" s="70" t="s">
        <v>75</v>
      </c>
      <c r="N19" s="70" t="s">
        <v>87</v>
      </c>
      <c r="O19" s="96" t="s">
        <v>422</v>
      </c>
      <c r="P19" s="73" t="s">
        <v>101</v>
      </c>
      <c r="Q19" s="70" t="s">
        <v>84</v>
      </c>
      <c r="R19" s="96" t="s">
        <v>420</v>
      </c>
      <c r="S19" s="70" t="s">
        <v>102</v>
      </c>
      <c r="T19" s="71" t="s">
        <v>100</v>
      </c>
      <c r="W19" s="17"/>
      <c r="AL19" s="71" t="s">
        <v>104</v>
      </c>
      <c r="AM19" s="70" t="s">
        <v>75</v>
      </c>
      <c r="AN19" t="s">
        <v>480</v>
      </c>
    </row>
    <row r="20" spans="1:45" x14ac:dyDescent="0.2">
      <c r="A20" s="17" t="s">
        <v>543</v>
      </c>
      <c r="B20" s="17">
        <v>29</v>
      </c>
      <c r="C20" s="71" t="s">
        <v>84</v>
      </c>
      <c r="D20" s="71" t="s">
        <v>86</v>
      </c>
      <c r="E20" s="73" t="s">
        <v>97</v>
      </c>
      <c r="F20" s="70" t="s">
        <v>99</v>
      </c>
      <c r="G20" s="70" t="s">
        <v>77</v>
      </c>
      <c r="H20" s="96" t="s">
        <v>420</v>
      </c>
      <c r="I20" s="73" t="s">
        <v>92</v>
      </c>
      <c r="J20" s="73" t="s">
        <v>417</v>
      </c>
      <c r="K20" s="96" t="s">
        <v>89</v>
      </c>
      <c r="L20" s="70" t="s">
        <v>96</v>
      </c>
      <c r="M20" s="96" t="s">
        <v>418</v>
      </c>
      <c r="N20" s="71" t="s">
        <v>103</v>
      </c>
      <c r="O20" s="96" t="s">
        <v>88</v>
      </c>
      <c r="P20" s="71" t="s">
        <v>81</v>
      </c>
      <c r="Q20" s="71" t="s">
        <v>94</v>
      </c>
      <c r="R20" s="73" t="s">
        <v>76</v>
      </c>
      <c r="S20" s="73" t="s">
        <v>83</v>
      </c>
      <c r="T20" s="71" t="s">
        <v>82</v>
      </c>
      <c r="W20" s="17"/>
      <c r="AL20" s="96" t="s">
        <v>89</v>
      </c>
      <c r="AM20" s="96" t="s">
        <v>418</v>
      </c>
      <c r="AN20" t="s">
        <v>683</v>
      </c>
    </row>
    <row r="21" spans="1:45" x14ac:dyDescent="0.2">
      <c r="A21" s="17"/>
      <c r="B21" s="69" t="s">
        <v>560</v>
      </c>
      <c r="C21" s="17"/>
      <c r="D21" s="17"/>
      <c r="E21" s="17"/>
      <c r="F21" s="17"/>
      <c r="G21" s="17"/>
      <c r="H21" s="17"/>
      <c r="J21" s="17"/>
      <c r="K21" s="17"/>
      <c r="L21" s="17"/>
      <c r="M21" s="17"/>
      <c r="N21" s="17"/>
      <c r="P21" s="17"/>
      <c r="Q21" s="17"/>
      <c r="R21" s="17"/>
      <c r="S21" s="17"/>
      <c r="T21" s="17"/>
      <c r="W21" s="17"/>
      <c r="Y21" s="17"/>
      <c r="Z21" s="17"/>
      <c r="AA21" s="17"/>
      <c r="AE21" s="17"/>
      <c r="AF21" s="17"/>
      <c r="AG21" s="17"/>
      <c r="AL21" s="17"/>
      <c r="AM21" s="17"/>
      <c r="AQ21" s="17"/>
      <c r="AS21" s="17"/>
    </row>
    <row r="22" spans="1:45" x14ac:dyDescent="0.2">
      <c r="A22" s="17" t="s">
        <v>544</v>
      </c>
      <c r="B22" s="17">
        <v>30</v>
      </c>
      <c r="C22" s="95" t="s">
        <v>85</v>
      </c>
      <c r="D22" s="73" t="s">
        <v>78</v>
      </c>
      <c r="E22" s="70" t="s">
        <v>93</v>
      </c>
      <c r="F22" s="95" t="s">
        <v>83</v>
      </c>
      <c r="G22" s="71" t="s">
        <v>87</v>
      </c>
      <c r="H22" s="71" t="s">
        <v>104</v>
      </c>
      <c r="I22" s="96" t="s">
        <v>422</v>
      </c>
      <c r="J22" s="96" t="s">
        <v>421</v>
      </c>
      <c r="K22" s="71" t="s">
        <v>98</v>
      </c>
      <c r="L22" s="70" t="s">
        <v>102</v>
      </c>
      <c r="M22" s="73" t="s">
        <v>90</v>
      </c>
      <c r="N22" s="73" t="s">
        <v>419</v>
      </c>
      <c r="O22" s="71" t="s">
        <v>91</v>
      </c>
      <c r="P22" s="71" t="s">
        <v>100</v>
      </c>
      <c r="Q22" s="96" t="s">
        <v>79</v>
      </c>
      <c r="R22" s="70" t="s">
        <v>95</v>
      </c>
      <c r="S22" s="96" t="s">
        <v>80</v>
      </c>
      <c r="T22" s="70" t="s">
        <v>99</v>
      </c>
      <c r="W22" s="17"/>
      <c r="Y22" s="17"/>
      <c r="AG22" s="17"/>
      <c r="AL22" s="71" t="s">
        <v>98</v>
      </c>
      <c r="AM22" s="73" t="s">
        <v>90</v>
      </c>
      <c r="AN22" t="s">
        <v>682</v>
      </c>
    </row>
    <row r="23" spans="1:45" x14ac:dyDescent="0.2">
      <c r="A23" s="17"/>
      <c r="B23" s="69" t="s">
        <v>560</v>
      </c>
      <c r="C23" s="17"/>
      <c r="D23" s="17"/>
      <c r="E23" s="17"/>
      <c r="F23" s="17"/>
      <c r="G23" s="17"/>
      <c r="H23" s="17"/>
      <c r="J23" s="17"/>
      <c r="K23" s="17"/>
      <c r="L23" s="17"/>
      <c r="M23" s="17"/>
      <c r="N23" s="17"/>
      <c r="P23" s="17"/>
      <c r="Q23" s="17"/>
      <c r="R23" s="17"/>
      <c r="S23" s="17"/>
      <c r="T23" s="17"/>
      <c r="W23" s="17"/>
      <c r="AA23" s="17"/>
      <c r="AE23" s="17"/>
      <c r="AF23" s="17"/>
      <c r="AG23" s="17"/>
      <c r="AL23" s="17"/>
      <c r="AM23" s="17"/>
      <c r="AQ23" s="17"/>
      <c r="AS23" s="17"/>
    </row>
    <row r="24" spans="1:45" x14ac:dyDescent="0.2">
      <c r="A24" s="17"/>
      <c r="B24" s="69" t="s">
        <v>558</v>
      </c>
      <c r="C24" s="17"/>
      <c r="D24" s="17"/>
      <c r="E24" s="17"/>
      <c r="F24" s="17"/>
      <c r="G24" s="17"/>
      <c r="H24" s="17"/>
      <c r="J24" s="17"/>
      <c r="K24" s="17"/>
      <c r="L24" s="17"/>
      <c r="M24" s="17"/>
      <c r="N24" s="17"/>
      <c r="P24" s="17"/>
      <c r="Q24" s="17"/>
      <c r="R24" s="17"/>
      <c r="S24" s="17"/>
      <c r="T24" s="17"/>
      <c r="W24" s="17"/>
      <c r="AA24" s="17"/>
      <c r="AE24" s="17"/>
      <c r="AF24" s="17"/>
      <c r="AG24" s="17"/>
      <c r="AL24" s="17"/>
      <c r="AM24" s="17"/>
      <c r="AQ24" s="17"/>
      <c r="AS24" s="17"/>
    </row>
    <row r="25" spans="1:45" x14ac:dyDescent="0.2">
      <c r="A25" s="17" t="s">
        <v>545</v>
      </c>
      <c r="B25" s="17">
        <v>31</v>
      </c>
      <c r="C25" s="73" t="s">
        <v>88</v>
      </c>
      <c r="D25" s="96" t="s">
        <v>81</v>
      </c>
      <c r="E25" s="73" t="s">
        <v>420</v>
      </c>
      <c r="F25" s="96" t="s">
        <v>98</v>
      </c>
      <c r="G25" s="73" t="s">
        <v>89</v>
      </c>
      <c r="H25" s="70" t="s">
        <v>102</v>
      </c>
      <c r="I25" s="70" t="s">
        <v>84</v>
      </c>
      <c r="J25" s="73" t="s">
        <v>90</v>
      </c>
      <c r="K25" s="73" t="s">
        <v>417</v>
      </c>
      <c r="L25" s="73" t="s">
        <v>92</v>
      </c>
      <c r="M25" s="70" t="s">
        <v>93</v>
      </c>
      <c r="N25" s="70" t="s">
        <v>75</v>
      </c>
      <c r="O25" s="73" t="s">
        <v>101</v>
      </c>
      <c r="P25" s="70" t="s">
        <v>96</v>
      </c>
      <c r="Q25" s="96" t="s">
        <v>418</v>
      </c>
      <c r="R25" s="71" t="s">
        <v>103</v>
      </c>
      <c r="S25" s="71" t="s">
        <v>94</v>
      </c>
      <c r="T25" s="96" t="s">
        <v>97</v>
      </c>
      <c r="W25" s="17"/>
      <c r="AG25" s="17"/>
      <c r="AL25" s="73" t="s">
        <v>417</v>
      </c>
      <c r="AM25" s="70" t="s">
        <v>93</v>
      </c>
      <c r="AN25" t="s">
        <v>683</v>
      </c>
    </row>
    <row r="26" spans="1:45" x14ac:dyDescent="0.2">
      <c r="A26" s="17"/>
      <c r="B26" s="69" t="s">
        <v>561</v>
      </c>
      <c r="C26" s="17"/>
      <c r="D26" s="17"/>
      <c r="E26" s="17"/>
      <c r="F26" s="17"/>
      <c r="G26" s="17"/>
      <c r="H26" s="17"/>
      <c r="J26" s="17"/>
      <c r="K26" s="17"/>
      <c r="L26" s="17"/>
      <c r="M26" s="17"/>
      <c r="N26" s="17"/>
      <c r="P26" s="17"/>
      <c r="Q26" s="17"/>
      <c r="R26" s="17"/>
      <c r="S26" s="17"/>
      <c r="T26" s="17"/>
      <c r="W26" s="17"/>
      <c r="X26" t="s">
        <v>671</v>
      </c>
      <c r="Y26" s="17"/>
      <c r="Z26" s="17"/>
      <c r="AA26" s="17"/>
      <c r="AC26" s="17" t="s">
        <v>667</v>
      </c>
      <c r="AD26" s="17">
        <f>AE18+AF18</f>
        <v>1214.25</v>
      </c>
      <c r="AE26" s="17"/>
      <c r="AF26" s="17"/>
      <c r="AG26" s="17"/>
      <c r="AL26" s="17"/>
      <c r="AM26" s="17"/>
      <c r="AP26"/>
      <c r="AQ26" s="17"/>
      <c r="AR26" t="s">
        <v>671</v>
      </c>
      <c r="AS26" s="17"/>
    </row>
    <row r="27" spans="1:45" x14ac:dyDescent="0.2">
      <c r="A27" s="17" t="s">
        <v>546</v>
      </c>
      <c r="B27" s="17">
        <v>32</v>
      </c>
      <c r="C27" s="96" t="s">
        <v>100</v>
      </c>
      <c r="D27" s="73" t="s">
        <v>422</v>
      </c>
      <c r="E27" s="70" t="s">
        <v>95</v>
      </c>
      <c r="F27" s="71" t="s">
        <v>87</v>
      </c>
      <c r="G27" s="95" t="s">
        <v>76</v>
      </c>
      <c r="H27" s="96" t="s">
        <v>78</v>
      </c>
      <c r="I27" s="96" t="s">
        <v>80</v>
      </c>
      <c r="J27" s="70" t="s">
        <v>99</v>
      </c>
      <c r="K27" s="70" t="s">
        <v>77</v>
      </c>
      <c r="L27" s="71" t="s">
        <v>91</v>
      </c>
      <c r="M27" s="71" t="s">
        <v>82</v>
      </c>
      <c r="N27" s="96" t="s">
        <v>421</v>
      </c>
      <c r="O27" s="73" t="s">
        <v>85</v>
      </c>
      <c r="P27" s="96" t="s">
        <v>79</v>
      </c>
      <c r="Q27" s="73" t="s">
        <v>83</v>
      </c>
      <c r="R27" s="73" t="s">
        <v>419</v>
      </c>
      <c r="S27" s="70" t="s">
        <v>86</v>
      </c>
      <c r="T27" s="71" t="s">
        <v>104</v>
      </c>
      <c r="W27" s="17"/>
      <c r="X27" t="s">
        <v>671</v>
      </c>
      <c r="AC27" s="17" t="s">
        <v>668</v>
      </c>
      <c r="AD27" s="17">
        <f>Y18+Z18</f>
        <v>1785.9</v>
      </c>
      <c r="AG27" s="17"/>
      <c r="AL27" s="70" t="s">
        <v>77</v>
      </c>
      <c r="AM27" s="71" t="s">
        <v>82</v>
      </c>
      <c r="AN27" t="s">
        <v>682</v>
      </c>
      <c r="AP27"/>
      <c r="AR27" t="s">
        <v>671</v>
      </c>
    </row>
    <row r="28" spans="1:45" x14ac:dyDescent="0.2">
      <c r="A28" s="17"/>
      <c r="B28" s="69" t="s">
        <v>561</v>
      </c>
      <c r="C28" s="17"/>
      <c r="D28" s="17"/>
      <c r="E28" s="17"/>
      <c r="F28" s="17"/>
      <c r="G28" s="17"/>
      <c r="H28" s="17"/>
      <c r="J28" s="17"/>
      <c r="K28" s="17"/>
      <c r="L28" s="17"/>
      <c r="M28" s="17"/>
      <c r="N28" s="17"/>
      <c r="P28" s="17"/>
      <c r="Q28" s="17"/>
      <c r="R28" s="17"/>
      <c r="S28" s="17"/>
      <c r="T28" s="17"/>
      <c r="W28" s="17"/>
      <c r="X28" t="s">
        <v>672</v>
      </c>
      <c r="Y28" s="17"/>
      <c r="AC28" t="s">
        <v>669</v>
      </c>
      <c r="AD28">
        <f>Y18+AA18</f>
        <v>1385.1</v>
      </c>
      <c r="AE28" s="17"/>
      <c r="AF28" s="17"/>
      <c r="AG28" s="17"/>
      <c r="AL28" s="17"/>
      <c r="AM28" s="17"/>
      <c r="AP28"/>
      <c r="AQ28" s="17"/>
      <c r="AR28" t="s">
        <v>672</v>
      </c>
      <c r="AS28" s="17"/>
    </row>
    <row r="29" spans="1:45" x14ac:dyDescent="0.2">
      <c r="A29" s="17" t="s">
        <v>547</v>
      </c>
      <c r="B29" s="17">
        <v>33</v>
      </c>
      <c r="C29" s="73" t="s">
        <v>78</v>
      </c>
      <c r="D29" s="96" t="s">
        <v>98</v>
      </c>
      <c r="E29" s="95" t="s">
        <v>90</v>
      </c>
      <c r="F29" s="96" t="s">
        <v>81</v>
      </c>
      <c r="G29" s="73" t="s">
        <v>420</v>
      </c>
      <c r="H29" s="70" t="s">
        <v>84</v>
      </c>
      <c r="I29" s="70" t="s">
        <v>102</v>
      </c>
      <c r="J29" s="96" t="s">
        <v>104</v>
      </c>
      <c r="K29" s="73" t="s">
        <v>101</v>
      </c>
      <c r="L29" s="70" t="s">
        <v>75</v>
      </c>
      <c r="M29" s="73" t="s">
        <v>417</v>
      </c>
      <c r="N29" s="73" t="s">
        <v>85</v>
      </c>
      <c r="O29" s="71" t="s">
        <v>100</v>
      </c>
      <c r="P29" s="70" t="s">
        <v>93</v>
      </c>
      <c r="Q29" s="96" t="s">
        <v>80</v>
      </c>
      <c r="R29" s="96" t="s">
        <v>422</v>
      </c>
      <c r="S29" s="70" t="s">
        <v>96</v>
      </c>
      <c r="T29" s="96" t="s">
        <v>88</v>
      </c>
      <c r="W29" s="17"/>
      <c r="X29" t="s">
        <v>673</v>
      </c>
      <c r="AC29" t="s">
        <v>670</v>
      </c>
      <c r="AD29">
        <f>Y18+X18</f>
        <v>1555.5</v>
      </c>
      <c r="AG29" s="17"/>
      <c r="AL29" s="73" t="s">
        <v>101</v>
      </c>
      <c r="AM29" s="73" t="s">
        <v>417</v>
      </c>
      <c r="AN29" t="s">
        <v>685</v>
      </c>
      <c r="AP29"/>
      <c r="AR29" t="s">
        <v>673</v>
      </c>
    </row>
    <row r="30" spans="1:45" x14ac:dyDescent="0.2">
      <c r="A30" s="19" t="s">
        <v>548</v>
      </c>
      <c r="B30" s="19">
        <v>34</v>
      </c>
      <c r="C30" s="95" t="s">
        <v>83</v>
      </c>
      <c r="D30" s="73" t="s">
        <v>89</v>
      </c>
      <c r="E30" s="73" t="s">
        <v>418</v>
      </c>
      <c r="F30" s="96" t="s">
        <v>103</v>
      </c>
      <c r="G30" s="95" t="s">
        <v>92</v>
      </c>
      <c r="H30" s="73" t="s">
        <v>76</v>
      </c>
      <c r="I30" s="96" t="s">
        <v>421</v>
      </c>
      <c r="J30" s="96" t="s">
        <v>79</v>
      </c>
      <c r="K30" s="70" t="s">
        <v>87</v>
      </c>
      <c r="L30" s="73" t="s">
        <v>419</v>
      </c>
      <c r="M30" s="70" t="s">
        <v>77</v>
      </c>
      <c r="N30" s="71" t="s">
        <v>94</v>
      </c>
      <c r="O30" s="70" t="s">
        <v>95</v>
      </c>
      <c r="P30" s="71" t="s">
        <v>82</v>
      </c>
      <c r="Q30" s="96" t="s">
        <v>97</v>
      </c>
      <c r="R30" s="70" t="s">
        <v>99</v>
      </c>
      <c r="S30" s="71" t="s">
        <v>91</v>
      </c>
      <c r="T30" s="70" t="s">
        <v>86</v>
      </c>
      <c r="W30" s="17"/>
      <c r="X30" t="s">
        <v>675</v>
      </c>
      <c r="AC30" t="s">
        <v>674</v>
      </c>
      <c r="AD30">
        <f>AA18+X18</f>
        <v>1564.8</v>
      </c>
      <c r="AG30" s="17"/>
      <c r="AL30" s="70" t="s">
        <v>87</v>
      </c>
      <c r="AM30" s="70" t="s">
        <v>77</v>
      </c>
      <c r="AN30" t="s">
        <v>686</v>
      </c>
      <c r="AP30"/>
      <c r="AR30" t="s">
        <v>675</v>
      </c>
    </row>
    <row r="31" spans="1:45" x14ac:dyDescent="0.2">
      <c r="A31" s="17"/>
      <c r="B31" s="17"/>
      <c r="C31" s="17"/>
      <c r="D31" s="17"/>
      <c r="E31" s="17"/>
      <c r="F31" s="17"/>
      <c r="G31" s="17"/>
      <c r="H31" s="17"/>
      <c r="J31" s="17"/>
      <c r="K31" s="17"/>
      <c r="L31" s="17"/>
      <c r="M31" s="17"/>
      <c r="N31" s="17"/>
      <c r="P31" s="17"/>
      <c r="Q31" s="17"/>
      <c r="R31" s="17"/>
      <c r="S31" s="17"/>
      <c r="T31" s="17"/>
      <c r="W31" s="17"/>
      <c r="X31" t="s">
        <v>665</v>
      </c>
      <c r="Y31" s="17"/>
      <c r="Z31" s="17"/>
      <c r="AA31" s="17"/>
      <c r="AC31" t="s">
        <v>676</v>
      </c>
      <c r="AD31">
        <f>Y18+AF18</f>
        <v>1253.0999999999999</v>
      </c>
      <c r="AE31" s="17"/>
      <c r="AF31" s="17"/>
      <c r="AG31" s="17"/>
      <c r="AL31" s="17"/>
      <c r="AM31" s="17"/>
      <c r="AP31"/>
      <c r="AQ31" s="17"/>
      <c r="AR31" t="s">
        <v>665</v>
      </c>
      <c r="AS31" s="17"/>
    </row>
    <row r="32" spans="1:45" x14ac:dyDescent="0.2">
      <c r="A32" s="17"/>
      <c r="B32" s="17"/>
      <c r="C32" s="17"/>
      <c r="D32" s="17"/>
      <c r="E32" s="17"/>
      <c r="F32" s="17"/>
      <c r="G32" s="17"/>
      <c r="H32" s="17"/>
      <c r="J32" s="17"/>
      <c r="K32" s="17"/>
      <c r="L32" s="17"/>
      <c r="M32" s="17"/>
      <c r="N32" s="17"/>
      <c r="P32" s="17"/>
      <c r="Q32" s="17"/>
      <c r="R32" s="17"/>
      <c r="S32" s="17"/>
      <c r="T32" s="17"/>
      <c r="W32" s="17"/>
      <c r="Y32" s="17"/>
      <c r="Z32" s="17"/>
      <c r="AA32" s="17"/>
      <c r="AE32" s="17"/>
      <c r="AF32" s="17"/>
      <c r="AG32" s="17"/>
      <c r="AL32" s="17"/>
      <c r="AM32" s="17"/>
      <c r="AQ32" s="17"/>
      <c r="AS32" s="17"/>
    </row>
    <row r="33" spans="1:45" x14ac:dyDescent="0.2">
      <c r="A33" s="17"/>
      <c r="B33" s="17"/>
      <c r="C33" s="17"/>
      <c r="D33" s="17"/>
      <c r="E33" s="17"/>
      <c r="F33" s="17"/>
      <c r="G33" s="17"/>
      <c r="H33" s="17"/>
      <c r="J33" s="17"/>
      <c r="K33" s="17"/>
      <c r="L33" s="17"/>
      <c r="M33" s="17"/>
      <c r="N33" s="17"/>
      <c r="P33" s="17"/>
      <c r="Q33" s="17"/>
      <c r="R33" s="17"/>
      <c r="S33" s="17"/>
      <c r="T33" s="17"/>
      <c r="W33" s="17"/>
      <c r="Y33" s="17"/>
      <c r="Z33" s="17"/>
      <c r="AA33" s="17"/>
      <c r="AE33" s="17"/>
      <c r="AF33" s="17"/>
      <c r="AG33" s="17"/>
      <c r="AL33" s="17"/>
      <c r="AM33" s="17"/>
      <c r="AQ33" s="17"/>
      <c r="AS33" s="17"/>
    </row>
    <row r="34" spans="1:45" x14ac:dyDescent="0.2">
      <c r="A34" s="17"/>
      <c r="B34" s="95">
        <v>1</v>
      </c>
      <c r="C34" s="17">
        <v>4</v>
      </c>
      <c r="D34" s="17">
        <v>3</v>
      </c>
      <c r="E34" s="17">
        <v>4</v>
      </c>
      <c r="F34" s="17">
        <v>4</v>
      </c>
      <c r="G34" s="17">
        <v>2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W34" s="17"/>
      <c r="Y34" s="17"/>
      <c r="Z34" s="17"/>
      <c r="AA34" s="17"/>
      <c r="AE34" s="17"/>
      <c r="AF34" s="17"/>
      <c r="AG34" s="17"/>
      <c r="AL34" s="17">
        <v>0</v>
      </c>
      <c r="AM34" s="17">
        <v>0</v>
      </c>
      <c r="AQ34" s="17"/>
      <c r="AS34" s="17"/>
    </row>
    <row r="35" spans="1:45" x14ac:dyDescent="0.2">
      <c r="A35" s="17"/>
      <c r="B35" s="73">
        <v>2</v>
      </c>
      <c r="C35" s="17">
        <v>4</v>
      </c>
      <c r="D35" s="17">
        <v>5</v>
      </c>
      <c r="E35" s="17">
        <v>5</v>
      </c>
      <c r="F35" s="17">
        <v>3</v>
      </c>
      <c r="G35" s="17">
        <v>5</v>
      </c>
      <c r="H35" s="17">
        <v>4</v>
      </c>
      <c r="I35" s="17">
        <v>4</v>
      </c>
      <c r="J35" s="17">
        <v>3</v>
      </c>
      <c r="K35" s="17">
        <v>3</v>
      </c>
      <c r="L35" s="17">
        <v>3</v>
      </c>
      <c r="M35" s="17">
        <v>4</v>
      </c>
      <c r="N35" s="17">
        <v>4</v>
      </c>
      <c r="O35" s="17">
        <v>4</v>
      </c>
      <c r="P35" s="17">
        <v>4</v>
      </c>
      <c r="Q35" s="17">
        <v>2</v>
      </c>
      <c r="R35" s="17">
        <v>3</v>
      </c>
      <c r="S35" s="17">
        <v>2</v>
      </c>
      <c r="T35" s="17">
        <v>3</v>
      </c>
      <c r="W35" s="17"/>
      <c r="Y35" s="17"/>
      <c r="Z35" s="17"/>
      <c r="AA35" s="17"/>
      <c r="AE35" s="17"/>
      <c r="AF35" s="17"/>
      <c r="AG35" s="17"/>
      <c r="AL35" s="17">
        <v>3</v>
      </c>
      <c r="AM35" s="17">
        <v>4</v>
      </c>
      <c r="AQ35" s="17"/>
      <c r="AS35" s="17"/>
    </row>
    <row r="36" spans="1:45" x14ac:dyDescent="0.2">
      <c r="A36" s="17"/>
      <c r="B36" s="96">
        <v>3</v>
      </c>
      <c r="C36" s="17">
        <v>3</v>
      </c>
      <c r="D36" s="17">
        <v>4</v>
      </c>
      <c r="E36" s="17">
        <v>3</v>
      </c>
      <c r="F36" s="17">
        <v>4</v>
      </c>
      <c r="G36" s="17">
        <v>4</v>
      </c>
      <c r="H36" s="17">
        <v>5</v>
      </c>
      <c r="I36" s="17">
        <v>5</v>
      </c>
      <c r="J36" s="17">
        <v>6</v>
      </c>
      <c r="K36" s="17">
        <v>4</v>
      </c>
      <c r="L36" s="17">
        <v>3</v>
      </c>
      <c r="M36" s="17">
        <v>3</v>
      </c>
      <c r="N36" s="17">
        <v>3</v>
      </c>
      <c r="O36" s="17">
        <v>4</v>
      </c>
      <c r="P36" s="17">
        <v>3</v>
      </c>
      <c r="Q36" s="17">
        <v>5</v>
      </c>
      <c r="R36" s="17">
        <v>5</v>
      </c>
      <c r="S36" s="17">
        <v>4</v>
      </c>
      <c r="T36" s="17">
        <v>4</v>
      </c>
      <c r="W36" s="17"/>
      <c r="Y36" s="17"/>
      <c r="Z36" s="17"/>
      <c r="AA36" s="17"/>
      <c r="AE36" s="17"/>
      <c r="AF36" s="17"/>
      <c r="AG36" s="17"/>
      <c r="AL36" s="17">
        <v>4</v>
      </c>
      <c r="AM36" s="17">
        <v>3</v>
      </c>
      <c r="AQ36" s="17"/>
      <c r="AS36" s="17"/>
    </row>
    <row r="37" spans="1:45" x14ac:dyDescent="0.2">
      <c r="A37" s="17"/>
      <c r="B37" s="71">
        <v>4</v>
      </c>
      <c r="C37" s="17">
        <v>3</v>
      </c>
      <c r="D37" s="17">
        <v>1</v>
      </c>
      <c r="E37" s="17">
        <v>0</v>
      </c>
      <c r="F37" s="17">
        <v>3</v>
      </c>
      <c r="G37" s="17">
        <v>2</v>
      </c>
      <c r="H37" s="17">
        <v>1</v>
      </c>
      <c r="I37" s="17">
        <v>2</v>
      </c>
      <c r="J37" s="17">
        <v>1</v>
      </c>
      <c r="K37" s="17">
        <v>4</v>
      </c>
      <c r="L37" s="17">
        <v>4</v>
      </c>
      <c r="M37" s="17">
        <v>3</v>
      </c>
      <c r="N37" s="17">
        <v>4</v>
      </c>
      <c r="O37" s="17">
        <v>3</v>
      </c>
      <c r="P37" s="17">
        <v>4</v>
      </c>
      <c r="Q37" s="17">
        <v>4</v>
      </c>
      <c r="R37" s="17">
        <v>3</v>
      </c>
      <c r="S37" s="17">
        <v>4</v>
      </c>
      <c r="T37" s="17">
        <v>4</v>
      </c>
      <c r="W37" s="17"/>
      <c r="Y37" s="17"/>
      <c r="Z37" s="17"/>
      <c r="AA37" s="17"/>
      <c r="AG37" s="17"/>
      <c r="AL37" s="17">
        <v>4</v>
      </c>
      <c r="AM37" s="17">
        <v>3</v>
      </c>
    </row>
    <row r="38" spans="1:45" x14ac:dyDescent="0.2">
      <c r="A38" s="17"/>
      <c r="B38" s="70">
        <v>5</v>
      </c>
      <c r="C38" s="17">
        <v>1</v>
      </c>
      <c r="D38" s="17">
        <v>2</v>
      </c>
      <c r="E38" s="17">
        <v>3</v>
      </c>
      <c r="F38" s="17">
        <v>1</v>
      </c>
      <c r="G38" s="17">
        <v>2</v>
      </c>
      <c r="H38" s="17">
        <v>5</v>
      </c>
      <c r="I38" s="17">
        <v>4</v>
      </c>
      <c r="J38" s="17">
        <v>5</v>
      </c>
      <c r="K38" s="17">
        <v>4</v>
      </c>
      <c r="L38" s="17">
        <v>5</v>
      </c>
      <c r="M38" s="17">
        <v>5</v>
      </c>
      <c r="N38" s="17">
        <v>4</v>
      </c>
      <c r="O38" s="17">
        <v>4</v>
      </c>
      <c r="P38" s="17">
        <v>4</v>
      </c>
      <c r="Q38" s="17">
        <v>4</v>
      </c>
      <c r="R38" s="17">
        <v>4</v>
      </c>
      <c r="S38" s="17">
        <v>5</v>
      </c>
      <c r="T38" s="17">
        <v>4</v>
      </c>
      <c r="W38" s="17"/>
      <c r="Y38" s="17"/>
      <c r="Z38" s="17"/>
      <c r="AA38" s="17"/>
      <c r="AG38" s="17"/>
      <c r="AL38" s="17">
        <v>4</v>
      </c>
      <c r="AM38" s="17">
        <v>5</v>
      </c>
    </row>
    <row r="39" spans="1:45" x14ac:dyDescent="0.2">
      <c r="A39" s="16"/>
      <c r="B39" s="17"/>
      <c r="C39" s="17">
        <f>SUM(C34:C38)</f>
        <v>15</v>
      </c>
      <c r="D39" s="17">
        <f t="shared" ref="D39:R39" si="0">SUM(D34:D38)</f>
        <v>15</v>
      </c>
      <c r="E39" s="17">
        <f t="shared" si="0"/>
        <v>15</v>
      </c>
      <c r="F39" s="17">
        <f t="shared" si="0"/>
        <v>15</v>
      </c>
      <c r="G39" s="17">
        <f t="shared" si="0"/>
        <v>15</v>
      </c>
      <c r="H39" s="17">
        <f t="shared" si="0"/>
        <v>15</v>
      </c>
      <c r="I39" s="17">
        <f t="shared" si="0"/>
        <v>15</v>
      </c>
      <c r="J39" s="17">
        <f t="shared" si="0"/>
        <v>15</v>
      </c>
      <c r="K39" s="17">
        <f t="shared" si="0"/>
        <v>15</v>
      </c>
      <c r="L39" s="17">
        <f t="shared" si="0"/>
        <v>15</v>
      </c>
      <c r="M39" s="17">
        <f t="shared" si="0"/>
        <v>15</v>
      </c>
      <c r="N39" s="17">
        <f t="shared" si="0"/>
        <v>15</v>
      </c>
      <c r="O39" s="17">
        <f t="shared" si="0"/>
        <v>15</v>
      </c>
      <c r="P39" s="17">
        <f t="shared" si="0"/>
        <v>15</v>
      </c>
      <c r="Q39" s="17">
        <f t="shared" si="0"/>
        <v>15</v>
      </c>
      <c r="R39" s="17">
        <f t="shared" si="0"/>
        <v>15</v>
      </c>
      <c r="S39" s="17">
        <f>SUM(S34:S38)</f>
        <v>15</v>
      </c>
      <c r="T39" s="17">
        <f t="shared" ref="T39" si="1">SUM(T34:T38)</f>
        <v>15</v>
      </c>
      <c r="W39" s="17"/>
      <c r="Y39" s="17"/>
      <c r="Z39" s="17"/>
      <c r="AA39" s="17"/>
      <c r="AG39" s="17"/>
      <c r="AL39" s="17">
        <f t="shared" ref="AL39:AM39" si="2">SUM(AL34:AL38)</f>
        <v>15</v>
      </c>
      <c r="AM39" s="17">
        <f t="shared" si="2"/>
        <v>15</v>
      </c>
    </row>
    <row r="40" spans="1:45" x14ac:dyDescent="0.2">
      <c r="A40" s="17"/>
      <c r="B40" s="17"/>
      <c r="C40" s="17"/>
      <c r="D40" s="17"/>
      <c r="E40" s="17"/>
      <c r="F40" s="17"/>
      <c r="G40" s="17"/>
      <c r="H40" s="17"/>
      <c r="J40" s="17"/>
      <c r="K40" s="17"/>
      <c r="L40" s="17"/>
      <c r="M40" s="17"/>
      <c r="N40" s="17"/>
      <c r="P40" s="17"/>
      <c r="Q40" s="17"/>
      <c r="R40" s="17"/>
      <c r="S40" s="17"/>
      <c r="T40" s="17"/>
      <c r="W40" s="17"/>
      <c r="Y40" s="17"/>
      <c r="Z40" s="17"/>
      <c r="AA40" s="17"/>
      <c r="AG40" s="17"/>
      <c r="AL40" s="17"/>
      <c r="AM40" s="17"/>
    </row>
    <row r="41" spans="1:45" x14ac:dyDescent="0.2">
      <c r="A41" s="17"/>
      <c r="B41" s="17"/>
      <c r="C41" s="17"/>
      <c r="D41" s="17"/>
      <c r="E41" s="17"/>
      <c r="F41" s="17"/>
      <c r="G41" s="17"/>
      <c r="H41" s="17"/>
      <c r="J41" s="17"/>
      <c r="K41" s="17"/>
      <c r="L41" s="17"/>
      <c r="M41" s="17"/>
      <c r="N41" s="17"/>
      <c r="P41" s="17"/>
      <c r="Q41" s="17"/>
      <c r="R41" s="17"/>
      <c r="S41" s="17"/>
      <c r="T41" s="17"/>
      <c r="W41" s="17"/>
      <c r="Y41" s="17"/>
      <c r="Z41" s="17"/>
      <c r="AA41" s="17"/>
      <c r="AG41" s="17"/>
      <c r="AL41" s="17"/>
      <c r="AM41" s="17"/>
    </row>
    <row r="42" spans="1:45" x14ac:dyDescent="0.2">
      <c r="A42" s="17"/>
      <c r="B42" s="17"/>
      <c r="C42" s="17"/>
      <c r="D42" s="17"/>
      <c r="E42" s="17"/>
      <c r="F42" s="17"/>
      <c r="G42" s="17"/>
      <c r="H42" s="17"/>
      <c r="J42" s="17"/>
      <c r="K42" s="17"/>
      <c r="L42" s="17"/>
      <c r="M42" s="17"/>
      <c r="N42" s="17"/>
      <c r="P42" s="17"/>
      <c r="Q42" s="17"/>
      <c r="R42" s="17"/>
      <c r="S42" s="17"/>
      <c r="T42" s="17"/>
      <c r="W42" s="17"/>
      <c r="Y42" s="17"/>
      <c r="Z42" s="17"/>
      <c r="AA42" s="17"/>
      <c r="AG42" s="17"/>
      <c r="AL42" s="17"/>
      <c r="AM42" s="17"/>
    </row>
    <row r="43" spans="1:45" x14ac:dyDescent="0.2">
      <c r="B43" s="17"/>
      <c r="C43" s="17"/>
      <c r="D43" s="17"/>
      <c r="E43" s="17"/>
      <c r="F43" s="17"/>
      <c r="G43" s="17"/>
      <c r="H43" s="17"/>
      <c r="J43" s="17"/>
      <c r="K43" s="17"/>
      <c r="L43" s="17"/>
      <c r="M43" s="17"/>
      <c r="N43" s="17"/>
      <c r="P43" s="17"/>
      <c r="Q43" s="17"/>
      <c r="R43" s="17"/>
      <c r="S43" s="17"/>
      <c r="T43" s="17"/>
      <c r="Y43" s="17"/>
      <c r="Z43" s="17"/>
      <c r="AA43" s="17"/>
      <c r="AG43" s="17"/>
      <c r="AL43" s="17"/>
      <c r="AM43" s="17"/>
    </row>
    <row r="44" spans="1:45" x14ac:dyDescent="0.2">
      <c r="B44" s="17"/>
      <c r="C44" s="17"/>
      <c r="D44" s="17"/>
      <c r="E44" s="17"/>
      <c r="F44" s="17"/>
      <c r="G44" s="17"/>
      <c r="H44" s="17"/>
      <c r="J44" s="17"/>
      <c r="K44" s="17"/>
      <c r="L44" s="17"/>
      <c r="M44" s="17"/>
      <c r="N44" s="17"/>
      <c r="P44" s="17"/>
      <c r="Q44" s="17"/>
      <c r="R44" s="17"/>
      <c r="S44" s="17"/>
      <c r="T44" s="17"/>
      <c r="Y44" s="17"/>
      <c r="Z44" s="17"/>
      <c r="AA44" s="17"/>
      <c r="AG44" s="17"/>
      <c r="AL44" s="17"/>
      <c r="AM44" s="17"/>
    </row>
    <row r="45" spans="1:45" x14ac:dyDescent="0.2">
      <c r="B45" s="17"/>
      <c r="C45" s="17"/>
      <c r="D45" s="17"/>
      <c r="E45" s="17"/>
      <c r="F45" s="17"/>
      <c r="G45" s="17"/>
      <c r="H45" s="17"/>
      <c r="J45" s="17"/>
      <c r="K45" s="17"/>
      <c r="L45" s="17"/>
      <c r="M45" s="17"/>
      <c r="N45" s="17"/>
      <c r="P45" s="17"/>
      <c r="Q45" s="17"/>
      <c r="R45" s="17"/>
      <c r="S45" s="17"/>
      <c r="T45" s="17"/>
      <c r="Y45" s="17"/>
      <c r="Z45" s="17"/>
      <c r="AA45" s="17"/>
      <c r="AG45" s="17"/>
      <c r="AL45" s="17"/>
      <c r="AM45" s="17"/>
    </row>
    <row r="46" spans="1:45" x14ac:dyDescent="0.2">
      <c r="A46" s="18"/>
      <c r="B46" s="18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Y46" s="16"/>
      <c r="Z46" s="16"/>
      <c r="AA46" s="16"/>
      <c r="AG46" s="16"/>
      <c r="AL46" s="16"/>
      <c r="AM46" s="16"/>
    </row>
    <row r="47" spans="1:45" x14ac:dyDescent="0.2">
      <c r="A47" s="17"/>
      <c r="B47" s="17"/>
      <c r="C47" s="17"/>
      <c r="D47" s="17"/>
      <c r="E47" s="17"/>
      <c r="F47" s="17"/>
      <c r="G47" s="17"/>
      <c r="H47" s="17"/>
      <c r="J47" s="17"/>
      <c r="K47" s="17"/>
      <c r="L47" s="17"/>
      <c r="M47" s="17"/>
      <c r="N47" s="17"/>
      <c r="P47" s="17"/>
      <c r="Q47" s="17"/>
      <c r="R47" s="17"/>
      <c r="S47" s="17"/>
      <c r="T47" s="17"/>
      <c r="Y47" s="17"/>
      <c r="Z47" s="17"/>
      <c r="AA47" s="17"/>
      <c r="AG47" s="17"/>
      <c r="AL47" s="17"/>
      <c r="AM47" s="17"/>
    </row>
    <row r="48" spans="1:45" x14ac:dyDescent="0.2">
      <c r="B48" s="40"/>
      <c r="C48" s="17"/>
      <c r="D48" s="17"/>
      <c r="E48" s="17"/>
      <c r="F48" s="17"/>
      <c r="G48" s="17"/>
      <c r="H48" s="17"/>
      <c r="J48" s="17"/>
      <c r="K48" s="17"/>
      <c r="L48" s="17"/>
      <c r="M48" s="17"/>
      <c r="N48" s="17"/>
      <c r="P48" s="17"/>
      <c r="Q48" s="17"/>
      <c r="R48" s="17"/>
      <c r="S48" s="17"/>
      <c r="T48" s="17"/>
      <c r="Y48" s="17"/>
      <c r="Z48" s="17"/>
      <c r="AA48" s="17"/>
      <c r="AE48" s="17"/>
      <c r="AF48" s="17"/>
      <c r="AG48" s="17"/>
      <c r="AL48" s="17"/>
      <c r="AM48" s="17"/>
      <c r="AQ48" s="17"/>
      <c r="AS48" s="17"/>
    </row>
    <row r="49" spans="1:45" x14ac:dyDescent="0.2">
      <c r="B49" s="40"/>
      <c r="C49" s="17"/>
      <c r="D49" s="17"/>
      <c r="E49" s="17"/>
      <c r="F49" s="17"/>
      <c r="G49" s="17"/>
      <c r="H49" s="17"/>
      <c r="J49" s="17"/>
      <c r="K49" s="17"/>
      <c r="L49" s="17"/>
      <c r="M49" s="17"/>
      <c r="N49" s="17"/>
      <c r="P49" s="17"/>
      <c r="Q49" s="17"/>
      <c r="R49" s="17"/>
      <c r="S49" s="17"/>
      <c r="T49" s="17"/>
      <c r="Y49" s="17"/>
      <c r="Z49" s="17"/>
      <c r="AA49" s="17"/>
      <c r="AE49" s="17"/>
      <c r="AF49" s="17"/>
      <c r="AG49" s="17"/>
      <c r="AL49" s="17"/>
      <c r="AM49" s="17"/>
      <c r="AQ49" s="17"/>
      <c r="AS49" s="17"/>
    </row>
    <row r="50" spans="1:45" x14ac:dyDescent="0.2">
      <c r="B50" s="40"/>
      <c r="C50" s="17"/>
      <c r="D50" s="17"/>
      <c r="E50" s="17"/>
      <c r="F50" s="17"/>
      <c r="G50" s="17"/>
      <c r="H50" s="17"/>
      <c r="J50" s="17"/>
      <c r="K50" s="17"/>
      <c r="L50" s="17"/>
      <c r="M50" s="17"/>
      <c r="N50" s="17"/>
      <c r="P50" s="17"/>
      <c r="Q50" s="17"/>
      <c r="R50" s="17"/>
      <c r="S50" s="17"/>
      <c r="T50" s="17"/>
      <c r="Y50" s="17"/>
      <c r="Z50" s="17"/>
      <c r="AA50" s="17"/>
      <c r="AE50" s="17"/>
      <c r="AF50" s="17"/>
      <c r="AG50" s="17"/>
      <c r="AL50" s="17"/>
      <c r="AM50" s="17"/>
      <c r="AQ50" s="17"/>
      <c r="AS50" s="17"/>
    </row>
    <row r="51" spans="1:45" x14ac:dyDescent="0.2">
      <c r="B51" s="40"/>
      <c r="C51" s="17"/>
      <c r="D51" s="17"/>
      <c r="E51" s="17"/>
      <c r="F51" s="17"/>
      <c r="G51" s="17"/>
      <c r="H51" s="17"/>
      <c r="J51" s="17"/>
      <c r="K51" s="17"/>
      <c r="L51" s="17"/>
      <c r="M51" s="17"/>
      <c r="N51" s="17"/>
      <c r="P51" s="17"/>
      <c r="Q51" s="17"/>
      <c r="R51" s="17"/>
      <c r="S51" s="17"/>
      <c r="T51" s="17"/>
      <c r="Y51" s="17"/>
      <c r="Z51" s="17"/>
      <c r="AA51" s="17"/>
      <c r="AE51" s="17"/>
      <c r="AF51" s="17"/>
      <c r="AG51" s="17"/>
      <c r="AL51" s="17"/>
      <c r="AM51" s="17"/>
      <c r="AQ51" s="17"/>
      <c r="AS51" s="17"/>
    </row>
    <row r="52" spans="1:45" x14ac:dyDescent="0.2">
      <c r="B52" s="40"/>
      <c r="C52" s="17"/>
      <c r="D52" s="17"/>
      <c r="E52" s="17"/>
      <c r="F52" s="17"/>
      <c r="G52" s="17"/>
      <c r="H52" s="17"/>
      <c r="J52" s="17"/>
      <c r="K52" s="17"/>
      <c r="L52" s="17"/>
      <c r="M52" s="17"/>
      <c r="N52" s="17"/>
      <c r="P52" s="17"/>
      <c r="Q52" s="17"/>
      <c r="R52" s="17"/>
      <c r="S52" s="17"/>
      <c r="T52" s="17"/>
      <c r="Y52" s="17"/>
      <c r="Z52" s="17"/>
      <c r="AA52" s="17"/>
      <c r="AE52" s="17"/>
      <c r="AF52" s="17"/>
      <c r="AG52" s="17"/>
      <c r="AL52" s="17"/>
      <c r="AM52" s="17"/>
      <c r="AQ52" s="17"/>
      <c r="AS52" s="17"/>
    </row>
    <row r="53" spans="1:45" x14ac:dyDescent="0.2">
      <c r="B53" s="40"/>
      <c r="C53" s="17"/>
      <c r="D53" s="17"/>
      <c r="E53" s="17"/>
      <c r="F53" s="17"/>
      <c r="G53" s="17"/>
      <c r="H53" s="17"/>
      <c r="J53" s="17"/>
      <c r="K53" s="17"/>
      <c r="L53" s="17"/>
      <c r="M53" s="17"/>
      <c r="N53" s="17"/>
      <c r="P53" s="17"/>
      <c r="Q53" s="17"/>
      <c r="R53" s="17"/>
      <c r="S53" s="17"/>
      <c r="T53" s="17"/>
      <c r="Y53" s="17"/>
      <c r="Z53" s="17"/>
      <c r="AA53" s="17"/>
      <c r="AE53" s="17"/>
      <c r="AF53" s="17"/>
      <c r="AG53" s="17"/>
      <c r="AL53" s="17"/>
      <c r="AM53" s="17"/>
      <c r="AQ53" s="17"/>
      <c r="AS53" s="17"/>
    </row>
    <row r="54" spans="1:45" x14ac:dyDescent="0.2">
      <c r="B54" s="40"/>
      <c r="C54" s="17"/>
      <c r="D54" s="17"/>
      <c r="E54" s="17"/>
      <c r="F54" s="17"/>
      <c r="G54" s="17"/>
      <c r="H54" s="17"/>
      <c r="J54" s="17"/>
      <c r="K54" s="17"/>
      <c r="L54" s="17"/>
      <c r="M54" s="17"/>
      <c r="N54" s="17"/>
      <c r="P54" s="17"/>
      <c r="Q54" s="17"/>
      <c r="R54" s="17"/>
      <c r="S54" s="17"/>
      <c r="T54" s="17"/>
      <c r="Y54" s="17"/>
      <c r="Z54" s="17"/>
      <c r="AA54" s="17"/>
      <c r="AE54" s="17"/>
      <c r="AF54" s="17"/>
      <c r="AG54" s="17"/>
      <c r="AL54" s="17"/>
      <c r="AM54" s="17"/>
      <c r="AQ54" s="17"/>
      <c r="AS54" s="17"/>
    </row>
    <row r="55" spans="1:45" x14ac:dyDescent="0.2">
      <c r="B55" s="40"/>
      <c r="C55" s="17"/>
      <c r="D55" s="17"/>
      <c r="E55" s="17"/>
      <c r="F55" s="17"/>
      <c r="G55" s="17"/>
      <c r="H55" s="17"/>
      <c r="J55" s="17"/>
      <c r="K55" s="17"/>
      <c r="L55" s="17"/>
      <c r="M55" s="17"/>
      <c r="N55" s="17"/>
      <c r="P55" s="17"/>
      <c r="Q55" s="17"/>
      <c r="R55" s="17"/>
      <c r="S55" s="17"/>
      <c r="T55" s="17"/>
      <c r="Y55" s="17"/>
      <c r="Z55" s="17"/>
      <c r="AA55" s="17"/>
      <c r="AE55" s="17"/>
      <c r="AF55" s="17"/>
      <c r="AG55" s="17"/>
      <c r="AL55" s="17"/>
      <c r="AM55" s="17"/>
      <c r="AQ55" s="17"/>
      <c r="AS55" s="17"/>
    </row>
    <row r="56" spans="1:45" x14ac:dyDescent="0.2">
      <c r="B56" s="40"/>
      <c r="C56" s="17"/>
      <c r="D56" s="17"/>
      <c r="E56" s="17"/>
      <c r="F56" s="17"/>
      <c r="G56" s="17"/>
      <c r="H56" s="17"/>
      <c r="J56" s="17"/>
      <c r="K56" s="17"/>
      <c r="L56" s="17"/>
      <c r="M56" s="17"/>
      <c r="N56" s="17"/>
      <c r="P56" s="17"/>
      <c r="Q56" s="17"/>
      <c r="R56" s="17"/>
      <c r="S56" s="17"/>
      <c r="T56" s="17"/>
      <c r="Y56" s="17"/>
      <c r="Z56" s="17"/>
      <c r="AA56" s="17"/>
      <c r="AE56" s="17"/>
      <c r="AF56" s="17"/>
      <c r="AG56" s="17"/>
      <c r="AL56" s="17"/>
      <c r="AM56" s="17"/>
      <c r="AQ56" s="17"/>
      <c r="AS56" s="17"/>
    </row>
    <row r="57" spans="1:45" x14ac:dyDescent="0.2">
      <c r="A57" s="18"/>
      <c r="B57" s="18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X57" s="16"/>
      <c r="Y57" s="16"/>
      <c r="Z57" s="16"/>
      <c r="AA57" s="16"/>
      <c r="AE57" s="16"/>
      <c r="AF57" s="16"/>
      <c r="AG57" s="16"/>
      <c r="AL57" s="16"/>
      <c r="AM57" s="16"/>
      <c r="AP57" s="16"/>
      <c r="AQ57" s="16"/>
      <c r="AR57" s="16"/>
      <c r="AS57" s="16"/>
    </row>
    <row r="58" spans="1:45" x14ac:dyDescent="0.2">
      <c r="A58" s="17"/>
      <c r="B58" s="17"/>
      <c r="C58" s="17"/>
      <c r="D58" s="17"/>
      <c r="E58" s="17"/>
      <c r="F58" s="17"/>
      <c r="G58" s="17"/>
      <c r="H58" s="17"/>
      <c r="J58" s="17"/>
      <c r="K58" s="17"/>
      <c r="L58" s="17"/>
      <c r="M58" s="17"/>
      <c r="N58" s="17"/>
      <c r="P58" s="17"/>
      <c r="Q58" s="17"/>
      <c r="R58" s="17"/>
      <c r="S58" s="17"/>
      <c r="T58" s="17"/>
      <c r="Y58" s="17"/>
      <c r="Z58" s="17"/>
      <c r="AA58" s="17"/>
      <c r="AE58" s="17"/>
      <c r="AF58" s="17"/>
      <c r="AG58" s="17"/>
      <c r="AL58" s="17"/>
      <c r="AM58" s="17"/>
      <c r="AQ58" s="17"/>
      <c r="AS58" s="17"/>
    </row>
    <row r="59" spans="1:45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X59" s="40"/>
      <c r="Y59" s="40"/>
      <c r="Z59" s="40"/>
      <c r="AA59" s="40"/>
      <c r="AE59" s="40"/>
      <c r="AF59" s="40"/>
      <c r="AG59" s="40"/>
      <c r="AL59" s="40"/>
      <c r="AM59" s="40"/>
      <c r="AP59" s="40"/>
      <c r="AQ59" s="40"/>
      <c r="AR59" s="40"/>
      <c r="AS59" s="40"/>
    </row>
    <row r="60" spans="1:45" x14ac:dyDescent="0.2">
      <c r="I60"/>
      <c r="N60" s="17"/>
      <c r="O60"/>
      <c r="Q60" s="17"/>
      <c r="X60"/>
      <c r="AP60"/>
      <c r="AR60"/>
    </row>
    <row r="61" spans="1:45" x14ac:dyDescent="0.2">
      <c r="I61"/>
      <c r="N61" s="17"/>
      <c r="O61"/>
      <c r="Q61" s="17"/>
      <c r="X61"/>
      <c r="AP61"/>
      <c r="AR61"/>
    </row>
    <row r="62" spans="1:45" x14ac:dyDescent="0.2">
      <c r="B62" s="50"/>
      <c r="C62" s="17"/>
      <c r="I62"/>
      <c r="N62" s="17"/>
      <c r="O62"/>
      <c r="X62"/>
      <c r="AE62" s="17"/>
      <c r="AP62"/>
      <c r="AR62"/>
    </row>
    <row r="63" spans="1:45" x14ac:dyDescent="0.2">
      <c r="B63" s="17"/>
      <c r="C63" s="17"/>
      <c r="I63"/>
      <c r="N63" s="17"/>
      <c r="O63"/>
      <c r="X63"/>
      <c r="AE63" s="17"/>
      <c r="AP63"/>
      <c r="AR63"/>
    </row>
    <row r="64" spans="1:45" x14ac:dyDescent="0.2">
      <c r="B64" s="17"/>
      <c r="C64" s="17"/>
      <c r="D64" s="17"/>
      <c r="E64" s="17"/>
      <c r="F64" s="17"/>
      <c r="G64" s="17"/>
      <c r="H64" s="17"/>
      <c r="J64" s="17"/>
      <c r="K64" s="17"/>
      <c r="L64" s="17"/>
      <c r="M64" s="17"/>
      <c r="N64" s="17"/>
      <c r="P64" s="17"/>
      <c r="Q64" s="17"/>
      <c r="R64" s="17"/>
      <c r="S64" s="17"/>
      <c r="T64" s="17"/>
      <c r="Y64" s="17"/>
      <c r="Z64" s="17"/>
      <c r="AA64" s="17"/>
      <c r="AE64" s="17"/>
      <c r="AF64" s="17"/>
      <c r="AG64" s="17"/>
      <c r="AL64" s="17"/>
      <c r="AM64" s="17"/>
      <c r="AQ64" s="17"/>
      <c r="AS64" s="17"/>
    </row>
  </sheetData>
  <pageMargins left="0.7" right="0.7" top="0.75" bottom="0.75" header="0.3" footer="0.3"/>
  <ignoredErrors>
    <ignoredError sqref="A43:A53 A29 A6 A8 A14 A12 A16 A4 A10 A22 A18:A20 A25 A27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242D-2904-C246-BC76-6D52F4F20C78}">
  <dimension ref="A1:AF165"/>
  <sheetViews>
    <sheetView zoomScale="75" workbookViewId="0">
      <selection activeCell="W107" sqref="W107"/>
    </sheetView>
  </sheetViews>
  <sheetFormatPr baseColWidth="10" defaultRowHeight="16" x14ac:dyDescent="0.2"/>
  <cols>
    <col min="1" max="1" width="9.6640625" bestFit="1" customWidth="1"/>
    <col min="2" max="2" width="16.5" bestFit="1" customWidth="1"/>
    <col min="3" max="3" width="10" bestFit="1" customWidth="1"/>
    <col min="4" max="4" width="11.5" bestFit="1" customWidth="1"/>
    <col min="5" max="5" width="20.33203125" style="16" bestFit="1" customWidth="1"/>
    <col min="6" max="6" width="6.83203125" bestFit="1" customWidth="1"/>
    <col min="7" max="12" width="4.5" bestFit="1" customWidth="1"/>
    <col min="13" max="13" width="4.83203125" bestFit="1" customWidth="1"/>
    <col min="14" max="20" width="4.5" bestFit="1" customWidth="1"/>
    <col min="21" max="21" width="20.1640625" style="18" bestFit="1" customWidth="1"/>
    <col min="23" max="23" width="24.6640625" bestFit="1" customWidth="1"/>
    <col min="25" max="25" width="6.5" customWidth="1"/>
    <col min="32" max="32" width="14.83203125" bestFit="1" customWidth="1"/>
  </cols>
  <sheetData>
    <row r="1" spans="1:32" x14ac:dyDescent="0.2">
      <c r="C1" s="1" t="s">
        <v>699</v>
      </c>
      <c r="D1" s="1" t="s">
        <v>700</v>
      </c>
      <c r="E1" s="16" t="s">
        <v>112</v>
      </c>
      <c r="F1" s="1">
        <v>20</v>
      </c>
      <c r="G1" s="1">
        <v>21</v>
      </c>
      <c r="H1" s="1">
        <v>22</v>
      </c>
      <c r="I1" s="1">
        <v>23</v>
      </c>
      <c r="J1" s="1">
        <v>24</v>
      </c>
      <c r="K1" s="1">
        <v>25</v>
      </c>
      <c r="L1" s="1">
        <v>26</v>
      </c>
      <c r="M1" s="1">
        <v>27</v>
      </c>
      <c r="N1" s="1">
        <v>28</v>
      </c>
      <c r="O1" s="1">
        <v>29</v>
      </c>
      <c r="P1" s="1">
        <v>30</v>
      </c>
      <c r="Q1" s="1">
        <v>31</v>
      </c>
      <c r="R1" s="1">
        <v>32</v>
      </c>
      <c r="S1" s="1">
        <v>33</v>
      </c>
      <c r="T1" s="1">
        <v>34</v>
      </c>
      <c r="U1" s="18" t="s">
        <v>113</v>
      </c>
      <c r="W1" t="s">
        <v>694</v>
      </c>
      <c r="Z1" t="s">
        <v>567</v>
      </c>
      <c r="AA1" s="105" t="s">
        <v>574</v>
      </c>
      <c r="AB1" s="105"/>
      <c r="AC1" t="s">
        <v>575</v>
      </c>
      <c r="AD1" t="s">
        <v>576</v>
      </c>
      <c r="AE1" t="s">
        <v>577</v>
      </c>
      <c r="AF1" t="s">
        <v>578</v>
      </c>
    </row>
    <row r="2" spans="1:32" x14ac:dyDescent="0.2">
      <c r="A2" t="s">
        <v>114</v>
      </c>
      <c r="B2" s="36" t="s">
        <v>283</v>
      </c>
      <c r="C2">
        <v>4</v>
      </c>
      <c r="D2">
        <v>35.6</v>
      </c>
      <c r="E2" s="16">
        <v>1734</v>
      </c>
      <c r="F2">
        <v>42</v>
      </c>
      <c r="G2">
        <v>54</v>
      </c>
      <c r="H2">
        <v>118</v>
      </c>
      <c r="I2">
        <v>54</v>
      </c>
      <c r="J2">
        <v>18</v>
      </c>
      <c r="K2">
        <v>118</v>
      </c>
      <c r="L2">
        <v>118</v>
      </c>
      <c r="M2">
        <v>12</v>
      </c>
      <c r="N2">
        <v>118</v>
      </c>
      <c r="O2">
        <v>54</v>
      </c>
      <c r="P2">
        <v>118</v>
      </c>
      <c r="Q2">
        <v>118</v>
      </c>
      <c r="R2">
        <v>30</v>
      </c>
      <c r="S2">
        <v>0</v>
      </c>
      <c r="T2">
        <v>54</v>
      </c>
      <c r="U2" s="18">
        <f>E2+SUM(F2:T2)</f>
        <v>2760</v>
      </c>
      <c r="W2">
        <f>SUM(F2:T2)</f>
        <v>1026</v>
      </c>
      <c r="AA2" t="s">
        <v>572</v>
      </c>
      <c r="AB2" t="s">
        <v>573</v>
      </c>
    </row>
    <row r="3" spans="1:32" x14ac:dyDescent="0.2">
      <c r="B3" s="36" t="s">
        <v>161</v>
      </c>
      <c r="C3">
        <v>1</v>
      </c>
      <c r="D3">
        <v>37</v>
      </c>
      <c r="E3" s="16">
        <v>868</v>
      </c>
      <c r="F3">
        <v>54</v>
      </c>
      <c r="G3">
        <v>106</v>
      </c>
      <c r="H3">
        <f>59*2</f>
        <v>118</v>
      </c>
      <c r="I3">
        <v>12</v>
      </c>
      <c r="J3">
        <v>18</v>
      </c>
      <c r="K3">
        <f>21*2</f>
        <v>42</v>
      </c>
      <c r="L3">
        <v>0</v>
      </c>
      <c r="M3">
        <v>0</v>
      </c>
      <c r="N3">
        <v>0</v>
      </c>
      <c r="O3">
        <v>0</v>
      </c>
      <c r="P3">
        <v>0</v>
      </c>
      <c r="Q3">
        <v>12</v>
      </c>
      <c r="R3">
        <v>106</v>
      </c>
      <c r="S3">
        <v>12</v>
      </c>
      <c r="T3">
        <v>-12</v>
      </c>
      <c r="U3" s="18">
        <f t="shared" ref="U3:U70" si="0">E3+SUM(F3:T3)</f>
        <v>1336</v>
      </c>
      <c r="W3">
        <f t="shared" ref="W3:W70" si="1">SUM(F3:T3)</f>
        <v>468</v>
      </c>
      <c r="Y3" t="s">
        <v>149</v>
      </c>
      <c r="Z3">
        <v>36</v>
      </c>
      <c r="AA3">
        <v>18</v>
      </c>
      <c r="AB3">
        <v>6</v>
      </c>
      <c r="AC3">
        <v>128</v>
      </c>
      <c r="AD3">
        <v>64</v>
      </c>
      <c r="AE3">
        <v>64</v>
      </c>
      <c r="AF3">
        <v>-24</v>
      </c>
    </row>
    <row r="4" spans="1:32" x14ac:dyDescent="0.2">
      <c r="B4" s="35" t="s">
        <v>204</v>
      </c>
      <c r="C4">
        <v>4.5</v>
      </c>
      <c r="D4">
        <v>45</v>
      </c>
      <c r="E4" s="16">
        <v>1734</v>
      </c>
      <c r="F4">
        <v>102</v>
      </c>
      <c r="G4">
        <v>198</v>
      </c>
      <c r="H4">
        <v>102</v>
      </c>
      <c r="I4">
        <v>102</v>
      </c>
      <c r="J4">
        <v>42</v>
      </c>
      <c r="K4">
        <v>102</v>
      </c>
      <c r="L4">
        <v>30</v>
      </c>
      <c r="M4">
        <v>6</v>
      </c>
      <c r="N4">
        <v>90</v>
      </c>
      <c r="O4">
        <v>150</v>
      </c>
      <c r="P4">
        <v>102</v>
      </c>
      <c r="Q4">
        <v>54</v>
      </c>
      <c r="R4">
        <v>246</v>
      </c>
      <c r="S4">
        <v>30</v>
      </c>
      <c r="T4">
        <v>198</v>
      </c>
      <c r="U4" s="18">
        <f t="shared" si="0"/>
        <v>3288</v>
      </c>
      <c r="W4">
        <f t="shared" si="1"/>
        <v>1554</v>
      </c>
      <c r="Y4" t="s">
        <v>203</v>
      </c>
      <c r="Z4">
        <v>36</v>
      </c>
      <c r="AA4">
        <v>18</v>
      </c>
      <c r="AB4">
        <v>6</v>
      </c>
      <c r="AC4">
        <v>96</v>
      </c>
      <c r="AD4">
        <v>48</v>
      </c>
      <c r="AE4">
        <v>48</v>
      </c>
      <c r="AF4">
        <v>-24</v>
      </c>
    </row>
    <row r="5" spans="1:32" x14ac:dyDescent="0.2">
      <c r="B5" s="35" t="s">
        <v>281</v>
      </c>
      <c r="C5">
        <v>4</v>
      </c>
      <c r="D5">
        <v>58.6</v>
      </c>
      <c r="E5" s="16">
        <v>1464</v>
      </c>
      <c r="F5">
        <v>42</v>
      </c>
      <c r="G5">
        <v>54</v>
      </c>
      <c r="H5">
        <v>102</v>
      </c>
      <c r="I5">
        <v>102</v>
      </c>
      <c r="J5">
        <v>18</v>
      </c>
      <c r="K5">
        <v>198</v>
      </c>
      <c r="L5">
        <v>102</v>
      </c>
      <c r="M5">
        <v>12</v>
      </c>
      <c r="N5">
        <v>102</v>
      </c>
      <c r="O5">
        <v>102</v>
      </c>
      <c r="P5">
        <v>102</v>
      </c>
      <c r="Q5">
        <v>0</v>
      </c>
      <c r="R5">
        <v>0</v>
      </c>
      <c r="S5">
        <v>0</v>
      </c>
      <c r="T5">
        <v>0</v>
      </c>
      <c r="U5" s="18">
        <f t="shared" si="0"/>
        <v>2400</v>
      </c>
      <c r="W5">
        <f t="shared" si="1"/>
        <v>936</v>
      </c>
      <c r="Y5" t="s">
        <v>140</v>
      </c>
      <c r="Z5">
        <v>28</v>
      </c>
      <c r="AA5">
        <v>18</v>
      </c>
      <c r="AB5">
        <v>6</v>
      </c>
      <c r="AC5">
        <v>80</v>
      </c>
      <c r="AD5">
        <v>40</v>
      </c>
      <c r="AE5">
        <v>24</v>
      </c>
      <c r="AF5">
        <v>-12</v>
      </c>
    </row>
    <row r="6" spans="1:32" x14ac:dyDescent="0.2">
      <c r="B6" s="35" t="s">
        <v>220</v>
      </c>
      <c r="C6">
        <v>1.75</v>
      </c>
      <c r="D6">
        <v>8</v>
      </c>
      <c r="E6" s="16">
        <v>966</v>
      </c>
      <c r="F6">
        <v>102</v>
      </c>
      <c r="G6">
        <v>138</v>
      </c>
      <c r="H6">
        <v>102</v>
      </c>
      <c r="I6">
        <v>12</v>
      </c>
      <c r="J6">
        <v>0</v>
      </c>
      <c r="K6">
        <v>36</v>
      </c>
      <c r="L6">
        <v>12</v>
      </c>
      <c r="M6">
        <v>102</v>
      </c>
      <c r="N6">
        <v>42</v>
      </c>
      <c r="O6">
        <v>42</v>
      </c>
      <c r="P6">
        <v>12</v>
      </c>
      <c r="Q6">
        <v>12</v>
      </c>
      <c r="R6">
        <v>90</v>
      </c>
      <c r="S6">
        <v>0</v>
      </c>
      <c r="T6">
        <v>0</v>
      </c>
      <c r="U6" s="18">
        <f t="shared" si="0"/>
        <v>1668</v>
      </c>
      <c r="W6">
        <f t="shared" si="1"/>
        <v>702</v>
      </c>
      <c r="Y6" t="s">
        <v>135</v>
      </c>
      <c r="Z6">
        <v>28</v>
      </c>
      <c r="AA6">
        <v>18</v>
      </c>
      <c r="AB6">
        <v>6</v>
      </c>
      <c r="AC6">
        <v>64</v>
      </c>
      <c r="AD6">
        <v>32</v>
      </c>
      <c r="AE6">
        <v>0</v>
      </c>
      <c r="AF6">
        <v>0</v>
      </c>
    </row>
    <row r="7" spans="1:32" x14ac:dyDescent="0.2">
      <c r="B7" s="35" t="s">
        <v>324</v>
      </c>
      <c r="C7">
        <v>1.25</v>
      </c>
      <c r="D7">
        <v>3</v>
      </c>
      <c r="E7" s="16">
        <v>516</v>
      </c>
      <c r="F7">
        <v>30</v>
      </c>
      <c r="G7">
        <v>102</v>
      </c>
      <c r="H7">
        <v>78</v>
      </c>
      <c r="I7">
        <v>126</v>
      </c>
      <c r="J7">
        <v>12</v>
      </c>
      <c r="K7">
        <v>42</v>
      </c>
      <c r="L7">
        <f>75*2</f>
        <v>150</v>
      </c>
      <c r="M7">
        <v>-12</v>
      </c>
      <c r="N7">
        <v>54</v>
      </c>
      <c r="O7">
        <v>30</v>
      </c>
      <c r="P7">
        <v>54</v>
      </c>
      <c r="Q7">
        <v>-6</v>
      </c>
      <c r="R7">
        <v>102</v>
      </c>
      <c r="S7">
        <v>36</v>
      </c>
      <c r="T7">
        <v>66</v>
      </c>
      <c r="U7" s="18">
        <f t="shared" si="0"/>
        <v>1380</v>
      </c>
      <c r="W7">
        <f t="shared" si="1"/>
        <v>864</v>
      </c>
    </row>
    <row r="8" spans="1:32" x14ac:dyDescent="0.2">
      <c r="B8" s="35" t="s">
        <v>586</v>
      </c>
      <c r="C8">
        <v>0.75</v>
      </c>
      <c r="D8">
        <v>16</v>
      </c>
      <c r="E8" s="16">
        <v>600</v>
      </c>
      <c r="F8">
        <f>27*2</f>
        <v>54</v>
      </c>
      <c r="G8">
        <f>33*2</f>
        <v>66</v>
      </c>
      <c r="H8">
        <v>78</v>
      </c>
      <c r="I8">
        <v>0</v>
      </c>
      <c r="J8">
        <v>18</v>
      </c>
      <c r="K8">
        <v>18</v>
      </c>
      <c r="L8">
        <v>42</v>
      </c>
      <c r="M8">
        <v>18</v>
      </c>
      <c r="N8">
        <v>90</v>
      </c>
      <c r="O8">
        <v>42</v>
      </c>
      <c r="P8">
        <v>12</v>
      </c>
      <c r="Q8">
        <v>12</v>
      </c>
      <c r="R8">
        <v>0</v>
      </c>
      <c r="S8">
        <v>12</v>
      </c>
      <c r="T8">
        <v>-12</v>
      </c>
      <c r="U8" s="18">
        <f t="shared" si="0"/>
        <v>1050</v>
      </c>
      <c r="W8">
        <f t="shared" si="1"/>
        <v>450</v>
      </c>
    </row>
    <row r="9" spans="1:32" x14ac:dyDescent="0.2">
      <c r="B9" s="37" t="s">
        <v>24</v>
      </c>
      <c r="C9">
        <v>5</v>
      </c>
      <c r="D9">
        <v>21</v>
      </c>
      <c r="E9" s="16">
        <v>1602</v>
      </c>
      <c r="F9">
        <v>70</v>
      </c>
      <c r="G9">
        <v>70</v>
      </c>
      <c r="H9">
        <v>28</v>
      </c>
      <c r="I9">
        <v>230</v>
      </c>
      <c r="J9">
        <f>138/3</f>
        <v>46</v>
      </c>
      <c r="K9">
        <v>46</v>
      </c>
      <c r="L9">
        <v>0</v>
      </c>
      <c r="M9">
        <f>140/2</f>
        <v>70</v>
      </c>
      <c r="N9">
        <v>22</v>
      </c>
      <c r="O9">
        <v>70</v>
      </c>
      <c r="P9">
        <v>16</v>
      </c>
      <c r="Q9">
        <v>126</v>
      </c>
      <c r="R9">
        <v>96</v>
      </c>
      <c r="S9">
        <f>788/2</f>
        <v>394</v>
      </c>
      <c r="T9">
        <v>46</v>
      </c>
      <c r="U9" s="18">
        <f t="shared" si="0"/>
        <v>2932</v>
      </c>
      <c r="W9">
        <f t="shared" si="1"/>
        <v>1330</v>
      </c>
    </row>
    <row r="10" spans="1:32" x14ac:dyDescent="0.2">
      <c r="B10" s="37" t="s">
        <v>201</v>
      </c>
      <c r="C10">
        <v>4</v>
      </c>
      <c r="D10">
        <v>59.7</v>
      </c>
      <c r="E10" s="16">
        <v>1570</v>
      </c>
      <c r="F10">
        <v>70</v>
      </c>
      <c r="G10">
        <v>0</v>
      </c>
      <c r="H10">
        <v>70</v>
      </c>
      <c r="I10">
        <v>46</v>
      </c>
      <c r="J10">
        <v>-2</v>
      </c>
      <c r="K10">
        <v>70</v>
      </c>
      <c r="L10">
        <v>34</v>
      </c>
      <c r="M10">
        <v>114</v>
      </c>
      <c r="N10">
        <v>58</v>
      </c>
      <c r="O10">
        <v>150</v>
      </c>
      <c r="P10">
        <v>70</v>
      </c>
      <c r="Q10">
        <v>46</v>
      </c>
      <c r="R10">
        <v>110</v>
      </c>
      <c r="S10">
        <v>0</v>
      </c>
      <c r="T10">
        <v>0</v>
      </c>
      <c r="U10" s="18">
        <f t="shared" si="0"/>
        <v>2406</v>
      </c>
      <c r="W10">
        <f t="shared" si="1"/>
        <v>836</v>
      </c>
    </row>
    <row r="11" spans="1:32" x14ac:dyDescent="0.2">
      <c r="B11" s="37" t="s">
        <v>272</v>
      </c>
      <c r="C11">
        <v>4</v>
      </c>
      <c r="D11">
        <v>27</v>
      </c>
      <c r="E11" s="16">
        <v>1608</v>
      </c>
      <c r="F11">
        <v>0</v>
      </c>
      <c r="G11">
        <v>0</v>
      </c>
      <c r="H11">
        <v>0</v>
      </c>
      <c r="I11">
        <v>0</v>
      </c>
      <c r="J11">
        <v>160</v>
      </c>
      <c r="K11">
        <v>70</v>
      </c>
      <c r="L11">
        <v>70</v>
      </c>
      <c r="M11">
        <v>16</v>
      </c>
      <c r="N11">
        <v>70</v>
      </c>
      <c r="O11">
        <v>46</v>
      </c>
      <c r="P11">
        <v>110</v>
      </c>
      <c r="Q11">
        <v>270</v>
      </c>
      <c r="R11">
        <v>34</v>
      </c>
      <c r="S11">
        <v>34</v>
      </c>
      <c r="T11">
        <v>46</v>
      </c>
      <c r="U11" s="18">
        <f t="shared" si="0"/>
        <v>2534</v>
      </c>
      <c r="W11">
        <f t="shared" si="1"/>
        <v>926</v>
      </c>
    </row>
    <row r="12" spans="1:32" x14ac:dyDescent="0.2">
      <c r="B12" s="37" t="s">
        <v>122</v>
      </c>
      <c r="C12">
        <v>1.5</v>
      </c>
      <c r="D12">
        <v>39.200000000000003</v>
      </c>
      <c r="E12" s="16">
        <v>1018</v>
      </c>
      <c r="F12">
        <v>70</v>
      </c>
      <c r="G12">
        <v>10</v>
      </c>
      <c r="H12">
        <v>28</v>
      </c>
      <c r="I12">
        <v>-8</v>
      </c>
      <c r="J12">
        <v>0</v>
      </c>
      <c r="K12">
        <v>0</v>
      </c>
      <c r="L12">
        <v>0</v>
      </c>
      <c r="M12">
        <v>56</v>
      </c>
      <c r="N12">
        <v>4</v>
      </c>
      <c r="O12">
        <v>46</v>
      </c>
      <c r="P12">
        <v>102</v>
      </c>
      <c r="Q12">
        <v>22</v>
      </c>
      <c r="R12">
        <v>0</v>
      </c>
      <c r="S12">
        <v>34</v>
      </c>
      <c r="T12">
        <v>16</v>
      </c>
      <c r="U12" s="18">
        <f t="shared" si="0"/>
        <v>1398</v>
      </c>
      <c r="W12">
        <f t="shared" si="1"/>
        <v>380</v>
      </c>
    </row>
    <row r="13" spans="1:32" x14ac:dyDescent="0.2">
      <c r="B13" s="37" t="s">
        <v>579</v>
      </c>
      <c r="C13">
        <v>0.75</v>
      </c>
      <c r="E13" s="16">
        <v>162</v>
      </c>
      <c r="F13">
        <v>16</v>
      </c>
      <c r="G13">
        <v>16</v>
      </c>
      <c r="H13">
        <v>4</v>
      </c>
      <c r="I13">
        <v>16</v>
      </c>
      <c r="J13">
        <v>4</v>
      </c>
      <c r="K13">
        <v>4</v>
      </c>
      <c r="L13">
        <v>34</v>
      </c>
      <c r="M13">
        <v>-8</v>
      </c>
      <c r="N13">
        <v>16</v>
      </c>
      <c r="O13">
        <f>28*2</f>
        <v>56</v>
      </c>
      <c r="P13">
        <f>23*2</f>
        <v>46</v>
      </c>
      <c r="Q13">
        <v>62</v>
      </c>
      <c r="R13">
        <v>16</v>
      </c>
      <c r="S13">
        <v>70</v>
      </c>
      <c r="T13">
        <v>4</v>
      </c>
      <c r="U13" s="18">
        <f t="shared" si="0"/>
        <v>518</v>
      </c>
      <c r="W13">
        <f t="shared" si="1"/>
        <v>356</v>
      </c>
    </row>
    <row r="14" spans="1:32" x14ac:dyDescent="0.2">
      <c r="B14" s="37" t="s">
        <v>616</v>
      </c>
      <c r="C14">
        <v>0.5</v>
      </c>
      <c r="D14">
        <v>20</v>
      </c>
      <c r="E14" s="16">
        <v>132</v>
      </c>
      <c r="F14">
        <v>46</v>
      </c>
      <c r="G14">
        <v>16</v>
      </c>
      <c r="H14">
        <v>22</v>
      </c>
      <c r="I14">
        <v>70</v>
      </c>
      <c r="J14">
        <v>114</v>
      </c>
      <c r="K14">
        <v>70</v>
      </c>
      <c r="L14">
        <v>28</v>
      </c>
      <c r="M14">
        <v>126</v>
      </c>
      <c r="N14">
        <v>34</v>
      </c>
      <c r="O14">
        <v>86</v>
      </c>
      <c r="P14">
        <v>22</v>
      </c>
      <c r="Q14">
        <v>-8</v>
      </c>
      <c r="R14">
        <v>46</v>
      </c>
      <c r="S14">
        <f>48*2</f>
        <v>96</v>
      </c>
      <c r="T14">
        <v>126</v>
      </c>
      <c r="U14" s="18">
        <f t="shared" si="0"/>
        <v>1026</v>
      </c>
      <c r="W14">
        <f t="shared" si="1"/>
        <v>894</v>
      </c>
    </row>
    <row r="15" spans="1:32" x14ac:dyDescent="0.2">
      <c r="B15" s="20" t="s">
        <v>269</v>
      </c>
      <c r="C15">
        <v>5.5</v>
      </c>
      <c r="D15">
        <v>79.3</v>
      </c>
      <c r="E15" s="16">
        <v>2126</v>
      </c>
      <c r="F15">
        <f>196/2</f>
        <v>98</v>
      </c>
      <c r="G15">
        <f>156/2</f>
        <v>78</v>
      </c>
      <c r="H15">
        <f>220/2</f>
        <v>110</v>
      </c>
      <c r="I15">
        <v>334</v>
      </c>
      <c r="J15">
        <v>98</v>
      </c>
      <c r="K15">
        <v>46</v>
      </c>
      <c r="L15">
        <f>44/2</f>
        <v>22</v>
      </c>
      <c r="M15">
        <v>-36</v>
      </c>
      <c r="N15">
        <f>92/2</f>
        <v>46</v>
      </c>
      <c r="O15">
        <v>174</v>
      </c>
      <c r="P15">
        <v>206</v>
      </c>
      <c r="Q15">
        <v>174</v>
      </c>
      <c r="R15">
        <f>156/2</f>
        <v>78</v>
      </c>
      <c r="S15">
        <v>34</v>
      </c>
      <c r="T15">
        <f>522/3</f>
        <v>174</v>
      </c>
      <c r="U15" s="18">
        <f t="shared" si="0"/>
        <v>3762</v>
      </c>
      <c r="W15">
        <f t="shared" si="1"/>
        <v>1636</v>
      </c>
    </row>
    <row r="16" spans="1:32" x14ac:dyDescent="0.2">
      <c r="B16" s="20" t="s">
        <v>136</v>
      </c>
      <c r="C16">
        <v>4.5</v>
      </c>
      <c r="D16">
        <v>78.900000000000006</v>
      </c>
      <c r="E16" s="16">
        <v>1514</v>
      </c>
      <c r="F16">
        <v>66</v>
      </c>
      <c r="G16">
        <v>28</v>
      </c>
      <c r="H16">
        <v>106</v>
      </c>
      <c r="I16">
        <v>28</v>
      </c>
      <c r="J16">
        <v>142</v>
      </c>
      <c r="K16">
        <f>256/2</f>
        <v>128</v>
      </c>
      <c r="L16">
        <v>34</v>
      </c>
      <c r="M16">
        <v>0</v>
      </c>
      <c r="N16">
        <v>0</v>
      </c>
      <c r="O16">
        <v>0</v>
      </c>
      <c r="P16">
        <v>110</v>
      </c>
      <c r="Q16">
        <v>0</v>
      </c>
      <c r="R16">
        <v>110</v>
      </c>
      <c r="S16">
        <v>78</v>
      </c>
      <c r="T16">
        <v>34</v>
      </c>
      <c r="U16" s="18">
        <f t="shared" si="0"/>
        <v>2378</v>
      </c>
      <c r="W16">
        <f t="shared" si="1"/>
        <v>864</v>
      </c>
    </row>
    <row r="17" spans="1:23" x14ac:dyDescent="0.2">
      <c r="B17" s="20" t="s">
        <v>261</v>
      </c>
      <c r="C17">
        <v>2</v>
      </c>
      <c r="D17">
        <v>19</v>
      </c>
      <c r="E17" s="16">
        <v>1180</v>
      </c>
      <c r="F17">
        <v>46</v>
      </c>
      <c r="G17">
        <v>98</v>
      </c>
      <c r="H17">
        <v>28</v>
      </c>
      <c r="I17">
        <v>28</v>
      </c>
      <c r="J17">
        <v>28</v>
      </c>
      <c r="K17">
        <v>34</v>
      </c>
      <c r="L17">
        <v>68</v>
      </c>
      <c r="M17">
        <v>28</v>
      </c>
      <c r="N17">
        <f>46*2</f>
        <v>92</v>
      </c>
      <c r="O17">
        <v>46</v>
      </c>
      <c r="P17">
        <v>34</v>
      </c>
      <c r="Q17">
        <v>110</v>
      </c>
      <c r="R17">
        <v>28</v>
      </c>
      <c r="S17">
        <f>49*2</f>
        <v>98</v>
      </c>
      <c r="T17">
        <v>28</v>
      </c>
      <c r="U17" s="18">
        <f t="shared" si="0"/>
        <v>1974</v>
      </c>
      <c r="W17">
        <f t="shared" si="1"/>
        <v>794</v>
      </c>
    </row>
    <row r="18" spans="1:23" x14ac:dyDescent="0.2">
      <c r="B18" s="20" t="s">
        <v>513</v>
      </c>
      <c r="C18">
        <v>1.5</v>
      </c>
      <c r="D18">
        <v>6</v>
      </c>
      <c r="E18" s="16">
        <v>924</v>
      </c>
      <c r="F18">
        <v>92</v>
      </c>
      <c r="G18">
        <v>28</v>
      </c>
      <c r="H18">
        <v>28</v>
      </c>
      <c r="I18">
        <v>28</v>
      </c>
      <c r="J18">
        <v>28</v>
      </c>
      <c r="K18">
        <v>0</v>
      </c>
      <c r="L18">
        <v>0</v>
      </c>
      <c r="M18">
        <v>0</v>
      </c>
      <c r="N18">
        <v>0</v>
      </c>
      <c r="O18">
        <v>0</v>
      </c>
      <c r="P18">
        <v>94</v>
      </c>
      <c r="Q18">
        <v>0</v>
      </c>
      <c r="R18">
        <v>28</v>
      </c>
      <c r="S18">
        <v>174</v>
      </c>
      <c r="T18">
        <v>28</v>
      </c>
      <c r="U18" s="18">
        <f t="shared" si="0"/>
        <v>1452</v>
      </c>
      <c r="W18">
        <f t="shared" si="1"/>
        <v>528</v>
      </c>
    </row>
    <row r="19" spans="1:23" x14ac:dyDescent="0.2">
      <c r="B19" s="20" t="s">
        <v>511</v>
      </c>
      <c r="C19">
        <v>0.5</v>
      </c>
      <c r="D19">
        <v>27.6</v>
      </c>
      <c r="E19" s="16">
        <v>364</v>
      </c>
      <c r="F19">
        <v>46</v>
      </c>
      <c r="G19">
        <v>34</v>
      </c>
      <c r="H19">
        <v>46</v>
      </c>
      <c r="I19">
        <v>28</v>
      </c>
      <c r="J19">
        <v>98</v>
      </c>
      <c r="K19">
        <f>49*2</f>
        <v>98</v>
      </c>
      <c r="L19">
        <v>34</v>
      </c>
      <c r="M19">
        <v>34</v>
      </c>
      <c r="N19">
        <v>34</v>
      </c>
      <c r="O19">
        <v>34</v>
      </c>
      <c r="P19">
        <v>92</v>
      </c>
      <c r="Q19">
        <v>28</v>
      </c>
      <c r="R19">
        <v>10</v>
      </c>
      <c r="S19">
        <v>0</v>
      </c>
      <c r="T19">
        <v>0</v>
      </c>
      <c r="U19" s="18">
        <f t="shared" si="0"/>
        <v>980</v>
      </c>
      <c r="W19">
        <f t="shared" si="1"/>
        <v>616</v>
      </c>
    </row>
    <row r="20" spans="1:23" x14ac:dyDescent="0.2">
      <c r="B20" s="42"/>
    </row>
    <row r="22" spans="1:23" x14ac:dyDescent="0.2">
      <c r="A22" t="s">
        <v>115</v>
      </c>
      <c r="B22" s="36" t="s">
        <v>18</v>
      </c>
      <c r="C22">
        <v>3.5</v>
      </c>
      <c r="E22" s="16">
        <v>776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54</v>
      </c>
      <c r="R22">
        <v>118</v>
      </c>
      <c r="S22">
        <v>30</v>
      </c>
      <c r="T22">
        <v>118</v>
      </c>
      <c r="U22" s="18">
        <f t="shared" si="0"/>
        <v>1096</v>
      </c>
      <c r="W22">
        <f t="shared" si="1"/>
        <v>320</v>
      </c>
    </row>
    <row r="23" spans="1:23" x14ac:dyDescent="0.2">
      <c r="B23" s="36" t="s">
        <v>123</v>
      </c>
      <c r="C23">
        <v>3</v>
      </c>
      <c r="D23">
        <v>24</v>
      </c>
      <c r="E23" s="16">
        <v>1152</v>
      </c>
      <c r="F23">
        <v>118</v>
      </c>
      <c r="G23">
        <v>118</v>
      </c>
      <c r="H23">
        <v>36</v>
      </c>
      <c r="I23">
        <v>118</v>
      </c>
      <c r="J23">
        <v>0</v>
      </c>
      <c r="K23">
        <v>54</v>
      </c>
      <c r="L23">
        <v>12</v>
      </c>
      <c r="M23">
        <v>118</v>
      </c>
      <c r="N23">
        <v>18</v>
      </c>
      <c r="O23">
        <f>236/2</f>
        <v>118</v>
      </c>
      <c r="P23">
        <v>12</v>
      </c>
      <c r="Q23">
        <v>54</v>
      </c>
      <c r="R23">
        <v>12</v>
      </c>
      <c r="S23">
        <v>30</v>
      </c>
      <c r="T23">
        <v>0</v>
      </c>
      <c r="U23" s="18">
        <f t="shared" si="0"/>
        <v>1970</v>
      </c>
      <c r="W23">
        <f t="shared" si="1"/>
        <v>818</v>
      </c>
    </row>
    <row r="24" spans="1:23" x14ac:dyDescent="0.2">
      <c r="B24" s="36" t="s">
        <v>181</v>
      </c>
      <c r="C24">
        <v>3</v>
      </c>
      <c r="D24">
        <v>0</v>
      </c>
      <c r="E24" s="16">
        <v>1098</v>
      </c>
      <c r="F24">
        <v>0</v>
      </c>
      <c r="G24">
        <v>106</v>
      </c>
      <c r="H24">
        <v>54</v>
      </c>
      <c r="I24">
        <v>118</v>
      </c>
      <c r="J24">
        <v>42</v>
      </c>
      <c r="K24">
        <v>118</v>
      </c>
      <c r="L24">
        <v>118</v>
      </c>
      <c r="M24">
        <v>118</v>
      </c>
      <c r="N24">
        <f>36-24-24</f>
        <v>-12</v>
      </c>
      <c r="O24">
        <v>-12</v>
      </c>
      <c r="P24">
        <v>30</v>
      </c>
      <c r="Q24">
        <v>118</v>
      </c>
      <c r="R24">
        <v>54</v>
      </c>
      <c r="S24">
        <v>118</v>
      </c>
      <c r="T24">
        <v>18</v>
      </c>
      <c r="U24" s="18">
        <f t="shared" si="0"/>
        <v>2086</v>
      </c>
      <c r="W24">
        <f t="shared" si="1"/>
        <v>988</v>
      </c>
    </row>
    <row r="25" spans="1:23" x14ac:dyDescent="0.2">
      <c r="B25" s="36" t="s">
        <v>308</v>
      </c>
      <c r="C25">
        <v>2.5</v>
      </c>
      <c r="D25">
        <v>18</v>
      </c>
      <c r="E25" s="16">
        <v>1048</v>
      </c>
      <c r="F25">
        <v>12</v>
      </c>
      <c r="G25">
        <v>12</v>
      </c>
      <c r="H25">
        <f>1102-1072</f>
        <v>30</v>
      </c>
      <c r="I25">
        <v>12</v>
      </c>
      <c r="J25">
        <v>42</v>
      </c>
      <c r="K25">
        <v>12</v>
      </c>
      <c r="L25">
        <f>9*2</f>
        <v>18</v>
      </c>
      <c r="M25">
        <v>118</v>
      </c>
      <c r="N25">
        <v>54</v>
      </c>
      <c r="O25">
        <v>12</v>
      </c>
      <c r="P25">
        <v>30</v>
      </c>
      <c r="Q25">
        <v>118</v>
      </c>
      <c r="R25">
        <v>-12</v>
      </c>
      <c r="S25">
        <v>118</v>
      </c>
      <c r="T25">
        <v>54</v>
      </c>
      <c r="U25" s="18">
        <f t="shared" si="0"/>
        <v>1678</v>
      </c>
      <c r="W25">
        <f t="shared" si="1"/>
        <v>630</v>
      </c>
    </row>
    <row r="26" spans="1:23" x14ac:dyDescent="0.2">
      <c r="B26" s="36" t="s">
        <v>223</v>
      </c>
      <c r="C26">
        <v>2</v>
      </c>
      <c r="D26">
        <v>15</v>
      </c>
      <c r="E26" s="16">
        <v>1014</v>
      </c>
      <c r="F26">
        <f>59*2</f>
        <v>118</v>
      </c>
      <c r="G26">
        <v>42</v>
      </c>
      <c r="H26">
        <v>94</v>
      </c>
      <c r="I26">
        <v>12</v>
      </c>
      <c r="J26">
        <v>118</v>
      </c>
      <c r="K26">
        <v>36</v>
      </c>
      <c r="L26">
        <v>-12</v>
      </c>
      <c r="M26">
        <v>118</v>
      </c>
      <c r="N26">
        <f>21*2</f>
        <v>42</v>
      </c>
      <c r="O26">
        <v>42</v>
      </c>
      <c r="P26">
        <v>12</v>
      </c>
      <c r="Q26">
        <v>-20</v>
      </c>
      <c r="R26">
        <v>106</v>
      </c>
      <c r="S26">
        <v>12</v>
      </c>
      <c r="T26">
        <v>54</v>
      </c>
      <c r="U26" s="18">
        <f t="shared" si="0"/>
        <v>1788</v>
      </c>
      <c r="W26">
        <f t="shared" si="1"/>
        <v>774</v>
      </c>
    </row>
    <row r="27" spans="1:23" x14ac:dyDescent="0.2">
      <c r="B27" s="36" t="s">
        <v>588</v>
      </c>
      <c r="C27">
        <v>1.5</v>
      </c>
      <c r="E27" s="16">
        <v>118</v>
      </c>
      <c r="F27">
        <f>36-24+6</f>
        <v>18</v>
      </c>
      <c r="G27">
        <f>36-24-24</f>
        <v>-12</v>
      </c>
      <c r="H27">
        <f>36-24</f>
        <v>12</v>
      </c>
      <c r="I27">
        <v>118</v>
      </c>
      <c r="J27">
        <f>36+18-24</f>
        <v>30</v>
      </c>
      <c r="K27">
        <f>36-24+6</f>
        <v>18</v>
      </c>
      <c r="L27">
        <v>54</v>
      </c>
      <c r="M27">
        <f>36-24-24</f>
        <v>-12</v>
      </c>
      <c r="N27">
        <v>42</v>
      </c>
      <c r="O27">
        <f>36-24</f>
        <v>12</v>
      </c>
      <c r="P27">
        <f>36</f>
        <v>36</v>
      </c>
      <c r="Q27">
        <v>0</v>
      </c>
      <c r="R27">
        <v>0</v>
      </c>
      <c r="S27">
        <v>0</v>
      </c>
      <c r="T27">
        <v>0</v>
      </c>
      <c r="U27" s="18">
        <f t="shared" si="0"/>
        <v>434</v>
      </c>
      <c r="W27">
        <f t="shared" si="1"/>
        <v>316</v>
      </c>
    </row>
    <row r="28" spans="1:23" x14ac:dyDescent="0.2">
      <c r="B28" s="36" t="s">
        <v>268</v>
      </c>
      <c r="C28">
        <v>1.75</v>
      </c>
      <c r="D28">
        <v>1</v>
      </c>
      <c r="E28" s="16">
        <v>734</v>
      </c>
      <c r="F28">
        <f>59*2</f>
        <v>118</v>
      </c>
      <c r="G28">
        <v>106</v>
      </c>
      <c r="H28">
        <f>994-958</f>
        <v>36</v>
      </c>
      <c r="I28">
        <v>-36</v>
      </c>
      <c r="J28">
        <v>0</v>
      </c>
      <c r="K28">
        <v>42</v>
      </c>
      <c r="L28">
        <v>12</v>
      </c>
      <c r="M28">
        <v>12</v>
      </c>
      <c r="N28">
        <f>-6*2</f>
        <v>-12</v>
      </c>
      <c r="O28">
        <f>27*2</f>
        <v>54</v>
      </c>
      <c r="P28">
        <f>36-24+6</f>
        <v>18</v>
      </c>
      <c r="Q28">
        <v>54</v>
      </c>
      <c r="R28">
        <v>52</v>
      </c>
      <c r="S28">
        <v>0</v>
      </c>
      <c r="T28">
        <v>12</v>
      </c>
      <c r="U28" s="18">
        <f t="shared" si="0"/>
        <v>1202</v>
      </c>
      <c r="W28">
        <f t="shared" si="1"/>
        <v>468</v>
      </c>
    </row>
    <row r="29" spans="1:23" x14ac:dyDescent="0.2">
      <c r="B29" s="36" t="s">
        <v>328</v>
      </c>
      <c r="C29">
        <v>1.75</v>
      </c>
      <c r="D29">
        <v>18</v>
      </c>
      <c r="E29" s="16">
        <v>808</v>
      </c>
      <c r="F29">
        <v>30</v>
      </c>
      <c r="G29">
        <v>0</v>
      </c>
      <c r="H29">
        <v>0</v>
      </c>
      <c r="I29">
        <v>0</v>
      </c>
      <c r="J29">
        <v>0</v>
      </c>
      <c r="K29">
        <v>42</v>
      </c>
      <c r="L29">
        <f>59*2</f>
        <v>118</v>
      </c>
      <c r="M29">
        <v>-12</v>
      </c>
      <c r="N29">
        <v>54</v>
      </c>
      <c r="O29">
        <v>30</v>
      </c>
      <c r="P29">
        <v>54</v>
      </c>
      <c r="Q29">
        <v>18</v>
      </c>
      <c r="R29">
        <v>118</v>
      </c>
      <c r="S29">
        <v>36</v>
      </c>
      <c r="T29">
        <v>18</v>
      </c>
      <c r="U29" s="18">
        <f t="shared" si="0"/>
        <v>1314</v>
      </c>
      <c r="W29">
        <f t="shared" si="1"/>
        <v>506</v>
      </c>
    </row>
    <row r="30" spans="1:23" x14ac:dyDescent="0.2">
      <c r="B30" s="35" t="s">
        <v>125</v>
      </c>
      <c r="C30">
        <v>3.5</v>
      </c>
      <c r="D30">
        <v>5</v>
      </c>
      <c r="E30" s="16">
        <v>324</v>
      </c>
      <c r="F30">
        <v>102</v>
      </c>
      <c r="G30">
        <f>102-24</f>
        <v>78</v>
      </c>
      <c r="H30">
        <v>36</v>
      </c>
      <c r="I30">
        <v>246</v>
      </c>
      <c r="J30">
        <f>936-786</f>
        <v>150</v>
      </c>
      <c r="K30">
        <v>54</v>
      </c>
      <c r="L30">
        <v>36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18">
        <f t="shared" si="0"/>
        <v>1026</v>
      </c>
      <c r="W30">
        <f t="shared" si="1"/>
        <v>702</v>
      </c>
    </row>
    <row r="31" spans="1:23" x14ac:dyDescent="0.2">
      <c r="B31" s="35" t="s">
        <v>20</v>
      </c>
      <c r="C31">
        <v>3</v>
      </c>
      <c r="D31">
        <v>6</v>
      </c>
      <c r="E31" s="16">
        <v>384</v>
      </c>
      <c r="F31">
        <v>102</v>
      </c>
      <c r="G31">
        <v>102</v>
      </c>
      <c r="H31">
        <v>36</v>
      </c>
      <c r="I31">
        <v>150</v>
      </c>
      <c r="J31">
        <f>54-24</f>
        <v>30</v>
      </c>
      <c r="K31">
        <v>54</v>
      </c>
      <c r="L31">
        <f>36-24</f>
        <v>12</v>
      </c>
      <c r="M31">
        <v>150</v>
      </c>
      <c r="N31">
        <v>18</v>
      </c>
      <c r="O31">
        <v>102</v>
      </c>
      <c r="P31">
        <v>12</v>
      </c>
      <c r="Q31">
        <v>54</v>
      </c>
      <c r="R31">
        <v>12</v>
      </c>
      <c r="S31">
        <f>1296-1218</f>
        <v>78</v>
      </c>
      <c r="T31">
        <v>54</v>
      </c>
      <c r="U31" s="18">
        <f t="shared" si="0"/>
        <v>1350</v>
      </c>
      <c r="W31">
        <f t="shared" si="1"/>
        <v>966</v>
      </c>
    </row>
    <row r="32" spans="1:23" x14ac:dyDescent="0.2">
      <c r="B32" s="35" t="s">
        <v>690</v>
      </c>
      <c r="C32">
        <v>2.5</v>
      </c>
      <c r="D32">
        <v>16</v>
      </c>
      <c r="E32" s="16">
        <v>880</v>
      </c>
      <c r="F32">
        <v>102</v>
      </c>
      <c r="G32">
        <v>102</v>
      </c>
      <c r="H32">
        <v>36</v>
      </c>
      <c r="I32">
        <v>102</v>
      </c>
      <c r="J32">
        <v>-2</v>
      </c>
      <c r="K32">
        <v>54</v>
      </c>
      <c r="L32">
        <v>36</v>
      </c>
      <c r="M32">
        <v>102</v>
      </c>
      <c r="N32">
        <v>114</v>
      </c>
      <c r="O32">
        <v>102</v>
      </c>
      <c r="P32">
        <v>12</v>
      </c>
      <c r="Q32">
        <v>54</v>
      </c>
      <c r="R32">
        <v>-12</v>
      </c>
      <c r="S32">
        <v>126</v>
      </c>
      <c r="T32">
        <v>54</v>
      </c>
      <c r="U32" s="18">
        <f t="shared" si="0"/>
        <v>1862</v>
      </c>
      <c r="W32">
        <f t="shared" si="1"/>
        <v>982</v>
      </c>
    </row>
    <row r="33" spans="2:32" x14ac:dyDescent="0.2">
      <c r="B33" s="35" t="s">
        <v>280</v>
      </c>
      <c r="C33">
        <v>4</v>
      </c>
      <c r="D33">
        <v>1</v>
      </c>
      <c r="E33" s="16">
        <v>1224</v>
      </c>
      <c r="F33">
        <f>1266-1224</f>
        <v>42</v>
      </c>
      <c r="G33">
        <f>36+18+96+48+48-24-32</f>
        <v>190</v>
      </c>
      <c r="H33">
        <v>102</v>
      </c>
      <c r="I33">
        <v>54</v>
      </c>
      <c r="J33">
        <v>-6</v>
      </c>
      <c r="K33">
        <v>102</v>
      </c>
      <c r="L33">
        <v>102</v>
      </c>
      <c r="M33">
        <v>12</v>
      </c>
      <c r="N33">
        <v>150</v>
      </c>
      <c r="O33">
        <v>78</v>
      </c>
      <c r="P33">
        <v>150</v>
      </c>
      <c r="Q33">
        <v>150</v>
      </c>
      <c r="R33">
        <v>126</v>
      </c>
      <c r="S33">
        <v>42</v>
      </c>
      <c r="T33">
        <v>0</v>
      </c>
      <c r="U33" s="18">
        <f t="shared" si="0"/>
        <v>2518</v>
      </c>
      <c r="W33">
        <f t="shared" si="1"/>
        <v>1294</v>
      </c>
    </row>
    <row r="34" spans="2:32" x14ac:dyDescent="0.2">
      <c r="B34" s="35" t="s">
        <v>276</v>
      </c>
      <c r="C34">
        <v>3.5</v>
      </c>
      <c r="D34">
        <v>11</v>
      </c>
      <c r="E34" s="16">
        <v>1548</v>
      </c>
      <c r="F34">
        <f>1566-1548</f>
        <v>18</v>
      </c>
      <c r="G34">
        <v>54</v>
      </c>
      <c r="H34">
        <v>102</v>
      </c>
      <c r="I34">
        <v>54</v>
      </c>
      <c r="J34">
        <v>-6</v>
      </c>
      <c r="K34">
        <v>0</v>
      </c>
      <c r="L34">
        <v>102</v>
      </c>
      <c r="M34">
        <v>-12</v>
      </c>
      <c r="N34">
        <v>102</v>
      </c>
      <c r="O34">
        <v>0</v>
      </c>
      <c r="P34">
        <v>198</v>
      </c>
      <c r="Q34">
        <v>102</v>
      </c>
      <c r="R34">
        <v>30</v>
      </c>
      <c r="S34">
        <v>42</v>
      </c>
      <c r="T34">
        <v>54</v>
      </c>
      <c r="U34" s="18">
        <f t="shared" si="0"/>
        <v>2388</v>
      </c>
      <c r="W34">
        <f t="shared" si="1"/>
        <v>840</v>
      </c>
    </row>
    <row r="35" spans="2:32" x14ac:dyDescent="0.2">
      <c r="B35" s="35" t="s">
        <v>279</v>
      </c>
      <c r="C35">
        <v>4</v>
      </c>
      <c r="D35">
        <v>11</v>
      </c>
      <c r="E35" s="16">
        <v>1458</v>
      </c>
      <c r="F35">
        <v>42</v>
      </c>
      <c r="G35">
        <v>54</v>
      </c>
      <c r="H35">
        <v>198</v>
      </c>
      <c r="I35">
        <v>102</v>
      </c>
      <c r="J35">
        <v>18</v>
      </c>
      <c r="K35">
        <v>150</v>
      </c>
      <c r="L35">
        <v>102</v>
      </c>
      <c r="M35">
        <v>12</v>
      </c>
      <c r="N35">
        <v>102</v>
      </c>
      <c r="O35">
        <v>30</v>
      </c>
      <c r="P35">
        <v>102</v>
      </c>
      <c r="Q35">
        <v>102</v>
      </c>
      <c r="R35">
        <v>94</v>
      </c>
      <c r="S35">
        <v>42</v>
      </c>
      <c r="T35">
        <v>54</v>
      </c>
      <c r="U35" s="18">
        <f t="shared" si="0"/>
        <v>2662</v>
      </c>
      <c r="W35">
        <f t="shared" si="1"/>
        <v>1204</v>
      </c>
    </row>
    <row r="36" spans="2:32" x14ac:dyDescent="0.2">
      <c r="B36" s="35" t="s">
        <v>21</v>
      </c>
      <c r="C36">
        <v>3.5</v>
      </c>
      <c r="D36">
        <v>29</v>
      </c>
      <c r="E36" s="16">
        <v>1230</v>
      </c>
      <c r="F36">
        <v>102</v>
      </c>
      <c r="G36">
        <v>198</v>
      </c>
      <c r="H36">
        <v>102</v>
      </c>
      <c r="I36">
        <v>102</v>
      </c>
      <c r="J36">
        <v>18</v>
      </c>
      <c r="K36">
        <v>102</v>
      </c>
      <c r="L36">
        <v>30</v>
      </c>
      <c r="M36">
        <v>126</v>
      </c>
      <c r="N36">
        <v>66</v>
      </c>
      <c r="O36">
        <v>198</v>
      </c>
      <c r="P36">
        <v>198</v>
      </c>
      <c r="Q36">
        <v>54</v>
      </c>
      <c r="R36">
        <v>102</v>
      </c>
      <c r="S36">
        <v>30</v>
      </c>
      <c r="T36">
        <v>198</v>
      </c>
      <c r="U36" s="18">
        <f t="shared" si="0"/>
        <v>2856</v>
      </c>
      <c r="W36">
        <f t="shared" si="1"/>
        <v>1626</v>
      </c>
    </row>
    <row r="37" spans="2:32" x14ac:dyDescent="0.2">
      <c r="B37" s="35" t="s">
        <v>202</v>
      </c>
      <c r="C37">
        <v>4</v>
      </c>
      <c r="D37">
        <v>9</v>
      </c>
      <c r="E37" s="16">
        <v>1194</v>
      </c>
      <c r="F37">
        <v>102</v>
      </c>
      <c r="G37">
        <v>102</v>
      </c>
      <c r="H37">
        <v>102</v>
      </c>
      <c r="I37">
        <v>150</v>
      </c>
      <c r="J37">
        <v>18</v>
      </c>
      <c r="K37">
        <v>102</v>
      </c>
      <c r="L37">
        <v>30</v>
      </c>
      <c r="M37">
        <v>-24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18">
        <f t="shared" si="0"/>
        <v>1776</v>
      </c>
      <c r="W37">
        <f t="shared" si="1"/>
        <v>582</v>
      </c>
    </row>
    <row r="38" spans="2:32" x14ac:dyDescent="0.2">
      <c r="B38" s="35" t="s">
        <v>150</v>
      </c>
      <c r="C38">
        <v>3</v>
      </c>
      <c r="D38">
        <v>6</v>
      </c>
      <c r="E38" s="16">
        <v>756</v>
      </c>
      <c r="F38">
        <v>0</v>
      </c>
      <c r="G38">
        <v>0</v>
      </c>
      <c r="H38">
        <v>18</v>
      </c>
      <c r="I38">
        <v>12</v>
      </c>
      <c r="J38">
        <v>54</v>
      </c>
      <c r="K38">
        <v>0</v>
      </c>
      <c r="L38">
        <v>0</v>
      </c>
      <c r="M38">
        <v>54</v>
      </c>
      <c r="N38">
        <v>42</v>
      </c>
      <c r="O38">
        <v>-36</v>
      </c>
      <c r="P38">
        <v>54</v>
      </c>
      <c r="Q38">
        <v>114</v>
      </c>
      <c r="R38">
        <v>102</v>
      </c>
      <c r="S38">
        <v>102</v>
      </c>
      <c r="T38">
        <f>54/3</f>
        <v>18</v>
      </c>
      <c r="U38" s="18">
        <f t="shared" si="0"/>
        <v>1290</v>
      </c>
      <c r="W38">
        <f t="shared" si="1"/>
        <v>534</v>
      </c>
    </row>
    <row r="39" spans="2:32" x14ac:dyDescent="0.2">
      <c r="B39" s="35" t="s">
        <v>151</v>
      </c>
      <c r="C39">
        <v>2.5</v>
      </c>
      <c r="D39">
        <v>24</v>
      </c>
      <c r="E39" s="16">
        <v>840</v>
      </c>
      <c r="F39">
        <v>18</v>
      </c>
      <c r="G39">
        <v>12</v>
      </c>
      <c r="H39">
        <v>-14</v>
      </c>
      <c r="I39">
        <v>12</v>
      </c>
      <c r="J39">
        <v>102</v>
      </c>
      <c r="K39">
        <v>18</v>
      </c>
      <c r="L39">
        <v>18</v>
      </c>
      <c r="M39">
        <v>54</v>
      </c>
      <c r="N39">
        <v>18</v>
      </c>
      <c r="O39">
        <f>-18*2</f>
        <v>-36</v>
      </c>
      <c r="P39">
        <v>54</v>
      </c>
      <c r="Q39">
        <v>0</v>
      </c>
      <c r="R39">
        <v>54</v>
      </c>
      <c r="S39">
        <v>78</v>
      </c>
      <c r="T39">
        <v>18</v>
      </c>
      <c r="U39" s="18">
        <f t="shared" si="0"/>
        <v>1246</v>
      </c>
      <c r="W39">
        <f t="shared" si="1"/>
        <v>406</v>
      </c>
    </row>
    <row r="40" spans="2:32" x14ac:dyDescent="0.2">
      <c r="B40" s="35" t="s">
        <v>221</v>
      </c>
      <c r="C40">
        <v>2.5</v>
      </c>
      <c r="D40">
        <v>30</v>
      </c>
      <c r="E40" s="16">
        <v>1326</v>
      </c>
      <c r="F40">
        <v>0</v>
      </c>
      <c r="G40">
        <v>42</v>
      </c>
      <c r="H40">
        <v>102</v>
      </c>
      <c r="I40">
        <v>12</v>
      </c>
      <c r="J40">
        <v>102</v>
      </c>
      <c r="K40">
        <v>36</v>
      </c>
      <c r="L40">
        <v>-12</v>
      </c>
      <c r="M40">
        <v>150</v>
      </c>
      <c r="N40">
        <v>138</v>
      </c>
      <c r="O40">
        <f>84/2</f>
        <v>42</v>
      </c>
      <c r="P40">
        <v>12</v>
      </c>
      <c r="Q40">
        <v>12</v>
      </c>
      <c r="R40">
        <v>90</v>
      </c>
      <c r="S40">
        <v>12</v>
      </c>
      <c r="T40">
        <v>54</v>
      </c>
      <c r="U40" s="18">
        <f t="shared" si="0"/>
        <v>2118</v>
      </c>
      <c r="W40">
        <f t="shared" si="1"/>
        <v>792</v>
      </c>
      <c r="Z40" t="s">
        <v>567</v>
      </c>
      <c r="AA40" s="105" t="s">
        <v>574</v>
      </c>
      <c r="AB40" s="105"/>
      <c r="AC40" t="s">
        <v>575</v>
      </c>
      <c r="AD40" t="s">
        <v>576</v>
      </c>
      <c r="AE40" t="s">
        <v>577</v>
      </c>
      <c r="AF40" t="s">
        <v>578</v>
      </c>
    </row>
    <row r="41" spans="2:32" x14ac:dyDescent="0.2">
      <c r="B41" s="35" t="s">
        <v>209</v>
      </c>
      <c r="C41">
        <v>2</v>
      </c>
      <c r="D41">
        <v>5</v>
      </c>
      <c r="E41" s="16">
        <v>942</v>
      </c>
      <c r="F41">
        <v>-6</v>
      </c>
      <c r="G41">
        <v>-12</v>
      </c>
      <c r="H41">
        <v>12</v>
      </c>
      <c r="I41">
        <v>102</v>
      </c>
      <c r="J41">
        <v>6</v>
      </c>
      <c r="K41">
        <v>18</v>
      </c>
      <c r="L41">
        <v>102</v>
      </c>
      <c r="M41">
        <v>-12</v>
      </c>
      <c r="N41">
        <v>42</v>
      </c>
      <c r="O41">
        <v>12</v>
      </c>
      <c r="P41">
        <v>12</v>
      </c>
      <c r="Q41">
        <v>0</v>
      </c>
      <c r="R41">
        <v>66</v>
      </c>
      <c r="S41">
        <v>42</v>
      </c>
      <c r="T41">
        <v>0</v>
      </c>
      <c r="U41" s="18">
        <f t="shared" si="0"/>
        <v>1326</v>
      </c>
      <c r="W41">
        <f t="shared" si="1"/>
        <v>384</v>
      </c>
      <c r="AA41" t="s">
        <v>572</v>
      </c>
      <c r="AB41" t="s">
        <v>573</v>
      </c>
    </row>
    <row r="42" spans="2:32" x14ac:dyDescent="0.2">
      <c r="B42" s="35" t="s">
        <v>126</v>
      </c>
      <c r="C42">
        <v>4</v>
      </c>
      <c r="D42">
        <v>1</v>
      </c>
      <c r="E42" s="16">
        <v>1182</v>
      </c>
      <c r="F42">
        <v>0</v>
      </c>
      <c r="G42">
        <v>90</v>
      </c>
      <c r="H42">
        <v>54</v>
      </c>
      <c r="I42">
        <v>102</v>
      </c>
      <c r="J42">
        <v>138</v>
      </c>
      <c r="K42">
        <v>150</v>
      </c>
      <c r="L42">
        <f>588/2</f>
        <v>294</v>
      </c>
      <c r="M42">
        <v>150</v>
      </c>
      <c r="N42">
        <f>36-24-24</f>
        <v>-12</v>
      </c>
      <c r="O42">
        <v>-12</v>
      </c>
      <c r="P42">
        <v>126</v>
      </c>
      <c r="Q42">
        <f>102-24</f>
        <v>78</v>
      </c>
      <c r="R42">
        <v>54</v>
      </c>
      <c r="S42">
        <v>102</v>
      </c>
      <c r="T42">
        <v>66</v>
      </c>
      <c r="U42" s="18">
        <f t="shared" si="0"/>
        <v>2562</v>
      </c>
      <c r="W42">
        <f t="shared" si="1"/>
        <v>1380</v>
      </c>
    </row>
    <row r="43" spans="2:32" x14ac:dyDescent="0.2">
      <c r="B43" s="35" t="s">
        <v>178</v>
      </c>
      <c r="C43">
        <v>3</v>
      </c>
      <c r="D43">
        <v>6</v>
      </c>
      <c r="E43" s="16">
        <v>1116</v>
      </c>
      <c r="F43">
        <f>1152-1116</f>
        <v>36</v>
      </c>
      <c r="G43">
        <v>90</v>
      </c>
      <c r="H43">
        <v>54</v>
      </c>
      <c r="I43">
        <v>102</v>
      </c>
      <c r="J43">
        <v>42</v>
      </c>
      <c r="K43">
        <v>102</v>
      </c>
      <c r="L43">
        <v>102</v>
      </c>
      <c r="M43">
        <v>102</v>
      </c>
      <c r="N43">
        <v>-12</v>
      </c>
      <c r="O43">
        <v>-12</v>
      </c>
      <c r="P43">
        <v>30</v>
      </c>
      <c r="Q43">
        <v>0</v>
      </c>
      <c r="R43">
        <v>0</v>
      </c>
      <c r="S43">
        <v>0</v>
      </c>
      <c r="T43">
        <v>0</v>
      </c>
      <c r="U43" s="18">
        <f t="shared" si="0"/>
        <v>1752</v>
      </c>
      <c r="W43">
        <f t="shared" si="1"/>
        <v>636</v>
      </c>
      <c r="Y43" t="s">
        <v>149</v>
      </c>
      <c r="Z43">
        <v>36</v>
      </c>
      <c r="AA43">
        <v>18</v>
      </c>
      <c r="AB43">
        <v>6</v>
      </c>
      <c r="AC43">
        <v>128</v>
      </c>
      <c r="AD43">
        <v>64</v>
      </c>
      <c r="AE43">
        <v>64</v>
      </c>
      <c r="AF43">
        <v>-24</v>
      </c>
    </row>
    <row r="44" spans="2:32" x14ac:dyDescent="0.2">
      <c r="B44" s="35" t="s">
        <v>186</v>
      </c>
      <c r="C44">
        <v>1</v>
      </c>
      <c r="D44">
        <v>6</v>
      </c>
      <c r="E44" s="16">
        <v>750</v>
      </c>
      <c r="F44">
        <f>36-24-24-32</f>
        <v>-44</v>
      </c>
      <c r="G44">
        <f>36-24</f>
        <v>12</v>
      </c>
      <c r="H44">
        <f>36-24-24</f>
        <v>-12</v>
      </c>
      <c r="I44">
        <f>36-24</f>
        <v>12</v>
      </c>
      <c r="J44">
        <f>36-24-24</f>
        <v>-12</v>
      </c>
      <c r="K44">
        <f>36-24-24</f>
        <v>-12</v>
      </c>
      <c r="L44">
        <v>42</v>
      </c>
      <c r="M44">
        <v>0</v>
      </c>
      <c r="N44">
        <v>12</v>
      </c>
      <c r="O44">
        <f>36-24</f>
        <v>12</v>
      </c>
      <c r="P44">
        <v>0</v>
      </c>
      <c r="Q44">
        <v>0</v>
      </c>
      <c r="R44">
        <v>0</v>
      </c>
      <c r="S44">
        <v>0</v>
      </c>
      <c r="T44">
        <v>0</v>
      </c>
      <c r="U44" s="18">
        <f t="shared" si="0"/>
        <v>760</v>
      </c>
      <c r="W44">
        <f t="shared" si="1"/>
        <v>10</v>
      </c>
      <c r="Y44" t="s">
        <v>203</v>
      </c>
      <c r="Z44">
        <v>36</v>
      </c>
      <c r="AA44">
        <v>18</v>
      </c>
      <c r="AB44">
        <v>6</v>
      </c>
      <c r="AC44">
        <v>96</v>
      </c>
      <c r="AD44">
        <v>48</v>
      </c>
      <c r="AE44">
        <v>48</v>
      </c>
      <c r="AF44">
        <v>-24</v>
      </c>
    </row>
    <row r="45" spans="2:32" x14ac:dyDescent="0.2">
      <c r="B45" s="35" t="s">
        <v>517</v>
      </c>
      <c r="C45">
        <v>1.25</v>
      </c>
      <c r="D45">
        <v>18</v>
      </c>
      <c r="E45" s="16">
        <v>936</v>
      </c>
      <c r="F45">
        <v>102</v>
      </c>
      <c r="G45">
        <v>42</v>
      </c>
      <c r="H45">
        <v>102</v>
      </c>
      <c r="I45">
        <v>12</v>
      </c>
      <c r="J45">
        <v>102</v>
      </c>
      <c r="K45">
        <f>18*2</f>
        <v>36</v>
      </c>
      <c r="L45">
        <v>12</v>
      </c>
      <c r="M45">
        <v>102</v>
      </c>
      <c r="N45">
        <v>42</v>
      </c>
      <c r="O45">
        <v>42</v>
      </c>
      <c r="P45">
        <v>12</v>
      </c>
      <c r="Q45">
        <v>12</v>
      </c>
      <c r="R45">
        <v>90</v>
      </c>
      <c r="S45">
        <v>12</v>
      </c>
      <c r="T45">
        <v>0</v>
      </c>
      <c r="U45" s="18">
        <f t="shared" si="0"/>
        <v>1656</v>
      </c>
      <c r="W45">
        <f t="shared" si="1"/>
        <v>720</v>
      </c>
      <c r="Y45" t="s">
        <v>140</v>
      </c>
      <c r="Z45">
        <v>28</v>
      </c>
      <c r="AA45">
        <v>18</v>
      </c>
      <c r="AB45">
        <v>6</v>
      </c>
      <c r="AC45">
        <v>80</v>
      </c>
      <c r="AD45">
        <v>40</v>
      </c>
      <c r="AE45">
        <v>24</v>
      </c>
      <c r="AF45">
        <v>-12</v>
      </c>
    </row>
    <row r="46" spans="2:32" x14ac:dyDescent="0.2">
      <c r="B46" s="35" t="s">
        <v>252</v>
      </c>
      <c r="C46">
        <v>1.5</v>
      </c>
      <c r="D46">
        <v>10</v>
      </c>
      <c r="E46" s="16">
        <v>816</v>
      </c>
      <c r="F46">
        <v>54</v>
      </c>
      <c r="G46">
        <v>12</v>
      </c>
      <c r="H46">
        <v>18</v>
      </c>
      <c r="I46">
        <f>99*2</f>
        <v>198</v>
      </c>
      <c r="J46">
        <v>30</v>
      </c>
      <c r="K46">
        <v>0</v>
      </c>
      <c r="L46">
        <v>36</v>
      </c>
      <c r="M46">
        <v>54</v>
      </c>
      <c r="N46">
        <v>18</v>
      </c>
      <c r="O46">
        <v>0</v>
      </c>
      <c r="P46">
        <v>18</v>
      </c>
      <c r="Q46">
        <v>12</v>
      </c>
      <c r="R46">
        <v>102</v>
      </c>
      <c r="S46">
        <v>12</v>
      </c>
      <c r="T46">
        <f>27*2</f>
        <v>54</v>
      </c>
      <c r="U46" s="18">
        <f t="shared" si="0"/>
        <v>1434</v>
      </c>
      <c r="W46">
        <f t="shared" si="1"/>
        <v>618</v>
      </c>
      <c r="Y46" t="s">
        <v>135</v>
      </c>
      <c r="Z46">
        <v>28</v>
      </c>
      <c r="AA46">
        <v>18</v>
      </c>
      <c r="AB46">
        <v>6</v>
      </c>
      <c r="AC46">
        <v>64</v>
      </c>
      <c r="AD46">
        <v>32</v>
      </c>
      <c r="AE46">
        <v>0</v>
      </c>
      <c r="AF46">
        <v>0</v>
      </c>
    </row>
    <row r="47" spans="2:32" x14ac:dyDescent="0.2">
      <c r="B47" s="35" t="s">
        <v>382</v>
      </c>
      <c r="C47">
        <v>1.75</v>
      </c>
      <c r="D47">
        <v>26</v>
      </c>
      <c r="E47" s="16">
        <v>924</v>
      </c>
      <c r="F47">
        <v>30</v>
      </c>
      <c r="G47">
        <v>102</v>
      </c>
      <c r="H47">
        <f>51*2</f>
        <v>102</v>
      </c>
      <c r="I47">
        <v>102</v>
      </c>
      <c r="J47">
        <v>-12</v>
      </c>
      <c r="K47">
        <v>18</v>
      </c>
      <c r="L47">
        <v>102</v>
      </c>
      <c r="M47">
        <v>-12</v>
      </c>
      <c r="N47">
        <v>54</v>
      </c>
      <c r="O47">
        <v>30</v>
      </c>
      <c r="P47">
        <v>54</v>
      </c>
      <c r="Q47">
        <v>18</v>
      </c>
      <c r="R47">
        <v>102</v>
      </c>
      <c r="S47">
        <v>36</v>
      </c>
      <c r="T47">
        <v>18</v>
      </c>
      <c r="U47" s="18">
        <f t="shared" si="0"/>
        <v>1668</v>
      </c>
      <c r="W47">
        <f t="shared" si="1"/>
        <v>744</v>
      </c>
    </row>
    <row r="48" spans="2:32" x14ac:dyDescent="0.2">
      <c r="B48" s="35" t="s">
        <v>119</v>
      </c>
      <c r="C48">
        <v>1.75</v>
      </c>
      <c r="D48">
        <v>8</v>
      </c>
      <c r="E48" s="16">
        <v>822</v>
      </c>
      <c r="F48">
        <f>834-822</f>
        <v>12</v>
      </c>
      <c r="G48">
        <v>0</v>
      </c>
      <c r="H48">
        <v>6</v>
      </c>
      <c r="I48">
        <f>36-24-24</f>
        <v>-12</v>
      </c>
      <c r="J48">
        <v>0</v>
      </c>
      <c r="K48">
        <v>0</v>
      </c>
      <c r="L48">
        <v>0</v>
      </c>
      <c r="M48">
        <v>102</v>
      </c>
      <c r="N48">
        <f>36-24</f>
        <v>12</v>
      </c>
      <c r="O48">
        <v>54</v>
      </c>
      <c r="P48">
        <v>30</v>
      </c>
      <c r="Q48">
        <v>102</v>
      </c>
      <c r="R48">
        <f>36-24-24</f>
        <v>-12</v>
      </c>
      <c r="S48">
        <v>102</v>
      </c>
      <c r="T48">
        <v>54</v>
      </c>
      <c r="U48" s="18">
        <f t="shared" si="0"/>
        <v>1272</v>
      </c>
      <c r="W48">
        <f t="shared" si="1"/>
        <v>450</v>
      </c>
    </row>
    <row r="49" spans="2:23" x14ac:dyDescent="0.2">
      <c r="B49" s="37" t="s">
        <v>121</v>
      </c>
      <c r="C49">
        <v>4.5</v>
      </c>
      <c r="D49">
        <v>22</v>
      </c>
      <c r="E49" s="16">
        <v>1514</v>
      </c>
      <c r="F49">
        <v>70</v>
      </c>
      <c r="G49">
        <v>70</v>
      </c>
      <c r="H49">
        <v>70</v>
      </c>
      <c r="I49">
        <v>80</v>
      </c>
      <c r="J49">
        <v>0</v>
      </c>
      <c r="K49">
        <v>0</v>
      </c>
      <c r="L49">
        <v>0</v>
      </c>
      <c r="M49">
        <v>0</v>
      </c>
      <c r="N49">
        <v>58</v>
      </c>
      <c r="O49">
        <v>110</v>
      </c>
      <c r="P49">
        <f>70-24</f>
        <v>46</v>
      </c>
      <c r="Q49">
        <v>86</v>
      </c>
      <c r="R49">
        <v>46</v>
      </c>
      <c r="S49">
        <v>114</v>
      </c>
      <c r="T49">
        <v>110</v>
      </c>
      <c r="U49" s="18">
        <f t="shared" si="0"/>
        <v>2374</v>
      </c>
      <c r="W49">
        <f t="shared" si="1"/>
        <v>860</v>
      </c>
    </row>
    <row r="50" spans="2:23" x14ac:dyDescent="0.2">
      <c r="B50" s="37" t="s">
        <v>529</v>
      </c>
      <c r="C50">
        <v>3.5</v>
      </c>
      <c r="D50">
        <v>21</v>
      </c>
      <c r="E50" s="16">
        <v>290</v>
      </c>
      <c r="F50">
        <f>17*2</f>
        <v>34</v>
      </c>
      <c r="G50">
        <v>16</v>
      </c>
      <c r="H50">
        <v>-2</v>
      </c>
      <c r="I50">
        <v>16</v>
      </c>
      <c r="J50">
        <v>70</v>
      </c>
      <c r="K50">
        <v>22</v>
      </c>
      <c r="L50">
        <v>22</v>
      </c>
      <c r="M50">
        <v>126</v>
      </c>
      <c r="N50">
        <v>34</v>
      </c>
      <c r="O50">
        <v>-8</v>
      </c>
      <c r="P50">
        <v>0</v>
      </c>
      <c r="Q50">
        <v>0</v>
      </c>
      <c r="R50">
        <v>0</v>
      </c>
      <c r="S50">
        <v>0</v>
      </c>
      <c r="T50">
        <v>0</v>
      </c>
      <c r="U50" s="18">
        <f t="shared" si="0"/>
        <v>620</v>
      </c>
      <c r="W50">
        <f t="shared" si="1"/>
        <v>330</v>
      </c>
    </row>
    <row r="51" spans="2:23" x14ac:dyDescent="0.2">
      <c r="B51" s="37" t="s">
        <v>146</v>
      </c>
      <c r="C51">
        <v>2.5</v>
      </c>
      <c r="D51">
        <v>12</v>
      </c>
      <c r="E51" s="16">
        <v>712</v>
      </c>
      <c r="F51">
        <f>28+6</f>
        <v>34</v>
      </c>
      <c r="G51">
        <v>16</v>
      </c>
      <c r="H51">
        <f>28-12+6</f>
        <v>22</v>
      </c>
      <c r="I51">
        <v>16</v>
      </c>
      <c r="J51">
        <v>150</v>
      </c>
      <c r="K51">
        <v>102</v>
      </c>
      <c r="L51">
        <v>-2</v>
      </c>
      <c r="M51">
        <v>46</v>
      </c>
      <c r="N51">
        <f>28+6</f>
        <v>34</v>
      </c>
      <c r="O51">
        <f>28-12-12-12</f>
        <v>-8</v>
      </c>
      <c r="P51">
        <v>86</v>
      </c>
      <c r="Q51">
        <v>62</v>
      </c>
      <c r="R51">
        <f>1476-1270</f>
        <v>206</v>
      </c>
      <c r="S51">
        <v>70</v>
      </c>
      <c r="T51">
        <v>22</v>
      </c>
      <c r="U51" s="18">
        <f t="shared" si="0"/>
        <v>1568</v>
      </c>
      <c r="W51">
        <f t="shared" si="1"/>
        <v>856</v>
      </c>
    </row>
    <row r="52" spans="2:23" x14ac:dyDescent="0.2">
      <c r="B52" s="37" t="s">
        <v>31</v>
      </c>
      <c r="C52">
        <v>3</v>
      </c>
      <c r="D52">
        <v>10</v>
      </c>
      <c r="E52" s="16">
        <v>1168</v>
      </c>
      <c r="F52">
        <v>4</v>
      </c>
      <c r="G52">
        <v>0</v>
      </c>
      <c r="H52">
        <v>126</v>
      </c>
      <c r="I52">
        <v>70</v>
      </c>
      <c r="J52">
        <v>34</v>
      </c>
      <c r="K52">
        <v>150</v>
      </c>
      <c r="L52">
        <v>126</v>
      </c>
      <c r="M52">
        <v>150</v>
      </c>
      <c r="N52">
        <v>4</v>
      </c>
      <c r="O52">
        <v>4</v>
      </c>
      <c r="P52">
        <v>34</v>
      </c>
      <c r="Q52">
        <v>126</v>
      </c>
      <c r="R52">
        <v>46</v>
      </c>
      <c r="S52">
        <v>70</v>
      </c>
      <c r="T52">
        <f>-26</f>
        <v>-26</v>
      </c>
      <c r="U52" s="18">
        <f t="shared" si="0"/>
        <v>2086</v>
      </c>
      <c r="W52">
        <f t="shared" si="1"/>
        <v>918</v>
      </c>
    </row>
    <row r="53" spans="2:23" x14ac:dyDescent="0.2">
      <c r="B53" s="37" t="s">
        <v>173</v>
      </c>
      <c r="C53">
        <v>3</v>
      </c>
      <c r="D53">
        <v>2</v>
      </c>
      <c r="E53" s="16">
        <v>878</v>
      </c>
      <c r="F53">
        <v>28</v>
      </c>
      <c r="G53">
        <f>58</f>
        <v>58</v>
      </c>
      <c r="H53">
        <v>46</v>
      </c>
      <c r="I53">
        <v>70</v>
      </c>
      <c r="J53">
        <v>74</v>
      </c>
      <c r="K53">
        <v>230</v>
      </c>
      <c r="L53">
        <v>110</v>
      </c>
      <c r="M53">
        <v>70</v>
      </c>
      <c r="N53">
        <f>28-12-12</f>
        <v>4</v>
      </c>
      <c r="O53">
        <f>28-12-12-24</f>
        <v>-20</v>
      </c>
      <c r="P53">
        <v>34</v>
      </c>
      <c r="Q53">
        <v>70</v>
      </c>
      <c r="R53">
        <v>46</v>
      </c>
      <c r="S53">
        <v>150</v>
      </c>
      <c r="T53">
        <v>22</v>
      </c>
      <c r="U53" s="18">
        <f t="shared" si="0"/>
        <v>1870</v>
      </c>
      <c r="W53">
        <f t="shared" si="1"/>
        <v>992</v>
      </c>
    </row>
    <row r="54" spans="2:23" x14ac:dyDescent="0.2">
      <c r="B54" s="37" t="s">
        <v>32</v>
      </c>
      <c r="C54">
        <v>3</v>
      </c>
      <c r="D54">
        <v>10</v>
      </c>
      <c r="E54" s="16">
        <v>1044</v>
      </c>
      <c r="F54">
        <v>150</v>
      </c>
      <c r="G54">
        <v>70</v>
      </c>
      <c r="H54">
        <v>150</v>
      </c>
      <c r="I54">
        <v>70</v>
      </c>
      <c r="J54">
        <v>22</v>
      </c>
      <c r="K54">
        <v>110</v>
      </c>
      <c r="L54">
        <v>114</v>
      </c>
      <c r="M54">
        <v>34</v>
      </c>
      <c r="N54">
        <v>58</v>
      </c>
      <c r="O54">
        <v>70</v>
      </c>
      <c r="P54">
        <v>70</v>
      </c>
      <c r="Q54">
        <v>0</v>
      </c>
      <c r="R54">
        <v>0</v>
      </c>
      <c r="S54">
        <v>0</v>
      </c>
      <c r="T54">
        <v>0</v>
      </c>
      <c r="U54" s="18">
        <f t="shared" si="0"/>
        <v>1962</v>
      </c>
      <c r="W54">
        <f t="shared" si="1"/>
        <v>918</v>
      </c>
    </row>
    <row r="55" spans="2:23" x14ac:dyDescent="0.2">
      <c r="B55" s="37" t="s">
        <v>217</v>
      </c>
      <c r="C55">
        <v>2.5</v>
      </c>
      <c r="D55">
        <v>35.700000000000003</v>
      </c>
      <c r="E55" s="16">
        <v>1266</v>
      </c>
      <c r="F55">
        <v>22</v>
      </c>
      <c r="G55">
        <v>0</v>
      </c>
      <c r="H55">
        <v>0</v>
      </c>
      <c r="I55">
        <v>16</v>
      </c>
      <c r="J55">
        <v>70</v>
      </c>
      <c r="K55">
        <v>28</v>
      </c>
      <c r="L55">
        <v>16</v>
      </c>
      <c r="M55">
        <v>150</v>
      </c>
      <c r="N55">
        <v>34</v>
      </c>
      <c r="O55">
        <v>34</v>
      </c>
      <c r="P55">
        <v>16</v>
      </c>
      <c r="Q55">
        <v>16</v>
      </c>
      <c r="R55">
        <v>58</v>
      </c>
      <c r="S55">
        <v>0</v>
      </c>
      <c r="T55">
        <v>0</v>
      </c>
      <c r="U55" s="18">
        <f t="shared" si="0"/>
        <v>1726</v>
      </c>
      <c r="W55">
        <f t="shared" si="1"/>
        <v>460</v>
      </c>
    </row>
    <row r="56" spans="2:23" x14ac:dyDescent="0.2">
      <c r="B56" s="37" t="s">
        <v>613</v>
      </c>
      <c r="C56">
        <v>1.5</v>
      </c>
      <c r="D56">
        <v>19</v>
      </c>
      <c r="E56" s="16">
        <v>160</v>
      </c>
      <c r="F56">
        <v>126</v>
      </c>
      <c r="G56">
        <v>16</v>
      </c>
      <c r="H56">
        <v>22</v>
      </c>
      <c r="I56">
        <v>70</v>
      </c>
      <c r="J56">
        <v>0</v>
      </c>
      <c r="K56">
        <v>70</v>
      </c>
      <c r="L56">
        <v>0</v>
      </c>
      <c r="M56">
        <v>0</v>
      </c>
      <c r="N56">
        <v>34</v>
      </c>
      <c r="O56">
        <v>70</v>
      </c>
      <c r="P56">
        <v>22</v>
      </c>
      <c r="Q56">
        <v>16</v>
      </c>
      <c r="R56">
        <v>230</v>
      </c>
      <c r="S56">
        <v>16</v>
      </c>
      <c r="T56">
        <v>206</v>
      </c>
      <c r="U56" s="18">
        <f t="shared" si="0"/>
        <v>1058</v>
      </c>
      <c r="W56">
        <f t="shared" si="1"/>
        <v>898</v>
      </c>
    </row>
    <row r="57" spans="2:23" x14ac:dyDescent="0.2">
      <c r="B57" s="37" t="s">
        <v>581</v>
      </c>
      <c r="C57">
        <v>1.5</v>
      </c>
      <c r="D57">
        <v>2</v>
      </c>
      <c r="E57" s="16">
        <v>834</v>
      </c>
      <c r="F57">
        <v>46</v>
      </c>
      <c r="G57">
        <v>34</v>
      </c>
      <c r="H57">
        <v>28</v>
      </c>
      <c r="I57">
        <v>-8</v>
      </c>
      <c r="J57">
        <v>16</v>
      </c>
      <c r="K57">
        <v>34</v>
      </c>
      <c r="L57">
        <v>16</v>
      </c>
      <c r="M57">
        <v>-8</v>
      </c>
      <c r="N57">
        <v>0</v>
      </c>
      <c r="O57">
        <f>63*2</f>
        <v>126</v>
      </c>
      <c r="P57">
        <f>102-24</f>
        <v>78</v>
      </c>
      <c r="Q57">
        <v>46</v>
      </c>
      <c r="R57">
        <v>4</v>
      </c>
      <c r="S57">
        <v>34</v>
      </c>
      <c r="T57">
        <f>8*2</f>
        <v>16</v>
      </c>
      <c r="U57" s="18">
        <f t="shared" si="0"/>
        <v>1296</v>
      </c>
      <c r="W57">
        <f t="shared" si="1"/>
        <v>462</v>
      </c>
    </row>
    <row r="58" spans="2:23" x14ac:dyDescent="0.2">
      <c r="B58" s="37" t="s">
        <v>698</v>
      </c>
      <c r="C58">
        <v>3</v>
      </c>
      <c r="D58">
        <v>24</v>
      </c>
      <c r="E58" s="16">
        <v>968</v>
      </c>
      <c r="F58">
        <v>74</v>
      </c>
      <c r="G58">
        <v>166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34</v>
      </c>
      <c r="T58">
        <v>0</v>
      </c>
      <c r="U58" s="18">
        <f t="shared" si="0"/>
        <v>1242</v>
      </c>
      <c r="W58">
        <f t="shared" si="1"/>
        <v>274</v>
      </c>
    </row>
    <row r="59" spans="2:23" x14ac:dyDescent="0.2">
      <c r="B59" s="37" t="s">
        <v>120</v>
      </c>
      <c r="C59">
        <v>5.5</v>
      </c>
      <c r="D59">
        <v>13.8</v>
      </c>
      <c r="E59" s="16">
        <v>1634</v>
      </c>
      <c r="F59">
        <v>0</v>
      </c>
      <c r="G59">
        <v>46</v>
      </c>
      <c r="H59">
        <v>110</v>
      </c>
      <c r="I59">
        <f>1876-1790</f>
        <v>86</v>
      </c>
      <c r="J59">
        <v>0</v>
      </c>
      <c r="K59">
        <v>0</v>
      </c>
      <c r="L59">
        <v>70</v>
      </c>
      <c r="M59">
        <v>-8</v>
      </c>
      <c r="N59">
        <v>70</v>
      </c>
      <c r="O59">
        <v>126</v>
      </c>
      <c r="P59">
        <v>110</v>
      </c>
      <c r="Q59">
        <f>380/2</f>
        <v>190</v>
      </c>
      <c r="R59">
        <v>74</v>
      </c>
      <c r="S59">
        <v>74</v>
      </c>
      <c r="T59">
        <v>86</v>
      </c>
      <c r="U59" s="18">
        <f t="shared" si="0"/>
        <v>2668</v>
      </c>
      <c r="W59">
        <f t="shared" si="1"/>
        <v>1034</v>
      </c>
    </row>
    <row r="60" spans="2:23" x14ac:dyDescent="0.2">
      <c r="B60" s="37" t="s">
        <v>271</v>
      </c>
      <c r="C60">
        <v>3</v>
      </c>
      <c r="D60">
        <v>7</v>
      </c>
      <c r="E60" s="16">
        <v>1170</v>
      </c>
      <c r="F60">
        <v>0</v>
      </c>
      <c r="G60">
        <v>0</v>
      </c>
      <c r="H60">
        <v>110</v>
      </c>
      <c r="I60">
        <v>80</v>
      </c>
      <c r="J60">
        <v>78</v>
      </c>
      <c r="K60">
        <v>70</v>
      </c>
      <c r="L60">
        <v>56</v>
      </c>
      <c r="M60">
        <v>16</v>
      </c>
      <c r="N60">
        <v>110</v>
      </c>
      <c r="O60">
        <f>252/2</f>
        <v>126</v>
      </c>
      <c r="P60">
        <v>150</v>
      </c>
      <c r="Q60">
        <v>270</v>
      </c>
      <c r="R60">
        <v>34</v>
      </c>
      <c r="S60">
        <v>34</v>
      </c>
      <c r="T60">
        <v>46</v>
      </c>
      <c r="U60" s="18">
        <f t="shared" si="0"/>
        <v>2350</v>
      </c>
      <c r="W60">
        <f t="shared" si="1"/>
        <v>1180</v>
      </c>
    </row>
    <row r="61" spans="2:23" x14ac:dyDescent="0.2">
      <c r="B61" s="37" t="s">
        <v>301</v>
      </c>
      <c r="C61">
        <v>2</v>
      </c>
      <c r="D61">
        <v>41.9</v>
      </c>
      <c r="E61" s="16">
        <v>1144</v>
      </c>
      <c r="F61">
        <v>16</v>
      </c>
      <c r="G61">
        <v>16</v>
      </c>
      <c r="H61">
        <v>34</v>
      </c>
      <c r="I61">
        <v>-8</v>
      </c>
      <c r="J61">
        <v>34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8">
        <f t="shared" si="0"/>
        <v>1236</v>
      </c>
      <c r="W61">
        <f t="shared" si="1"/>
        <v>92</v>
      </c>
    </row>
    <row r="62" spans="2:23" x14ac:dyDescent="0.2">
      <c r="B62" s="37" t="s">
        <v>311</v>
      </c>
      <c r="C62">
        <v>2.5</v>
      </c>
      <c r="D62">
        <v>7</v>
      </c>
      <c r="E62" s="16">
        <v>878</v>
      </c>
      <c r="F62">
        <v>110</v>
      </c>
      <c r="G62">
        <v>110</v>
      </c>
      <c r="H62">
        <v>28</v>
      </c>
      <c r="I62">
        <v>110</v>
      </c>
      <c r="J62">
        <v>46</v>
      </c>
      <c r="K62">
        <v>86</v>
      </c>
      <c r="L62">
        <v>28</v>
      </c>
      <c r="M62">
        <v>0</v>
      </c>
      <c r="N62">
        <v>-2</v>
      </c>
      <c r="O62">
        <v>70</v>
      </c>
      <c r="P62">
        <v>16</v>
      </c>
      <c r="Q62">
        <v>46</v>
      </c>
      <c r="R62">
        <v>0</v>
      </c>
      <c r="S62">
        <v>0</v>
      </c>
      <c r="T62">
        <v>0</v>
      </c>
      <c r="U62" s="18">
        <f t="shared" si="0"/>
        <v>1526</v>
      </c>
      <c r="W62">
        <f t="shared" si="1"/>
        <v>648</v>
      </c>
    </row>
    <row r="63" spans="2:23" x14ac:dyDescent="0.2">
      <c r="B63" s="37" t="s">
        <v>320</v>
      </c>
      <c r="C63">
        <v>1.25</v>
      </c>
      <c r="D63">
        <v>0.8</v>
      </c>
      <c r="E63" s="16">
        <v>216</v>
      </c>
      <c r="F63">
        <f>708/2</f>
        <v>354</v>
      </c>
      <c r="G63">
        <v>230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70</v>
      </c>
      <c r="S63">
        <f>28</f>
        <v>28</v>
      </c>
      <c r="T63">
        <v>22</v>
      </c>
      <c r="U63" s="18">
        <f>E63+SUM(F63:T63)</f>
        <v>920</v>
      </c>
      <c r="W63">
        <f t="shared" si="1"/>
        <v>704</v>
      </c>
    </row>
    <row r="64" spans="2:23" x14ac:dyDescent="0.2">
      <c r="B64" s="37" t="s">
        <v>233</v>
      </c>
      <c r="C64">
        <v>1.5</v>
      </c>
      <c r="D64">
        <v>3</v>
      </c>
      <c r="E64" s="16">
        <f>900-158</f>
        <v>742</v>
      </c>
      <c r="F64">
        <v>158</v>
      </c>
      <c r="G64">
        <v>34</v>
      </c>
      <c r="H64">
        <v>16</v>
      </c>
      <c r="I64">
        <v>70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70</v>
      </c>
      <c r="Q64">
        <f>28-12-12-12-12</f>
        <v>-20</v>
      </c>
      <c r="R64">
        <f>28+6</f>
        <v>34</v>
      </c>
      <c r="S64">
        <f>28-12</f>
        <v>16</v>
      </c>
      <c r="T64">
        <v>0</v>
      </c>
      <c r="U64" s="18">
        <f>E64+SUM(F64:T64)</f>
        <v>1120</v>
      </c>
      <c r="W64">
        <f t="shared" si="1"/>
        <v>378</v>
      </c>
    </row>
    <row r="65" spans="2:32" x14ac:dyDescent="0.2">
      <c r="B65" s="37" t="s">
        <v>321</v>
      </c>
      <c r="C65">
        <v>1.25</v>
      </c>
      <c r="D65">
        <v>2</v>
      </c>
      <c r="E65" s="16">
        <v>438</v>
      </c>
      <c r="F65">
        <f>28+18+40+40-12</f>
        <v>114</v>
      </c>
      <c r="G65">
        <v>70</v>
      </c>
      <c r="H65">
        <v>150</v>
      </c>
      <c r="I65">
        <v>46</v>
      </c>
      <c r="J65">
        <f>28-12</f>
        <v>16</v>
      </c>
      <c r="K65">
        <v>0</v>
      </c>
      <c r="L65">
        <v>70</v>
      </c>
      <c r="M65">
        <f>28-12-12</f>
        <v>4</v>
      </c>
      <c r="N65">
        <f>28+18+80</f>
        <v>126</v>
      </c>
      <c r="O65">
        <f>28-12+18</f>
        <v>34</v>
      </c>
      <c r="P65">
        <v>86</v>
      </c>
      <c r="Q65">
        <v>62</v>
      </c>
      <c r="R65">
        <v>110</v>
      </c>
      <c r="S65">
        <v>0</v>
      </c>
      <c r="T65">
        <v>22</v>
      </c>
      <c r="U65" s="18">
        <f t="shared" si="0"/>
        <v>1348</v>
      </c>
      <c r="W65">
        <f t="shared" si="1"/>
        <v>910</v>
      </c>
    </row>
    <row r="66" spans="2:32" x14ac:dyDescent="0.2">
      <c r="B66" s="37" t="s">
        <v>130</v>
      </c>
      <c r="C66">
        <v>2</v>
      </c>
      <c r="D66">
        <v>2</v>
      </c>
      <c r="E66" s="16">
        <v>842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34</v>
      </c>
      <c r="M66">
        <v>16</v>
      </c>
      <c r="N66">
        <v>4</v>
      </c>
      <c r="O66">
        <v>0</v>
      </c>
      <c r="P66">
        <v>0</v>
      </c>
      <c r="Q66">
        <f>80*2</f>
        <v>160</v>
      </c>
      <c r="R66">
        <v>28</v>
      </c>
      <c r="S66">
        <v>206</v>
      </c>
      <c r="T66">
        <v>22</v>
      </c>
      <c r="U66" s="18">
        <f t="shared" si="0"/>
        <v>1312</v>
      </c>
      <c r="W66">
        <f t="shared" si="1"/>
        <v>470</v>
      </c>
    </row>
    <row r="67" spans="2:32" x14ac:dyDescent="0.2">
      <c r="B67" s="37" t="s">
        <v>30</v>
      </c>
      <c r="C67">
        <v>1</v>
      </c>
      <c r="D67">
        <v>10</v>
      </c>
      <c r="E67" s="16">
        <v>652</v>
      </c>
      <c r="F67">
        <f>43*2</f>
        <v>86</v>
      </c>
      <c r="G67">
        <f>29*2</f>
        <v>58</v>
      </c>
      <c r="H67">
        <f>23*2</f>
        <v>46</v>
      </c>
      <c r="I67">
        <v>0</v>
      </c>
      <c r="J67">
        <v>-2</v>
      </c>
      <c r="K67">
        <v>74</v>
      </c>
      <c r="L67">
        <v>74</v>
      </c>
      <c r="M67">
        <v>74</v>
      </c>
      <c r="N67">
        <v>58</v>
      </c>
      <c r="O67">
        <v>34</v>
      </c>
      <c r="P67">
        <v>-8</v>
      </c>
      <c r="Q67">
        <v>56</v>
      </c>
      <c r="R67">
        <v>26</v>
      </c>
      <c r="S67">
        <v>0</v>
      </c>
      <c r="T67">
        <v>0</v>
      </c>
      <c r="U67" s="18">
        <f t="shared" si="0"/>
        <v>1228</v>
      </c>
      <c r="W67">
        <f t="shared" si="1"/>
        <v>576</v>
      </c>
    </row>
    <row r="68" spans="2:32" x14ac:dyDescent="0.2">
      <c r="B68" s="20" t="s">
        <v>33</v>
      </c>
      <c r="C68">
        <v>7</v>
      </c>
      <c r="D68">
        <v>27</v>
      </c>
      <c r="E68" s="16">
        <v>2086</v>
      </c>
      <c r="F68">
        <v>22</v>
      </c>
      <c r="G68">
        <v>0</v>
      </c>
      <c r="H68">
        <v>46</v>
      </c>
      <c r="I68">
        <v>46</v>
      </c>
      <c r="J68">
        <v>98</v>
      </c>
      <c r="K68">
        <v>110</v>
      </c>
      <c r="L68">
        <v>46</v>
      </c>
      <c r="M68">
        <v>46</v>
      </c>
      <c r="N68">
        <v>34</v>
      </c>
      <c r="O68">
        <v>78</v>
      </c>
      <c r="P68">
        <v>46</v>
      </c>
      <c r="Q68">
        <v>0</v>
      </c>
      <c r="R68">
        <v>320</v>
      </c>
      <c r="S68">
        <v>0</v>
      </c>
      <c r="T68">
        <v>0</v>
      </c>
      <c r="U68" s="18">
        <f t="shared" si="0"/>
        <v>2978</v>
      </c>
      <c r="W68">
        <f t="shared" si="1"/>
        <v>892</v>
      </c>
    </row>
    <row r="69" spans="2:32" x14ac:dyDescent="0.2">
      <c r="B69" s="20" t="s">
        <v>168</v>
      </c>
      <c r="C69">
        <v>6</v>
      </c>
      <c r="D69">
        <v>20.7</v>
      </c>
      <c r="E69" s="16">
        <v>2118</v>
      </c>
      <c r="F69">
        <v>28</v>
      </c>
      <c r="G69">
        <v>34</v>
      </c>
      <c r="H69">
        <v>110</v>
      </c>
      <c r="I69">
        <v>78</v>
      </c>
      <c r="J69">
        <v>34</v>
      </c>
      <c r="K69">
        <v>110</v>
      </c>
      <c r="L69">
        <v>110</v>
      </c>
      <c r="M69">
        <v>110</v>
      </c>
      <c r="N69">
        <f>56/2</f>
        <v>28</v>
      </c>
      <c r="O69">
        <v>92</v>
      </c>
      <c r="P69">
        <v>110</v>
      </c>
      <c r="Q69">
        <v>86</v>
      </c>
      <c r="R69">
        <v>110</v>
      </c>
      <c r="S69">
        <v>78</v>
      </c>
      <c r="T69">
        <v>106</v>
      </c>
      <c r="U69" s="18">
        <f t="shared" si="0"/>
        <v>3342</v>
      </c>
      <c r="W69">
        <f t="shared" si="1"/>
        <v>1224</v>
      </c>
    </row>
    <row r="70" spans="2:32" x14ac:dyDescent="0.2">
      <c r="B70" s="20" t="s">
        <v>139</v>
      </c>
      <c r="C70">
        <v>3</v>
      </c>
      <c r="D70">
        <v>14</v>
      </c>
      <c r="E70" s="16">
        <v>1006</v>
      </c>
      <c r="F70">
        <f>49*2</f>
        <v>98</v>
      </c>
      <c r="G70">
        <v>28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46</v>
      </c>
      <c r="T70">
        <f>64*2</f>
        <v>128</v>
      </c>
      <c r="U70" s="18">
        <f t="shared" si="0"/>
        <v>1306</v>
      </c>
      <c r="W70">
        <f t="shared" si="1"/>
        <v>300</v>
      </c>
    </row>
    <row r="71" spans="2:32" x14ac:dyDescent="0.2">
      <c r="B71" s="20" t="s">
        <v>132</v>
      </c>
      <c r="C71">
        <v>3.5</v>
      </c>
      <c r="D71">
        <v>2</v>
      </c>
      <c r="E71" s="16">
        <v>1074</v>
      </c>
      <c r="F71">
        <v>34</v>
      </c>
      <c r="G71">
        <v>0</v>
      </c>
      <c r="H71">
        <v>0</v>
      </c>
      <c r="I71">
        <v>0</v>
      </c>
      <c r="J71">
        <v>0</v>
      </c>
      <c r="K71">
        <v>0</v>
      </c>
      <c r="L71">
        <v>128</v>
      </c>
      <c r="M71">
        <v>46</v>
      </c>
      <c r="N71">
        <v>34</v>
      </c>
      <c r="O71">
        <v>28</v>
      </c>
      <c r="P71">
        <v>110</v>
      </c>
      <c r="Q71">
        <v>-48</v>
      </c>
      <c r="R71">
        <v>0</v>
      </c>
      <c r="S71">
        <v>302</v>
      </c>
      <c r="T71">
        <v>10</v>
      </c>
      <c r="U71" s="18">
        <f t="shared" ref="U71:U82" si="2">E71+SUM(F71:T71)</f>
        <v>1718</v>
      </c>
      <c r="W71">
        <f t="shared" ref="W71:W82" si="3">SUM(F71:T71)</f>
        <v>644</v>
      </c>
    </row>
    <row r="72" spans="2:32" x14ac:dyDescent="0.2">
      <c r="B72" s="20" t="s">
        <v>165</v>
      </c>
      <c r="C72">
        <v>1.5</v>
      </c>
      <c r="D72">
        <v>10</v>
      </c>
      <c r="E72" s="16">
        <v>1084</v>
      </c>
      <c r="F72">
        <v>46</v>
      </c>
      <c r="G72">
        <v>10</v>
      </c>
      <c r="H72">
        <v>110</v>
      </c>
      <c r="I72">
        <v>28</v>
      </c>
      <c r="J72">
        <v>82</v>
      </c>
      <c r="K72">
        <v>0</v>
      </c>
      <c r="L72">
        <v>10</v>
      </c>
      <c r="M72">
        <v>34</v>
      </c>
      <c r="N72">
        <v>34</v>
      </c>
      <c r="O72">
        <v>98</v>
      </c>
      <c r="P72">
        <v>124</v>
      </c>
      <c r="Q72">
        <v>28</v>
      </c>
      <c r="R72">
        <v>34</v>
      </c>
      <c r="S72">
        <v>28</v>
      </c>
      <c r="T72">
        <v>28</v>
      </c>
      <c r="U72" s="18">
        <f t="shared" si="2"/>
        <v>1778</v>
      </c>
      <c r="W72">
        <f t="shared" si="3"/>
        <v>694</v>
      </c>
    </row>
    <row r="73" spans="2:32" x14ac:dyDescent="0.2">
      <c r="B73" s="20" t="s">
        <v>351</v>
      </c>
      <c r="C73">
        <v>2</v>
      </c>
      <c r="D73">
        <v>2</v>
      </c>
      <c r="E73" s="16">
        <v>798</v>
      </c>
      <c r="F73">
        <f>68/2</f>
        <v>34</v>
      </c>
      <c r="G73">
        <v>28</v>
      </c>
      <c r="H73">
        <v>28</v>
      </c>
      <c r="I73">
        <v>110</v>
      </c>
      <c r="J73">
        <f>1098/3</f>
        <v>366</v>
      </c>
      <c r="K73">
        <v>98</v>
      </c>
      <c r="L73">
        <v>110</v>
      </c>
      <c r="M73">
        <v>28</v>
      </c>
      <c r="N73">
        <v>98</v>
      </c>
      <c r="O73">
        <v>4</v>
      </c>
      <c r="P73">
        <v>4</v>
      </c>
      <c r="Q73">
        <v>28</v>
      </c>
      <c r="R73">
        <v>34</v>
      </c>
      <c r="S73">
        <v>0</v>
      </c>
      <c r="T73">
        <v>0</v>
      </c>
      <c r="U73" s="18">
        <f t="shared" si="2"/>
        <v>1768</v>
      </c>
      <c r="W73">
        <f t="shared" si="3"/>
        <v>970</v>
      </c>
    </row>
    <row r="74" spans="2:32" x14ac:dyDescent="0.2">
      <c r="B74" s="20" t="s">
        <v>365</v>
      </c>
      <c r="C74">
        <v>1.5</v>
      </c>
      <c r="D74">
        <v>12</v>
      </c>
      <c r="E74" s="16">
        <v>932</v>
      </c>
      <c r="F74">
        <v>46</v>
      </c>
      <c r="G74">
        <v>-30</v>
      </c>
      <c r="H74">
        <f>64*2</f>
        <v>128</v>
      </c>
      <c r="I74">
        <v>28</v>
      </c>
      <c r="J74">
        <v>0</v>
      </c>
      <c r="K74">
        <v>28</v>
      </c>
      <c r="L74">
        <v>28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28</v>
      </c>
      <c r="T74">
        <f>23*2</f>
        <v>46</v>
      </c>
      <c r="U74" s="18">
        <f t="shared" si="2"/>
        <v>1234</v>
      </c>
      <c r="W74">
        <f t="shared" si="3"/>
        <v>302</v>
      </c>
    </row>
    <row r="75" spans="2:32" x14ac:dyDescent="0.2">
      <c r="B75" s="20" t="s">
        <v>515</v>
      </c>
      <c r="C75">
        <v>1</v>
      </c>
      <c r="D75">
        <v>21</v>
      </c>
      <c r="E75" s="16">
        <v>876</v>
      </c>
      <c r="F75">
        <v>28</v>
      </c>
      <c r="G75">
        <v>28</v>
      </c>
      <c r="H75">
        <v>60</v>
      </c>
      <c r="I75">
        <v>28</v>
      </c>
      <c r="J75">
        <v>0</v>
      </c>
      <c r="K75">
        <v>0</v>
      </c>
      <c r="L75">
        <v>66</v>
      </c>
      <c r="M75">
        <v>28</v>
      </c>
      <c r="N75">
        <v>0</v>
      </c>
      <c r="O75">
        <v>0</v>
      </c>
      <c r="P75">
        <v>0</v>
      </c>
      <c r="Q75">
        <v>0</v>
      </c>
      <c r="R75">
        <v>0</v>
      </c>
      <c r="S75">
        <f>1410-1114</f>
        <v>296</v>
      </c>
      <c r="T75">
        <v>28</v>
      </c>
      <c r="U75" s="18">
        <f t="shared" si="2"/>
        <v>1438</v>
      </c>
      <c r="W75">
        <f t="shared" si="3"/>
        <v>562</v>
      </c>
    </row>
    <row r="76" spans="2:32" x14ac:dyDescent="0.2">
      <c r="B76" s="43" t="s">
        <v>611</v>
      </c>
      <c r="C76">
        <v>1.25</v>
      </c>
      <c r="D76">
        <v>1</v>
      </c>
      <c r="E76" s="16">
        <v>194</v>
      </c>
      <c r="F76">
        <v>92</v>
      </c>
      <c r="G76">
        <v>174</v>
      </c>
      <c r="H76">
        <v>28</v>
      </c>
      <c r="I76">
        <v>28</v>
      </c>
      <c r="J76">
        <f>65*2</f>
        <v>130</v>
      </c>
      <c r="K76">
        <f>14*2-24</f>
        <v>4</v>
      </c>
      <c r="L76">
        <v>142</v>
      </c>
      <c r="M76">
        <v>28</v>
      </c>
      <c r="N76">
        <v>174</v>
      </c>
      <c r="O76">
        <v>110</v>
      </c>
      <c r="P76">
        <v>28</v>
      </c>
      <c r="Q76">
        <v>28</v>
      </c>
      <c r="R76">
        <v>28</v>
      </c>
      <c r="S76">
        <v>0</v>
      </c>
      <c r="T76">
        <v>0</v>
      </c>
      <c r="U76" s="18">
        <f t="shared" si="2"/>
        <v>1188</v>
      </c>
      <c r="W76">
        <f t="shared" si="3"/>
        <v>994</v>
      </c>
    </row>
    <row r="77" spans="2:32" x14ac:dyDescent="0.2">
      <c r="B77" s="43" t="s">
        <v>313</v>
      </c>
      <c r="C77">
        <v>1.75</v>
      </c>
      <c r="D77">
        <v>2</v>
      </c>
      <c r="E77" s="16">
        <v>752</v>
      </c>
      <c r="F77">
        <v>110</v>
      </c>
      <c r="G77">
        <v>174</v>
      </c>
      <c r="H77">
        <v>28</v>
      </c>
      <c r="I77">
        <v>46</v>
      </c>
      <c r="J77">
        <v>110</v>
      </c>
      <c r="K77">
        <v>46</v>
      </c>
      <c r="L77">
        <v>28</v>
      </c>
      <c r="M77">
        <v>22</v>
      </c>
      <c r="N77">
        <f>28+6+64</f>
        <v>98</v>
      </c>
      <c r="O77">
        <v>110</v>
      </c>
      <c r="P77">
        <v>92</v>
      </c>
      <c r="Q77">
        <v>46</v>
      </c>
      <c r="R77">
        <v>28</v>
      </c>
      <c r="S77">
        <v>142</v>
      </c>
      <c r="T77">
        <v>110</v>
      </c>
      <c r="U77" s="18">
        <f t="shared" si="2"/>
        <v>1942</v>
      </c>
      <c r="W77">
        <f t="shared" si="3"/>
        <v>1190</v>
      </c>
      <c r="Z77" t="s">
        <v>567</v>
      </c>
      <c r="AA77" s="105" t="s">
        <v>574</v>
      </c>
      <c r="AB77" s="105"/>
      <c r="AC77" t="s">
        <v>575</v>
      </c>
      <c r="AD77" t="s">
        <v>576</v>
      </c>
      <c r="AE77" t="s">
        <v>577</v>
      </c>
      <c r="AF77" t="s">
        <v>578</v>
      </c>
    </row>
    <row r="78" spans="2:32" x14ac:dyDescent="0.2">
      <c r="B78" s="43" t="s">
        <v>241</v>
      </c>
      <c r="C78">
        <v>1.5</v>
      </c>
      <c r="D78">
        <v>3</v>
      </c>
      <c r="E78" s="16">
        <v>950</v>
      </c>
      <c r="F78">
        <v>60</v>
      </c>
      <c r="G78">
        <v>78</v>
      </c>
      <c r="H78">
        <v>28</v>
      </c>
      <c r="I78">
        <v>0</v>
      </c>
      <c r="J78">
        <v>34</v>
      </c>
      <c r="K78">
        <v>0</v>
      </c>
      <c r="L78">
        <f>1228-1150</f>
        <v>78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18">
        <f t="shared" si="2"/>
        <v>1228</v>
      </c>
      <c r="W78">
        <f t="shared" si="3"/>
        <v>278</v>
      </c>
      <c r="AA78" t="s">
        <v>572</v>
      </c>
      <c r="AB78" t="s">
        <v>573</v>
      </c>
    </row>
    <row r="79" spans="2:32" x14ac:dyDescent="0.2">
      <c r="B79" s="43" t="s">
        <v>352</v>
      </c>
      <c r="C79">
        <v>3</v>
      </c>
      <c r="D79">
        <v>4</v>
      </c>
      <c r="E79" s="16">
        <v>816</v>
      </c>
      <c r="F79">
        <v>10</v>
      </c>
      <c r="G79">
        <v>46</v>
      </c>
      <c r="H79">
        <v>46</v>
      </c>
      <c r="I79">
        <v>78</v>
      </c>
      <c r="J79">
        <v>10</v>
      </c>
      <c r="K79">
        <v>46</v>
      </c>
      <c r="L79">
        <v>46</v>
      </c>
      <c r="M79">
        <v>28</v>
      </c>
      <c r="N79">
        <v>0</v>
      </c>
      <c r="O79">
        <v>0</v>
      </c>
      <c r="P79">
        <v>128</v>
      </c>
      <c r="Q79">
        <v>0</v>
      </c>
      <c r="R79">
        <v>0</v>
      </c>
      <c r="S79">
        <v>34</v>
      </c>
      <c r="T79">
        <v>0</v>
      </c>
      <c r="U79" s="18">
        <f t="shared" si="2"/>
        <v>1288</v>
      </c>
      <c r="W79">
        <f t="shared" si="3"/>
        <v>472</v>
      </c>
      <c r="Y79" t="s">
        <v>568</v>
      </c>
      <c r="Z79">
        <v>36</v>
      </c>
      <c r="AA79">
        <v>18</v>
      </c>
      <c r="AB79">
        <v>6</v>
      </c>
      <c r="AC79">
        <v>128</v>
      </c>
      <c r="AD79">
        <v>64</v>
      </c>
      <c r="AE79">
        <v>64</v>
      </c>
      <c r="AF79">
        <v>-24</v>
      </c>
    </row>
    <row r="80" spans="2:32" x14ac:dyDescent="0.2">
      <c r="B80" s="43" t="s">
        <v>270</v>
      </c>
      <c r="C80">
        <v>3.5</v>
      </c>
      <c r="D80">
        <v>14</v>
      </c>
      <c r="E80" s="16">
        <v>1258</v>
      </c>
      <c r="F80">
        <v>34</v>
      </c>
      <c r="G80">
        <v>46</v>
      </c>
      <c r="H80">
        <v>0</v>
      </c>
      <c r="I80">
        <v>174</v>
      </c>
      <c r="J80">
        <v>34</v>
      </c>
      <c r="K80">
        <v>0</v>
      </c>
      <c r="L80">
        <v>46</v>
      </c>
      <c r="M80">
        <v>92</v>
      </c>
      <c r="N80">
        <v>110</v>
      </c>
      <c r="O80">
        <v>142</v>
      </c>
      <c r="P80">
        <v>110</v>
      </c>
      <c r="Q80">
        <v>110</v>
      </c>
      <c r="R80">
        <v>110</v>
      </c>
      <c r="S80">
        <v>34</v>
      </c>
      <c r="T80">
        <v>46</v>
      </c>
      <c r="U80" s="18">
        <f t="shared" si="2"/>
        <v>2346</v>
      </c>
      <c r="W80">
        <f t="shared" si="3"/>
        <v>1088</v>
      </c>
      <c r="Y80" t="s">
        <v>569</v>
      </c>
      <c r="Z80">
        <v>36</v>
      </c>
      <c r="AA80">
        <v>18</v>
      </c>
      <c r="AB80">
        <v>6</v>
      </c>
      <c r="AC80">
        <v>96</v>
      </c>
      <c r="AD80">
        <v>48</v>
      </c>
      <c r="AE80">
        <v>48</v>
      </c>
      <c r="AF80">
        <v>-24</v>
      </c>
    </row>
    <row r="81" spans="2:32" x14ac:dyDescent="0.2">
      <c r="B81" s="43" t="s">
        <v>580</v>
      </c>
      <c r="C81">
        <v>2.5</v>
      </c>
      <c r="D81">
        <v>6</v>
      </c>
      <c r="E81" s="16">
        <v>134</v>
      </c>
      <c r="F81">
        <v>78</v>
      </c>
      <c r="G81">
        <v>142</v>
      </c>
      <c r="H81">
        <v>46</v>
      </c>
      <c r="I81">
        <v>46</v>
      </c>
      <c r="J81">
        <v>28</v>
      </c>
      <c r="K81">
        <f>49*2</f>
        <v>98</v>
      </c>
      <c r="L81">
        <f>55*2</f>
        <v>110</v>
      </c>
      <c r="M81">
        <f>46*2</f>
        <v>92</v>
      </c>
      <c r="N81">
        <v>110</v>
      </c>
      <c r="O81">
        <v>174</v>
      </c>
      <c r="P81">
        <v>110</v>
      </c>
      <c r="Q81">
        <v>98</v>
      </c>
      <c r="R81">
        <v>46</v>
      </c>
      <c r="S81">
        <v>28</v>
      </c>
      <c r="T81">
        <f>49*2</f>
        <v>98</v>
      </c>
      <c r="U81" s="18">
        <f t="shared" si="2"/>
        <v>1438</v>
      </c>
      <c r="W81">
        <f t="shared" si="3"/>
        <v>1304</v>
      </c>
      <c r="Y81" t="s">
        <v>570</v>
      </c>
      <c r="Z81">
        <v>28</v>
      </c>
      <c r="AA81">
        <v>18</v>
      </c>
      <c r="AB81">
        <v>6</v>
      </c>
      <c r="AC81">
        <v>80</v>
      </c>
      <c r="AD81">
        <v>40</v>
      </c>
      <c r="AE81">
        <v>24</v>
      </c>
      <c r="AF81">
        <v>-12</v>
      </c>
    </row>
    <row r="82" spans="2:32" x14ac:dyDescent="0.2">
      <c r="B82" s="43" t="s">
        <v>691</v>
      </c>
      <c r="C82">
        <v>3</v>
      </c>
      <c r="D82">
        <v>15</v>
      </c>
      <c r="E82" s="16">
        <v>0</v>
      </c>
      <c r="F82">
        <v>128</v>
      </c>
      <c r="G82">
        <v>0</v>
      </c>
      <c r="H82">
        <v>0</v>
      </c>
      <c r="I82">
        <v>0</v>
      </c>
      <c r="J82">
        <v>0</v>
      </c>
      <c r="K82">
        <v>128</v>
      </c>
      <c r="L82">
        <f>28-24</f>
        <v>4</v>
      </c>
      <c r="M82">
        <v>110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18">
        <f t="shared" si="2"/>
        <v>370</v>
      </c>
      <c r="W82">
        <f t="shared" si="3"/>
        <v>370</v>
      </c>
      <c r="Y82" t="s">
        <v>571</v>
      </c>
      <c r="Z82">
        <v>28</v>
      </c>
      <c r="AA82">
        <v>18</v>
      </c>
      <c r="AB82">
        <v>6</v>
      </c>
      <c r="AC82">
        <v>64</v>
      </c>
      <c r="AD82">
        <v>32</v>
      </c>
      <c r="AE82">
        <v>0</v>
      </c>
      <c r="AF82">
        <v>0</v>
      </c>
    </row>
    <row r="84" spans="2:32" x14ac:dyDescent="0.2">
      <c r="E84" s="16" t="s">
        <v>116</v>
      </c>
      <c r="F84">
        <v>0</v>
      </c>
      <c r="G84">
        <v>0</v>
      </c>
      <c r="H84">
        <v>64</v>
      </c>
      <c r="I84">
        <v>0</v>
      </c>
      <c r="J84">
        <v>0</v>
      </c>
      <c r="K84">
        <v>64</v>
      </c>
      <c r="L84">
        <v>64</v>
      </c>
      <c r="M84">
        <v>64</v>
      </c>
      <c r="N84">
        <v>0</v>
      </c>
      <c r="O84">
        <v>64</v>
      </c>
      <c r="P84">
        <v>0</v>
      </c>
      <c r="Q84">
        <v>0</v>
      </c>
      <c r="R84">
        <v>128</v>
      </c>
      <c r="S84">
        <v>64</v>
      </c>
      <c r="T84">
        <v>64</v>
      </c>
    </row>
    <row r="87" spans="2:32" x14ac:dyDescent="0.2">
      <c r="B87" t="s">
        <v>702</v>
      </c>
    </row>
    <row r="88" spans="2:32" x14ac:dyDescent="0.2">
      <c r="B88" s="36" t="s">
        <v>181</v>
      </c>
      <c r="C88">
        <v>3</v>
      </c>
      <c r="D88">
        <v>0</v>
      </c>
      <c r="E88" s="16">
        <v>1098</v>
      </c>
      <c r="F88">
        <v>0</v>
      </c>
      <c r="G88">
        <v>106</v>
      </c>
      <c r="H88">
        <v>54</v>
      </c>
      <c r="I88">
        <v>118</v>
      </c>
      <c r="J88">
        <v>42</v>
      </c>
      <c r="K88">
        <v>118</v>
      </c>
      <c r="L88">
        <v>118</v>
      </c>
      <c r="M88">
        <v>118</v>
      </c>
      <c r="N88">
        <f>36-24-24</f>
        <v>-12</v>
      </c>
      <c r="O88">
        <v>-12</v>
      </c>
      <c r="P88">
        <v>30</v>
      </c>
      <c r="Q88">
        <v>118</v>
      </c>
      <c r="R88">
        <v>54</v>
      </c>
      <c r="S88">
        <v>118</v>
      </c>
      <c r="T88">
        <v>18</v>
      </c>
      <c r="U88" s="18">
        <f t="shared" ref="U88" si="4">E88+SUM(F88:T88)</f>
        <v>2086</v>
      </c>
      <c r="W88">
        <f t="shared" ref="W88" si="5">SUM(F88:T88)</f>
        <v>988</v>
      </c>
    </row>
    <row r="89" spans="2:32" x14ac:dyDescent="0.2">
      <c r="B89" s="36" t="s">
        <v>161</v>
      </c>
      <c r="C89">
        <v>1</v>
      </c>
      <c r="D89">
        <v>37</v>
      </c>
      <c r="E89" s="16">
        <v>868</v>
      </c>
      <c r="F89">
        <v>54</v>
      </c>
      <c r="G89">
        <v>106</v>
      </c>
      <c r="H89">
        <f>59*2</f>
        <v>118</v>
      </c>
      <c r="I89">
        <v>12</v>
      </c>
      <c r="J89">
        <v>18</v>
      </c>
      <c r="K89">
        <f>21*2</f>
        <v>42</v>
      </c>
      <c r="L89">
        <v>0</v>
      </c>
      <c r="M89">
        <v>0</v>
      </c>
      <c r="N89">
        <v>0</v>
      </c>
      <c r="O89">
        <v>0</v>
      </c>
      <c r="P89">
        <v>0</v>
      </c>
      <c r="Q89">
        <v>12</v>
      </c>
      <c r="R89">
        <v>106</v>
      </c>
      <c r="S89">
        <v>12</v>
      </c>
      <c r="T89">
        <v>-12</v>
      </c>
      <c r="U89" s="18">
        <f t="shared" ref="U89" si="6">E89+SUM(F89:T89)</f>
        <v>1336</v>
      </c>
      <c r="W89">
        <f t="shared" ref="W89" si="7">SUM(F89:T89)</f>
        <v>468</v>
      </c>
    </row>
    <row r="90" spans="2:32" x14ac:dyDescent="0.2">
      <c r="B90" s="35" t="s">
        <v>204</v>
      </c>
      <c r="C90">
        <v>4.5</v>
      </c>
      <c r="D90">
        <v>45</v>
      </c>
      <c r="E90" s="16">
        <v>1734</v>
      </c>
      <c r="F90">
        <v>102</v>
      </c>
      <c r="G90">
        <v>198</v>
      </c>
      <c r="H90">
        <v>102</v>
      </c>
      <c r="I90">
        <v>102</v>
      </c>
      <c r="J90">
        <v>42</v>
      </c>
      <c r="K90">
        <v>102</v>
      </c>
      <c r="L90">
        <v>30</v>
      </c>
      <c r="M90">
        <v>6</v>
      </c>
      <c r="N90">
        <v>90</v>
      </c>
      <c r="O90">
        <v>150</v>
      </c>
      <c r="P90">
        <v>102</v>
      </c>
      <c r="Q90">
        <v>54</v>
      </c>
      <c r="R90">
        <v>246</v>
      </c>
      <c r="S90">
        <v>30</v>
      </c>
      <c r="T90">
        <v>198</v>
      </c>
      <c r="U90" s="18">
        <f t="shared" ref="U90:U93" si="8">E90+SUM(F90:T90)</f>
        <v>3288</v>
      </c>
      <c r="W90">
        <f t="shared" ref="W90:W93" si="9">SUM(F90:T90)</f>
        <v>1554</v>
      </c>
    </row>
    <row r="91" spans="2:32" x14ac:dyDescent="0.2">
      <c r="B91" s="35" t="s">
        <v>21</v>
      </c>
      <c r="C91">
        <v>3.5</v>
      </c>
      <c r="D91">
        <v>29</v>
      </c>
      <c r="E91" s="16">
        <v>1230</v>
      </c>
      <c r="F91">
        <v>102</v>
      </c>
      <c r="G91">
        <v>198</v>
      </c>
      <c r="H91">
        <v>102</v>
      </c>
      <c r="I91">
        <v>102</v>
      </c>
      <c r="J91">
        <v>18</v>
      </c>
      <c r="K91">
        <v>102</v>
      </c>
      <c r="L91">
        <v>30</v>
      </c>
      <c r="M91">
        <v>126</v>
      </c>
      <c r="N91">
        <v>66</v>
      </c>
      <c r="O91">
        <v>198</v>
      </c>
      <c r="P91">
        <v>198</v>
      </c>
      <c r="Q91">
        <v>54</v>
      </c>
      <c r="R91">
        <v>102</v>
      </c>
      <c r="S91">
        <v>30</v>
      </c>
      <c r="T91">
        <v>198</v>
      </c>
      <c r="U91" s="18">
        <f t="shared" si="8"/>
        <v>2856</v>
      </c>
      <c r="W91">
        <f t="shared" si="9"/>
        <v>1626</v>
      </c>
    </row>
    <row r="92" spans="2:32" x14ac:dyDescent="0.2">
      <c r="B92" s="35" t="s">
        <v>126</v>
      </c>
      <c r="C92">
        <v>4</v>
      </c>
      <c r="D92">
        <v>1</v>
      </c>
      <c r="E92" s="16">
        <v>1182</v>
      </c>
      <c r="F92">
        <v>0</v>
      </c>
      <c r="G92">
        <v>90</v>
      </c>
      <c r="H92">
        <v>54</v>
      </c>
      <c r="I92">
        <v>102</v>
      </c>
      <c r="J92">
        <v>138</v>
      </c>
      <c r="K92">
        <v>150</v>
      </c>
      <c r="L92">
        <f>588/2</f>
        <v>294</v>
      </c>
      <c r="M92">
        <v>150</v>
      </c>
      <c r="N92">
        <f>36-24-24</f>
        <v>-12</v>
      </c>
      <c r="O92">
        <v>-12</v>
      </c>
      <c r="P92">
        <v>126</v>
      </c>
      <c r="Q92">
        <f>102-24</f>
        <v>78</v>
      </c>
      <c r="R92">
        <v>54</v>
      </c>
      <c r="S92">
        <v>102</v>
      </c>
      <c r="T92">
        <v>66</v>
      </c>
      <c r="U92" s="18">
        <f t="shared" si="8"/>
        <v>2562</v>
      </c>
      <c r="W92">
        <f t="shared" si="9"/>
        <v>1380</v>
      </c>
    </row>
    <row r="93" spans="2:32" x14ac:dyDescent="0.2">
      <c r="B93" s="35" t="s">
        <v>586</v>
      </c>
      <c r="C93">
        <v>0.75</v>
      </c>
      <c r="D93">
        <v>16</v>
      </c>
      <c r="E93" s="16">
        <v>600</v>
      </c>
      <c r="F93">
        <f>27*2</f>
        <v>54</v>
      </c>
      <c r="G93">
        <f>33*2</f>
        <v>66</v>
      </c>
      <c r="H93">
        <v>78</v>
      </c>
      <c r="I93">
        <v>0</v>
      </c>
      <c r="J93">
        <v>18</v>
      </c>
      <c r="K93">
        <v>18</v>
      </c>
      <c r="L93">
        <v>42</v>
      </c>
      <c r="M93">
        <v>18</v>
      </c>
      <c r="N93">
        <v>90</v>
      </c>
      <c r="O93">
        <v>42</v>
      </c>
      <c r="P93">
        <v>12</v>
      </c>
      <c r="Q93">
        <v>12</v>
      </c>
      <c r="R93">
        <v>0</v>
      </c>
      <c r="S93">
        <v>12</v>
      </c>
      <c r="T93">
        <v>-12</v>
      </c>
      <c r="U93" s="18">
        <f t="shared" si="8"/>
        <v>1050</v>
      </c>
      <c r="W93">
        <f t="shared" si="9"/>
        <v>450</v>
      </c>
    </row>
    <row r="94" spans="2:32" x14ac:dyDescent="0.2">
      <c r="B94" s="35" t="s">
        <v>324</v>
      </c>
      <c r="C94">
        <v>1.25</v>
      </c>
      <c r="D94">
        <v>3</v>
      </c>
      <c r="E94" s="16">
        <v>516</v>
      </c>
      <c r="F94">
        <v>30</v>
      </c>
      <c r="G94">
        <v>102</v>
      </c>
      <c r="H94">
        <v>78</v>
      </c>
      <c r="I94">
        <v>126</v>
      </c>
      <c r="J94">
        <v>12</v>
      </c>
      <c r="K94">
        <v>42</v>
      </c>
      <c r="L94">
        <f>75*2</f>
        <v>150</v>
      </c>
      <c r="M94">
        <v>-12</v>
      </c>
      <c r="N94">
        <v>54</v>
      </c>
      <c r="O94">
        <v>30</v>
      </c>
      <c r="P94">
        <v>54</v>
      </c>
      <c r="Q94">
        <v>-6</v>
      </c>
      <c r="R94">
        <v>102</v>
      </c>
      <c r="S94">
        <v>36</v>
      </c>
      <c r="T94">
        <v>66</v>
      </c>
      <c r="U94" s="18">
        <f t="shared" ref="U94" si="10">E94+SUM(F94:T94)</f>
        <v>1380</v>
      </c>
      <c r="W94">
        <f t="shared" ref="W94" si="11">SUM(F94:T94)</f>
        <v>864</v>
      </c>
    </row>
    <row r="95" spans="2:32" x14ac:dyDescent="0.2">
      <c r="B95" s="37" t="s">
        <v>24</v>
      </c>
      <c r="C95">
        <v>5</v>
      </c>
      <c r="D95">
        <v>21</v>
      </c>
      <c r="E95" s="16">
        <v>1602</v>
      </c>
      <c r="F95">
        <v>70</v>
      </c>
      <c r="G95">
        <v>70</v>
      </c>
      <c r="H95">
        <v>28</v>
      </c>
      <c r="I95">
        <v>230</v>
      </c>
      <c r="J95">
        <f>138/3</f>
        <v>46</v>
      </c>
      <c r="K95">
        <v>46</v>
      </c>
      <c r="L95">
        <v>0</v>
      </c>
      <c r="M95">
        <f>140/2</f>
        <v>70</v>
      </c>
      <c r="N95">
        <v>22</v>
      </c>
      <c r="O95">
        <v>70</v>
      </c>
      <c r="P95">
        <v>16</v>
      </c>
      <c r="Q95">
        <v>126</v>
      </c>
      <c r="R95">
        <v>96</v>
      </c>
      <c r="S95">
        <f>788/2</f>
        <v>394</v>
      </c>
      <c r="T95">
        <v>46</v>
      </c>
      <c r="U95" s="18">
        <f t="shared" ref="U95:U96" si="12">E95+SUM(F95:T95)</f>
        <v>2932</v>
      </c>
      <c r="W95">
        <f t="shared" ref="W95:W96" si="13">SUM(F95:T95)</f>
        <v>1330</v>
      </c>
    </row>
    <row r="96" spans="2:32" x14ac:dyDescent="0.2">
      <c r="B96" s="37" t="s">
        <v>122</v>
      </c>
      <c r="C96">
        <v>1.5</v>
      </c>
      <c r="D96">
        <v>39.200000000000003</v>
      </c>
      <c r="E96" s="16">
        <v>1018</v>
      </c>
      <c r="F96">
        <v>70</v>
      </c>
      <c r="G96">
        <v>10</v>
      </c>
      <c r="H96">
        <v>28</v>
      </c>
      <c r="I96">
        <v>-8</v>
      </c>
      <c r="J96">
        <v>0</v>
      </c>
      <c r="K96">
        <v>0</v>
      </c>
      <c r="L96">
        <v>0</v>
      </c>
      <c r="M96">
        <v>56</v>
      </c>
      <c r="N96">
        <v>4</v>
      </c>
      <c r="O96">
        <v>46</v>
      </c>
      <c r="P96">
        <v>102</v>
      </c>
      <c r="Q96">
        <v>22</v>
      </c>
      <c r="R96">
        <v>0</v>
      </c>
      <c r="S96">
        <v>34</v>
      </c>
      <c r="T96">
        <v>16</v>
      </c>
      <c r="U96" s="18">
        <f t="shared" si="12"/>
        <v>1398</v>
      </c>
      <c r="W96">
        <f t="shared" si="13"/>
        <v>380</v>
      </c>
    </row>
    <row r="97" spans="2:28" x14ac:dyDescent="0.2">
      <c r="B97" s="37" t="s">
        <v>271</v>
      </c>
      <c r="C97">
        <v>3</v>
      </c>
      <c r="D97">
        <v>7</v>
      </c>
      <c r="E97" s="16">
        <v>1170</v>
      </c>
      <c r="F97">
        <v>0</v>
      </c>
      <c r="G97">
        <v>0</v>
      </c>
      <c r="H97">
        <v>110</v>
      </c>
      <c r="I97">
        <v>80</v>
      </c>
      <c r="J97">
        <v>78</v>
      </c>
      <c r="K97">
        <v>70</v>
      </c>
      <c r="L97">
        <v>56</v>
      </c>
      <c r="M97">
        <v>16</v>
      </c>
      <c r="N97">
        <v>110</v>
      </c>
      <c r="O97">
        <f>252/2</f>
        <v>126</v>
      </c>
      <c r="P97">
        <v>150</v>
      </c>
      <c r="Q97">
        <v>270</v>
      </c>
      <c r="R97">
        <v>34</v>
      </c>
      <c r="S97">
        <v>34</v>
      </c>
      <c r="T97">
        <v>46</v>
      </c>
      <c r="U97" s="18">
        <f t="shared" ref="U97" si="14">E97+SUM(F97:T97)</f>
        <v>2350</v>
      </c>
      <c r="W97">
        <f t="shared" ref="W97" si="15">SUM(F97:T97)</f>
        <v>1180</v>
      </c>
    </row>
    <row r="98" spans="2:28" x14ac:dyDescent="0.2">
      <c r="B98" s="37" t="s">
        <v>321</v>
      </c>
      <c r="C98">
        <v>1.25</v>
      </c>
      <c r="D98">
        <v>2</v>
      </c>
      <c r="E98" s="16">
        <v>438</v>
      </c>
      <c r="F98">
        <f>28+18+40+40-12</f>
        <v>114</v>
      </c>
      <c r="G98">
        <v>70</v>
      </c>
      <c r="H98">
        <v>150</v>
      </c>
      <c r="I98">
        <v>46</v>
      </c>
      <c r="J98">
        <f>28-12</f>
        <v>16</v>
      </c>
      <c r="K98">
        <v>0</v>
      </c>
      <c r="L98">
        <v>70</v>
      </c>
      <c r="M98">
        <f>28-12-12</f>
        <v>4</v>
      </c>
      <c r="N98">
        <f>28+18+80</f>
        <v>126</v>
      </c>
      <c r="O98">
        <f>28-12+18</f>
        <v>34</v>
      </c>
      <c r="P98">
        <v>86</v>
      </c>
      <c r="Q98">
        <v>62</v>
      </c>
      <c r="R98">
        <v>110</v>
      </c>
      <c r="S98">
        <v>0</v>
      </c>
      <c r="T98">
        <v>22</v>
      </c>
      <c r="U98" s="18">
        <f t="shared" ref="U98" si="16">E98+SUM(F98:T98)</f>
        <v>1348</v>
      </c>
      <c r="W98">
        <f t="shared" ref="W98" si="17">SUM(F98:T98)</f>
        <v>910</v>
      </c>
    </row>
    <row r="99" spans="2:28" x14ac:dyDescent="0.2">
      <c r="B99" s="37" t="s">
        <v>613</v>
      </c>
      <c r="C99">
        <v>1.5</v>
      </c>
      <c r="D99">
        <v>19</v>
      </c>
      <c r="E99" s="16">
        <v>160</v>
      </c>
      <c r="F99">
        <v>126</v>
      </c>
      <c r="G99">
        <v>16</v>
      </c>
      <c r="H99">
        <v>22</v>
      </c>
      <c r="I99">
        <v>70</v>
      </c>
      <c r="J99">
        <v>0</v>
      </c>
      <c r="K99">
        <v>70</v>
      </c>
      <c r="L99">
        <v>0</v>
      </c>
      <c r="M99">
        <v>0</v>
      </c>
      <c r="N99">
        <v>34</v>
      </c>
      <c r="O99">
        <v>70</v>
      </c>
      <c r="P99">
        <v>22</v>
      </c>
      <c r="Q99">
        <v>16</v>
      </c>
      <c r="R99">
        <v>230</v>
      </c>
      <c r="S99">
        <v>16</v>
      </c>
      <c r="T99">
        <v>206</v>
      </c>
      <c r="U99" s="18">
        <f t="shared" ref="U99:U100" si="18">E99+SUM(F99:T99)</f>
        <v>1058</v>
      </c>
      <c r="W99">
        <f t="shared" ref="W99:W100" si="19">SUM(F99:T99)</f>
        <v>898</v>
      </c>
    </row>
    <row r="100" spans="2:28" x14ac:dyDescent="0.2">
      <c r="B100" s="37" t="s">
        <v>616</v>
      </c>
      <c r="C100">
        <v>0.5</v>
      </c>
      <c r="D100">
        <v>20</v>
      </c>
      <c r="E100" s="16">
        <v>132</v>
      </c>
      <c r="F100">
        <v>46</v>
      </c>
      <c r="G100">
        <v>16</v>
      </c>
      <c r="H100">
        <v>22</v>
      </c>
      <c r="I100">
        <v>70</v>
      </c>
      <c r="J100">
        <v>114</v>
      </c>
      <c r="K100">
        <v>70</v>
      </c>
      <c r="L100">
        <v>28</v>
      </c>
      <c r="M100">
        <v>126</v>
      </c>
      <c r="N100">
        <v>34</v>
      </c>
      <c r="O100">
        <v>86</v>
      </c>
      <c r="P100">
        <v>22</v>
      </c>
      <c r="Q100">
        <v>-8</v>
      </c>
      <c r="R100">
        <v>46</v>
      </c>
      <c r="S100">
        <f>48*2</f>
        <v>96</v>
      </c>
      <c r="T100">
        <v>126</v>
      </c>
      <c r="U100" s="18">
        <f t="shared" si="18"/>
        <v>1026</v>
      </c>
      <c r="W100">
        <f t="shared" si="19"/>
        <v>894</v>
      </c>
    </row>
    <row r="101" spans="2:28" x14ac:dyDescent="0.2">
      <c r="B101" s="20" t="s">
        <v>269</v>
      </c>
      <c r="C101">
        <v>5.5</v>
      </c>
      <c r="D101">
        <v>79.3</v>
      </c>
      <c r="E101" s="16">
        <v>2126</v>
      </c>
      <c r="F101">
        <f>196/2</f>
        <v>98</v>
      </c>
      <c r="G101">
        <f>156/2</f>
        <v>78</v>
      </c>
      <c r="H101">
        <f>220/2</f>
        <v>110</v>
      </c>
      <c r="I101">
        <v>334</v>
      </c>
      <c r="J101">
        <v>98</v>
      </c>
      <c r="K101">
        <v>46</v>
      </c>
      <c r="L101">
        <f>44/2</f>
        <v>22</v>
      </c>
      <c r="M101">
        <v>-36</v>
      </c>
      <c r="N101">
        <f>92/2</f>
        <v>46</v>
      </c>
      <c r="O101">
        <v>174</v>
      </c>
      <c r="P101">
        <v>206</v>
      </c>
      <c r="Q101">
        <v>174</v>
      </c>
      <c r="R101">
        <f>156/2</f>
        <v>78</v>
      </c>
      <c r="S101">
        <v>34</v>
      </c>
      <c r="T101">
        <f>522/3</f>
        <v>174</v>
      </c>
      <c r="U101" s="18">
        <f t="shared" ref="U101:U102" si="20">E101+SUM(F101:T101)</f>
        <v>3762</v>
      </c>
      <c r="W101">
        <f t="shared" ref="W101:W103" si="21">SUM(F101:T101)</f>
        <v>1636</v>
      </c>
    </row>
    <row r="102" spans="2:28" x14ac:dyDescent="0.2">
      <c r="B102" s="20" t="s">
        <v>168</v>
      </c>
      <c r="C102">
        <v>6</v>
      </c>
      <c r="D102">
        <v>20.7</v>
      </c>
      <c r="E102" s="16">
        <v>2118</v>
      </c>
      <c r="F102">
        <v>28</v>
      </c>
      <c r="G102">
        <v>34</v>
      </c>
      <c r="H102">
        <v>110</v>
      </c>
      <c r="I102">
        <v>78</v>
      </c>
      <c r="J102">
        <v>34</v>
      </c>
      <c r="K102">
        <v>110</v>
      </c>
      <c r="L102">
        <v>110</v>
      </c>
      <c r="M102">
        <v>110</v>
      </c>
      <c r="N102">
        <f>56/2</f>
        <v>28</v>
      </c>
      <c r="O102">
        <v>92</v>
      </c>
      <c r="P102">
        <v>110</v>
      </c>
      <c r="Q102">
        <v>86</v>
      </c>
      <c r="R102">
        <v>110</v>
      </c>
      <c r="S102">
        <v>78</v>
      </c>
      <c r="T102">
        <v>106</v>
      </c>
      <c r="U102" s="18">
        <f t="shared" si="20"/>
        <v>3342</v>
      </c>
      <c r="W102">
        <f t="shared" si="21"/>
        <v>1224</v>
      </c>
    </row>
    <row r="103" spans="2:28" x14ac:dyDescent="0.2">
      <c r="B103" s="43" t="s">
        <v>313</v>
      </c>
      <c r="C103">
        <v>1.75</v>
      </c>
      <c r="D103">
        <v>2</v>
      </c>
      <c r="E103" s="16">
        <v>752</v>
      </c>
      <c r="F103">
        <v>110</v>
      </c>
      <c r="G103">
        <v>174</v>
      </c>
      <c r="H103">
        <v>28</v>
      </c>
      <c r="I103">
        <v>46</v>
      </c>
      <c r="J103">
        <v>110</v>
      </c>
      <c r="K103">
        <v>46</v>
      </c>
      <c r="L103">
        <v>28</v>
      </c>
      <c r="M103">
        <v>22</v>
      </c>
      <c r="N103">
        <f>28+6+64</f>
        <v>98</v>
      </c>
      <c r="O103">
        <v>110</v>
      </c>
      <c r="P103">
        <v>92</v>
      </c>
      <c r="Q103">
        <v>46</v>
      </c>
      <c r="R103">
        <v>28</v>
      </c>
      <c r="S103">
        <v>142</v>
      </c>
      <c r="T103">
        <v>110</v>
      </c>
      <c r="U103" s="18">
        <f t="shared" ref="U103" si="22">E103+SUM(F103:T103)</f>
        <v>1942</v>
      </c>
      <c r="W103">
        <f t="shared" si="21"/>
        <v>1190</v>
      </c>
      <c r="AA103" s="105"/>
      <c r="AB103" s="105"/>
    </row>
    <row r="104" spans="2:28" x14ac:dyDescent="0.2">
      <c r="B104" s="43" t="s">
        <v>580</v>
      </c>
      <c r="C104">
        <v>2.5</v>
      </c>
      <c r="D104">
        <v>6</v>
      </c>
      <c r="E104" s="16">
        <v>134</v>
      </c>
      <c r="F104">
        <v>78</v>
      </c>
      <c r="G104">
        <v>142</v>
      </c>
      <c r="H104">
        <v>46</v>
      </c>
      <c r="I104">
        <v>46</v>
      </c>
      <c r="J104">
        <v>28</v>
      </c>
      <c r="K104">
        <f>49*2</f>
        <v>98</v>
      </c>
      <c r="L104">
        <f>55*2</f>
        <v>110</v>
      </c>
      <c r="M104">
        <f>46*2</f>
        <v>92</v>
      </c>
      <c r="N104">
        <v>110</v>
      </c>
      <c r="O104">
        <v>174</v>
      </c>
      <c r="P104">
        <v>110</v>
      </c>
      <c r="Q104">
        <v>98</v>
      </c>
      <c r="R104">
        <v>46</v>
      </c>
      <c r="S104">
        <v>28</v>
      </c>
      <c r="T104">
        <f>49*2</f>
        <v>98</v>
      </c>
      <c r="U104" s="18">
        <f t="shared" ref="U104" si="23">E104+SUM(F104:T104)</f>
        <v>1438</v>
      </c>
      <c r="W104">
        <f t="shared" ref="W104:W105" si="24">SUM(F104:T104)</f>
        <v>1304</v>
      </c>
    </row>
    <row r="105" spans="2:28" x14ac:dyDescent="0.2">
      <c r="B105" s="20" t="s">
        <v>511</v>
      </c>
      <c r="C105">
        <v>0.5</v>
      </c>
      <c r="D105">
        <v>27.6</v>
      </c>
      <c r="E105" s="16">
        <v>364</v>
      </c>
      <c r="F105">
        <v>46</v>
      </c>
      <c r="G105">
        <v>34</v>
      </c>
      <c r="H105">
        <v>46</v>
      </c>
      <c r="I105">
        <v>28</v>
      </c>
      <c r="J105">
        <v>98</v>
      </c>
      <c r="K105">
        <f>49*2</f>
        <v>98</v>
      </c>
      <c r="L105">
        <v>34</v>
      </c>
      <c r="M105">
        <v>34</v>
      </c>
      <c r="N105">
        <v>34</v>
      </c>
      <c r="O105">
        <v>34</v>
      </c>
      <c r="P105">
        <v>92</v>
      </c>
      <c r="Q105">
        <v>28</v>
      </c>
      <c r="R105">
        <v>10</v>
      </c>
      <c r="S105">
        <v>0</v>
      </c>
      <c r="T105">
        <v>0</v>
      </c>
      <c r="U105" s="18">
        <f t="shared" ref="U105" si="25">E105+SUM(F105:T105)</f>
        <v>980</v>
      </c>
      <c r="W105">
        <f t="shared" si="24"/>
        <v>616</v>
      </c>
    </row>
    <row r="107" spans="2:28" x14ac:dyDescent="0.2">
      <c r="C107">
        <f>SUM(C88:C105)</f>
        <v>47</v>
      </c>
      <c r="V107" t="s">
        <v>703</v>
      </c>
      <c r="W107">
        <f>SUM(W88:W105)</f>
        <v>18892</v>
      </c>
    </row>
    <row r="109" spans="2:28" x14ac:dyDescent="0.2">
      <c r="B109" t="s">
        <v>693</v>
      </c>
    </row>
    <row r="110" spans="2:28" x14ac:dyDescent="0.2">
      <c r="B110" s="100" t="s">
        <v>328</v>
      </c>
      <c r="C110">
        <v>1.75</v>
      </c>
      <c r="D110">
        <v>18</v>
      </c>
      <c r="E110" s="16">
        <v>808</v>
      </c>
      <c r="F110">
        <v>30</v>
      </c>
      <c r="G110">
        <v>0</v>
      </c>
      <c r="H110">
        <v>0</v>
      </c>
      <c r="I110">
        <v>0</v>
      </c>
      <c r="J110">
        <v>0</v>
      </c>
      <c r="K110">
        <v>42</v>
      </c>
      <c r="L110">
        <v>118</v>
      </c>
      <c r="M110">
        <v>-12</v>
      </c>
      <c r="N110">
        <v>54</v>
      </c>
      <c r="O110">
        <v>30</v>
      </c>
      <c r="P110">
        <v>54</v>
      </c>
      <c r="Q110">
        <v>18</v>
      </c>
      <c r="R110">
        <v>118</v>
      </c>
      <c r="S110">
        <v>36</v>
      </c>
      <c r="T110">
        <v>18</v>
      </c>
      <c r="U110" s="18">
        <f t="shared" ref="U110:U127" si="26">E110+SUM(F110:T110)</f>
        <v>1314</v>
      </c>
      <c r="W110">
        <f t="shared" ref="W110:W127" si="27">SUM(F110:T110)</f>
        <v>506</v>
      </c>
    </row>
    <row r="111" spans="2:28" x14ac:dyDescent="0.2">
      <c r="B111" s="100" t="s">
        <v>161</v>
      </c>
      <c r="C111">
        <v>1</v>
      </c>
      <c r="D111">
        <v>37</v>
      </c>
      <c r="E111" s="16">
        <v>868</v>
      </c>
      <c r="F111">
        <v>54</v>
      </c>
      <c r="G111">
        <f>53*2</f>
        <v>106</v>
      </c>
      <c r="H111">
        <v>118</v>
      </c>
      <c r="I111">
        <v>12</v>
      </c>
      <c r="J111">
        <v>18</v>
      </c>
      <c r="K111">
        <v>42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12</v>
      </c>
      <c r="R111">
        <v>106</v>
      </c>
      <c r="S111">
        <v>12</v>
      </c>
      <c r="T111">
        <v>-12</v>
      </c>
      <c r="U111" s="18">
        <f t="shared" si="26"/>
        <v>1336</v>
      </c>
      <c r="W111">
        <f t="shared" si="27"/>
        <v>468</v>
      </c>
    </row>
    <row r="112" spans="2:28" x14ac:dyDescent="0.2">
      <c r="B112" s="101" t="s">
        <v>204</v>
      </c>
      <c r="C112">
        <v>4.5</v>
      </c>
      <c r="D112">
        <v>45</v>
      </c>
      <c r="E112" s="16">
        <v>1734</v>
      </c>
      <c r="F112">
        <v>102</v>
      </c>
      <c r="G112">
        <v>198</v>
      </c>
      <c r="H112">
        <v>102</v>
      </c>
      <c r="I112">
        <v>102</v>
      </c>
      <c r="J112">
        <v>42</v>
      </c>
      <c r="K112">
        <v>102</v>
      </c>
      <c r="L112">
        <v>30</v>
      </c>
      <c r="M112">
        <v>6</v>
      </c>
      <c r="N112">
        <v>90</v>
      </c>
      <c r="O112">
        <v>150</v>
      </c>
      <c r="P112">
        <v>102</v>
      </c>
      <c r="Q112">
        <v>54</v>
      </c>
      <c r="R112">
        <v>246</v>
      </c>
      <c r="S112">
        <v>30</v>
      </c>
      <c r="T112">
        <v>198</v>
      </c>
      <c r="U112" s="18">
        <f t="shared" si="26"/>
        <v>3288</v>
      </c>
      <c r="W112">
        <f t="shared" si="27"/>
        <v>1554</v>
      </c>
    </row>
    <row r="113" spans="2:23" x14ac:dyDescent="0.2">
      <c r="B113" s="101" t="s">
        <v>281</v>
      </c>
      <c r="C113">
        <v>4</v>
      </c>
      <c r="D113">
        <v>58.6</v>
      </c>
      <c r="E113" s="16">
        <v>1464</v>
      </c>
      <c r="F113">
        <v>42</v>
      </c>
      <c r="G113">
        <v>54</v>
      </c>
      <c r="H113">
        <v>102</v>
      </c>
      <c r="I113">
        <v>102</v>
      </c>
      <c r="J113">
        <v>18</v>
      </c>
      <c r="K113">
        <v>198</v>
      </c>
      <c r="L113">
        <v>102</v>
      </c>
      <c r="M113">
        <v>12</v>
      </c>
      <c r="N113">
        <v>102</v>
      </c>
      <c r="O113">
        <v>102</v>
      </c>
      <c r="P113">
        <v>102</v>
      </c>
      <c r="Q113">
        <v>0</v>
      </c>
      <c r="R113">
        <v>0</v>
      </c>
      <c r="S113">
        <v>0</v>
      </c>
      <c r="T113">
        <v>0</v>
      </c>
      <c r="U113" s="18">
        <f t="shared" si="26"/>
        <v>2400</v>
      </c>
      <c r="W113">
        <f t="shared" si="27"/>
        <v>936</v>
      </c>
    </row>
    <row r="114" spans="2:23" x14ac:dyDescent="0.2">
      <c r="B114" s="101" t="s">
        <v>517</v>
      </c>
      <c r="C114">
        <v>1.25</v>
      </c>
      <c r="D114">
        <v>18</v>
      </c>
      <c r="E114" s="16">
        <v>936</v>
      </c>
      <c r="F114">
        <v>102</v>
      </c>
      <c r="G114">
        <v>42</v>
      </c>
      <c r="H114">
        <v>102</v>
      </c>
      <c r="I114">
        <v>12</v>
      </c>
      <c r="J114">
        <v>102</v>
      </c>
      <c r="K114">
        <v>18</v>
      </c>
      <c r="L114">
        <v>12</v>
      </c>
      <c r="M114">
        <v>102</v>
      </c>
      <c r="N114">
        <v>42</v>
      </c>
      <c r="O114">
        <v>42</v>
      </c>
      <c r="P114">
        <v>12</v>
      </c>
      <c r="Q114">
        <v>12</v>
      </c>
      <c r="R114">
        <v>90</v>
      </c>
      <c r="S114">
        <v>12</v>
      </c>
      <c r="T114">
        <v>0</v>
      </c>
      <c r="U114" s="18">
        <f t="shared" si="26"/>
        <v>1638</v>
      </c>
      <c r="W114">
        <f t="shared" si="27"/>
        <v>702</v>
      </c>
    </row>
    <row r="115" spans="2:23" x14ac:dyDescent="0.2">
      <c r="B115" s="101" t="s">
        <v>324</v>
      </c>
      <c r="C115">
        <v>1.25</v>
      </c>
      <c r="D115">
        <v>3</v>
      </c>
      <c r="E115" s="16">
        <v>516</v>
      </c>
      <c r="F115">
        <v>30</v>
      </c>
      <c r="G115">
        <v>102</v>
      </c>
      <c r="H115">
        <v>78</v>
      </c>
      <c r="I115">
        <v>126</v>
      </c>
      <c r="J115">
        <v>12</v>
      </c>
      <c r="K115">
        <v>42</v>
      </c>
      <c r="L115">
        <v>150</v>
      </c>
      <c r="M115">
        <v>-12</v>
      </c>
      <c r="N115">
        <v>54</v>
      </c>
      <c r="O115">
        <v>30</v>
      </c>
      <c r="P115">
        <v>54</v>
      </c>
      <c r="Q115">
        <v>-6</v>
      </c>
      <c r="R115">
        <v>102</v>
      </c>
      <c r="S115">
        <v>36</v>
      </c>
      <c r="T115">
        <v>66</v>
      </c>
      <c r="U115" s="18">
        <f t="shared" si="26"/>
        <v>1380</v>
      </c>
      <c r="W115">
        <f t="shared" si="27"/>
        <v>864</v>
      </c>
    </row>
    <row r="116" spans="2:23" x14ac:dyDescent="0.2">
      <c r="B116" s="101" t="s">
        <v>346</v>
      </c>
      <c r="C116">
        <v>0.5</v>
      </c>
      <c r="D116">
        <v>19</v>
      </c>
      <c r="E116" s="16">
        <v>210</v>
      </c>
      <c r="F116">
        <v>0</v>
      </c>
      <c r="G116">
        <v>0</v>
      </c>
      <c r="H116">
        <f>36+6</f>
        <v>42</v>
      </c>
      <c r="I116">
        <v>-12</v>
      </c>
      <c r="J116">
        <v>-12</v>
      </c>
      <c r="K116">
        <f>9*2</f>
        <v>18</v>
      </c>
      <c r="L116">
        <f>36-24-24</f>
        <v>-12</v>
      </c>
      <c r="M116">
        <v>0</v>
      </c>
      <c r="N116">
        <v>90</v>
      </c>
      <c r="O116">
        <v>30</v>
      </c>
      <c r="P116">
        <f>36-24-24</f>
        <v>-12</v>
      </c>
      <c r="Q116">
        <v>0</v>
      </c>
      <c r="R116">
        <v>-12</v>
      </c>
      <c r="S116">
        <v>-30</v>
      </c>
      <c r="T116">
        <v>12</v>
      </c>
      <c r="U116" s="18">
        <f t="shared" si="26"/>
        <v>312</v>
      </c>
      <c r="W116">
        <f t="shared" si="27"/>
        <v>102</v>
      </c>
    </row>
    <row r="117" spans="2:23" x14ac:dyDescent="0.2">
      <c r="B117" s="102" t="s">
        <v>201</v>
      </c>
      <c r="C117">
        <v>4</v>
      </c>
      <c r="D117">
        <v>59.7</v>
      </c>
      <c r="E117" s="16">
        <v>1570</v>
      </c>
      <c r="F117">
        <v>70</v>
      </c>
      <c r="G117">
        <v>0</v>
      </c>
      <c r="H117">
        <v>70</v>
      </c>
      <c r="I117">
        <v>46</v>
      </c>
      <c r="J117">
        <v>-2</v>
      </c>
      <c r="K117">
        <v>70</v>
      </c>
      <c r="L117">
        <v>34</v>
      </c>
      <c r="M117">
        <v>114</v>
      </c>
      <c r="N117">
        <v>58</v>
      </c>
      <c r="O117">
        <v>150</v>
      </c>
      <c r="P117">
        <v>70</v>
      </c>
      <c r="Q117">
        <v>46</v>
      </c>
      <c r="R117">
        <v>110</v>
      </c>
      <c r="S117">
        <v>0</v>
      </c>
      <c r="T117">
        <v>0</v>
      </c>
      <c r="U117" s="18">
        <f t="shared" si="26"/>
        <v>2406</v>
      </c>
      <c r="W117">
        <f t="shared" si="27"/>
        <v>836</v>
      </c>
    </row>
    <row r="118" spans="2:23" x14ac:dyDescent="0.2">
      <c r="B118" s="102" t="s">
        <v>272</v>
      </c>
      <c r="C118">
        <v>4</v>
      </c>
      <c r="D118">
        <v>27</v>
      </c>
      <c r="E118" s="16">
        <v>1608</v>
      </c>
      <c r="F118">
        <v>0</v>
      </c>
      <c r="G118">
        <v>0</v>
      </c>
      <c r="H118">
        <v>0</v>
      </c>
      <c r="I118">
        <v>0</v>
      </c>
      <c r="J118">
        <v>160</v>
      </c>
      <c r="K118">
        <v>70</v>
      </c>
      <c r="L118">
        <v>70</v>
      </c>
      <c r="M118">
        <v>16</v>
      </c>
      <c r="N118">
        <v>70</v>
      </c>
      <c r="O118">
        <v>46</v>
      </c>
      <c r="P118">
        <v>110</v>
      </c>
      <c r="Q118">
        <v>270</v>
      </c>
      <c r="R118">
        <v>34</v>
      </c>
      <c r="S118">
        <v>34</v>
      </c>
      <c r="T118">
        <v>46</v>
      </c>
      <c r="U118" s="18">
        <f t="shared" si="26"/>
        <v>2534</v>
      </c>
      <c r="W118">
        <f t="shared" si="27"/>
        <v>926</v>
      </c>
    </row>
    <row r="119" spans="2:23" x14ac:dyDescent="0.2">
      <c r="B119" s="102" t="s">
        <v>273</v>
      </c>
      <c r="C119">
        <v>3</v>
      </c>
      <c r="D119">
        <v>24</v>
      </c>
      <c r="E119" s="16">
        <v>968</v>
      </c>
      <c r="F119">
        <v>74</v>
      </c>
      <c r="G119">
        <v>166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34</v>
      </c>
      <c r="T119">
        <v>0</v>
      </c>
      <c r="U119" s="18">
        <f t="shared" si="26"/>
        <v>1242</v>
      </c>
      <c r="W119">
        <f t="shared" si="27"/>
        <v>274</v>
      </c>
    </row>
    <row r="120" spans="2:23" x14ac:dyDescent="0.2">
      <c r="B120" s="102" t="s">
        <v>122</v>
      </c>
      <c r="C120">
        <v>1.5</v>
      </c>
      <c r="D120">
        <v>39.200000000000003</v>
      </c>
      <c r="E120" s="16">
        <v>1018</v>
      </c>
      <c r="F120">
        <v>70</v>
      </c>
      <c r="G120">
        <v>10</v>
      </c>
      <c r="H120">
        <v>28</v>
      </c>
      <c r="I120">
        <v>-8</v>
      </c>
      <c r="J120">
        <v>0</v>
      </c>
      <c r="K120">
        <v>0</v>
      </c>
      <c r="L120">
        <v>0</v>
      </c>
      <c r="M120">
        <v>56</v>
      </c>
      <c r="N120">
        <v>4</v>
      </c>
      <c r="O120">
        <v>46</v>
      </c>
      <c r="P120">
        <v>102</v>
      </c>
      <c r="Q120">
        <v>22</v>
      </c>
      <c r="R120">
        <v>0</v>
      </c>
      <c r="S120">
        <v>34</v>
      </c>
      <c r="T120">
        <v>16</v>
      </c>
      <c r="U120" s="18">
        <f t="shared" si="26"/>
        <v>1398</v>
      </c>
      <c r="W120">
        <f t="shared" si="27"/>
        <v>380</v>
      </c>
    </row>
    <row r="121" spans="2:23" x14ac:dyDescent="0.2">
      <c r="B121" s="102" t="s">
        <v>579</v>
      </c>
      <c r="C121">
        <v>0.75</v>
      </c>
      <c r="E121" s="16">
        <v>162</v>
      </c>
      <c r="F121">
        <v>16</v>
      </c>
      <c r="G121">
        <v>16</v>
      </c>
      <c r="H121">
        <v>4</v>
      </c>
      <c r="I121">
        <v>16</v>
      </c>
      <c r="J121">
        <v>4</v>
      </c>
      <c r="K121">
        <v>4</v>
      </c>
      <c r="L121">
        <v>34</v>
      </c>
      <c r="M121">
        <v>-8</v>
      </c>
      <c r="N121">
        <v>16</v>
      </c>
      <c r="O121">
        <v>56</v>
      </c>
      <c r="P121">
        <f>23*2</f>
        <v>46</v>
      </c>
      <c r="Q121">
        <v>62</v>
      </c>
      <c r="R121">
        <v>16</v>
      </c>
      <c r="S121">
        <v>70</v>
      </c>
      <c r="T121">
        <v>4</v>
      </c>
      <c r="U121" s="18">
        <f t="shared" si="26"/>
        <v>518</v>
      </c>
      <c r="W121">
        <f t="shared" si="27"/>
        <v>356</v>
      </c>
    </row>
    <row r="122" spans="2:23" x14ac:dyDescent="0.2">
      <c r="B122" s="102" t="s">
        <v>616</v>
      </c>
      <c r="C122">
        <v>0.5</v>
      </c>
      <c r="D122">
        <v>20</v>
      </c>
      <c r="E122" s="16">
        <v>132</v>
      </c>
      <c r="F122">
        <v>46</v>
      </c>
      <c r="G122">
        <v>16</v>
      </c>
      <c r="H122">
        <v>22</v>
      </c>
      <c r="I122">
        <v>70</v>
      </c>
      <c r="J122">
        <v>114</v>
      </c>
      <c r="K122">
        <v>70</v>
      </c>
      <c r="L122">
        <v>28</v>
      </c>
      <c r="M122">
        <v>126</v>
      </c>
      <c r="N122">
        <v>34</v>
      </c>
      <c r="O122">
        <v>86</v>
      </c>
      <c r="P122">
        <v>22</v>
      </c>
      <c r="Q122">
        <v>-8</v>
      </c>
      <c r="R122">
        <v>46</v>
      </c>
      <c r="S122">
        <f>48*2</f>
        <v>96</v>
      </c>
      <c r="T122">
        <v>126</v>
      </c>
      <c r="U122" s="18">
        <f t="shared" si="26"/>
        <v>1026</v>
      </c>
      <c r="W122">
        <f t="shared" si="27"/>
        <v>894</v>
      </c>
    </row>
    <row r="123" spans="2:23" x14ac:dyDescent="0.2">
      <c r="B123" s="103" t="s">
        <v>33</v>
      </c>
      <c r="C123">
        <v>7</v>
      </c>
      <c r="D123">
        <v>27</v>
      </c>
      <c r="E123" s="16">
        <v>2086</v>
      </c>
      <c r="F123">
        <v>22</v>
      </c>
      <c r="G123">
        <v>0</v>
      </c>
      <c r="H123">
        <v>46</v>
      </c>
      <c r="I123">
        <v>46</v>
      </c>
      <c r="J123">
        <v>98</v>
      </c>
      <c r="K123">
        <v>110</v>
      </c>
      <c r="L123">
        <v>46</v>
      </c>
      <c r="M123">
        <v>46</v>
      </c>
      <c r="N123">
        <v>34</v>
      </c>
      <c r="O123">
        <v>78</v>
      </c>
      <c r="P123">
        <v>46</v>
      </c>
      <c r="Q123">
        <v>0</v>
      </c>
      <c r="R123">
        <v>320</v>
      </c>
      <c r="S123">
        <v>0</v>
      </c>
      <c r="T123">
        <v>0</v>
      </c>
      <c r="U123" s="18">
        <f t="shared" si="26"/>
        <v>2978</v>
      </c>
      <c r="W123">
        <f t="shared" si="27"/>
        <v>892</v>
      </c>
    </row>
    <row r="124" spans="2:23" x14ac:dyDescent="0.2">
      <c r="B124" s="103" t="s">
        <v>269</v>
      </c>
      <c r="C124">
        <v>5.5</v>
      </c>
      <c r="D124">
        <v>79.3</v>
      </c>
      <c r="E124" s="16">
        <v>2126</v>
      </c>
      <c r="F124">
        <v>98</v>
      </c>
      <c r="G124">
        <v>78</v>
      </c>
      <c r="H124">
        <v>110</v>
      </c>
      <c r="I124">
        <v>334</v>
      </c>
      <c r="J124">
        <v>98</v>
      </c>
      <c r="K124">
        <v>46</v>
      </c>
      <c r="L124">
        <v>22</v>
      </c>
      <c r="M124">
        <v>-36</v>
      </c>
      <c r="N124">
        <v>46</v>
      </c>
      <c r="O124">
        <v>174</v>
      </c>
      <c r="P124">
        <v>206</v>
      </c>
      <c r="Q124">
        <v>174</v>
      </c>
      <c r="R124">
        <f>156/2</f>
        <v>78</v>
      </c>
      <c r="S124">
        <v>34</v>
      </c>
      <c r="T124">
        <f>522/3</f>
        <v>174</v>
      </c>
      <c r="U124" s="18">
        <f t="shared" si="26"/>
        <v>3762</v>
      </c>
      <c r="W124">
        <f t="shared" si="27"/>
        <v>1636</v>
      </c>
    </row>
    <row r="125" spans="2:23" x14ac:dyDescent="0.2">
      <c r="B125" s="103" t="s">
        <v>136</v>
      </c>
      <c r="C125">
        <v>4.5</v>
      </c>
      <c r="D125">
        <v>78.900000000000006</v>
      </c>
      <c r="E125" s="16">
        <v>1514</v>
      </c>
      <c r="F125">
        <v>66</v>
      </c>
      <c r="G125">
        <v>28</v>
      </c>
      <c r="H125">
        <v>106</v>
      </c>
      <c r="I125">
        <v>28</v>
      </c>
      <c r="J125">
        <v>142</v>
      </c>
      <c r="K125">
        <v>128</v>
      </c>
      <c r="L125">
        <v>34</v>
      </c>
      <c r="M125">
        <v>0</v>
      </c>
      <c r="N125">
        <v>0</v>
      </c>
      <c r="O125">
        <v>0</v>
      </c>
      <c r="P125">
        <v>110</v>
      </c>
      <c r="Q125">
        <v>0</v>
      </c>
      <c r="R125">
        <v>110</v>
      </c>
      <c r="S125">
        <v>78</v>
      </c>
      <c r="T125">
        <v>34</v>
      </c>
      <c r="U125" s="18">
        <f t="shared" si="26"/>
        <v>2378</v>
      </c>
      <c r="W125">
        <f t="shared" si="27"/>
        <v>864</v>
      </c>
    </row>
    <row r="126" spans="2:23" x14ac:dyDescent="0.2">
      <c r="B126" s="103" t="s">
        <v>513</v>
      </c>
      <c r="C126">
        <v>1.5</v>
      </c>
      <c r="D126">
        <v>6</v>
      </c>
      <c r="E126" s="16">
        <v>924</v>
      </c>
      <c r="F126">
        <v>92</v>
      </c>
      <c r="G126">
        <v>28</v>
      </c>
      <c r="H126">
        <v>28</v>
      </c>
      <c r="I126">
        <v>28</v>
      </c>
      <c r="J126">
        <v>28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94</v>
      </c>
      <c r="Q126">
        <v>0</v>
      </c>
      <c r="R126">
        <v>28</v>
      </c>
      <c r="S126">
        <v>174</v>
      </c>
      <c r="T126">
        <v>28</v>
      </c>
      <c r="U126" s="18">
        <f t="shared" si="26"/>
        <v>1452</v>
      </c>
      <c r="W126">
        <f t="shared" si="27"/>
        <v>528</v>
      </c>
    </row>
    <row r="127" spans="2:23" x14ac:dyDescent="0.2">
      <c r="B127" s="103" t="s">
        <v>511</v>
      </c>
      <c r="C127">
        <v>0.5</v>
      </c>
      <c r="D127">
        <v>27.6</v>
      </c>
      <c r="E127" s="16">
        <v>364</v>
      </c>
      <c r="F127">
        <v>46</v>
      </c>
      <c r="G127">
        <v>34</v>
      </c>
      <c r="H127">
        <v>46</v>
      </c>
      <c r="I127">
        <v>28</v>
      </c>
      <c r="J127">
        <v>98</v>
      </c>
      <c r="K127">
        <v>98</v>
      </c>
      <c r="L127">
        <v>34</v>
      </c>
      <c r="M127">
        <v>34</v>
      </c>
      <c r="N127">
        <v>34</v>
      </c>
      <c r="O127">
        <v>34</v>
      </c>
      <c r="P127">
        <v>92</v>
      </c>
      <c r="Q127">
        <v>28</v>
      </c>
      <c r="R127">
        <v>10</v>
      </c>
      <c r="S127">
        <v>0</v>
      </c>
      <c r="T127">
        <v>0</v>
      </c>
      <c r="U127" s="18">
        <f t="shared" si="26"/>
        <v>980</v>
      </c>
      <c r="W127">
        <f t="shared" si="27"/>
        <v>616</v>
      </c>
    </row>
    <row r="128" spans="2:23" x14ac:dyDescent="0.2">
      <c r="B128" s="40"/>
      <c r="C128">
        <f>SUM(C110:C127)</f>
        <v>47</v>
      </c>
    </row>
    <row r="129" spans="2:32" x14ac:dyDescent="0.2">
      <c r="B129" t="s">
        <v>693</v>
      </c>
    </row>
    <row r="130" spans="2:32" x14ac:dyDescent="0.2">
      <c r="B130" s="100" t="s">
        <v>123</v>
      </c>
      <c r="C130">
        <v>3</v>
      </c>
      <c r="D130">
        <v>24</v>
      </c>
      <c r="E130" s="16">
        <v>1152</v>
      </c>
      <c r="F130">
        <v>118</v>
      </c>
      <c r="G130">
        <v>118</v>
      </c>
      <c r="H130">
        <v>36</v>
      </c>
      <c r="I130">
        <v>118</v>
      </c>
      <c r="J130">
        <v>0</v>
      </c>
      <c r="K130">
        <v>54</v>
      </c>
      <c r="L130">
        <v>12</v>
      </c>
      <c r="M130">
        <v>118</v>
      </c>
      <c r="N130">
        <v>18</v>
      </c>
      <c r="O130">
        <v>118</v>
      </c>
      <c r="P130">
        <v>12</v>
      </c>
      <c r="Q130">
        <v>54</v>
      </c>
      <c r="R130">
        <v>12</v>
      </c>
      <c r="S130">
        <v>30</v>
      </c>
      <c r="T130">
        <v>0</v>
      </c>
      <c r="U130" s="18">
        <f t="shared" ref="U130:U147" si="28">E130+SUM(F130:T130)</f>
        <v>1970</v>
      </c>
      <c r="W130">
        <f t="shared" ref="W130:W147" si="29">SUM(F130:T130)</f>
        <v>818</v>
      </c>
    </row>
    <row r="131" spans="2:32" x14ac:dyDescent="0.2">
      <c r="B131" s="100" t="s">
        <v>161</v>
      </c>
      <c r="C131">
        <v>1</v>
      </c>
      <c r="D131">
        <v>37</v>
      </c>
      <c r="E131" s="16">
        <v>868</v>
      </c>
      <c r="F131">
        <v>54</v>
      </c>
      <c r="G131">
        <v>106</v>
      </c>
      <c r="H131">
        <v>118</v>
      </c>
      <c r="I131">
        <v>12</v>
      </c>
      <c r="J131">
        <v>18</v>
      </c>
      <c r="K131">
        <v>42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12</v>
      </c>
      <c r="R131">
        <v>106</v>
      </c>
      <c r="S131">
        <v>12</v>
      </c>
      <c r="T131">
        <v>-12</v>
      </c>
      <c r="U131" s="18">
        <f t="shared" si="28"/>
        <v>1336</v>
      </c>
      <c r="W131">
        <f t="shared" si="29"/>
        <v>468</v>
      </c>
    </row>
    <row r="132" spans="2:32" x14ac:dyDescent="0.2">
      <c r="B132" s="101" t="s">
        <v>204</v>
      </c>
      <c r="C132">
        <v>4.5</v>
      </c>
      <c r="D132">
        <v>45</v>
      </c>
      <c r="E132" s="16">
        <v>1734</v>
      </c>
      <c r="F132">
        <v>102</v>
      </c>
      <c r="G132">
        <v>198</v>
      </c>
      <c r="H132">
        <v>102</v>
      </c>
      <c r="I132">
        <v>102</v>
      </c>
      <c r="J132">
        <v>42</v>
      </c>
      <c r="K132">
        <v>102</v>
      </c>
      <c r="L132">
        <v>30</v>
      </c>
      <c r="M132">
        <v>6</v>
      </c>
      <c r="N132">
        <v>90</v>
      </c>
      <c r="O132">
        <v>150</v>
      </c>
      <c r="P132">
        <v>102</v>
      </c>
      <c r="Q132">
        <v>54</v>
      </c>
      <c r="R132">
        <v>246</v>
      </c>
      <c r="S132">
        <v>30</v>
      </c>
      <c r="T132">
        <v>198</v>
      </c>
      <c r="U132" s="18">
        <f t="shared" si="28"/>
        <v>3288</v>
      </c>
      <c r="W132">
        <f t="shared" si="29"/>
        <v>1554</v>
      </c>
      <c r="Z132" t="s">
        <v>567</v>
      </c>
      <c r="AA132" s="105" t="s">
        <v>574</v>
      </c>
      <c r="AB132" s="105"/>
      <c r="AC132" t="s">
        <v>575</v>
      </c>
      <c r="AD132" t="s">
        <v>576</v>
      </c>
      <c r="AE132" t="s">
        <v>577</v>
      </c>
      <c r="AF132" t="s">
        <v>578</v>
      </c>
    </row>
    <row r="133" spans="2:32" x14ac:dyDescent="0.2">
      <c r="B133" s="101" t="s">
        <v>281</v>
      </c>
      <c r="C133">
        <v>4</v>
      </c>
      <c r="D133">
        <v>58.6</v>
      </c>
      <c r="E133" s="16">
        <v>1464</v>
      </c>
      <c r="F133">
        <v>42</v>
      </c>
      <c r="G133">
        <v>54</v>
      </c>
      <c r="H133">
        <v>102</v>
      </c>
      <c r="I133">
        <v>102</v>
      </c>
      <c r="J133">
        <v>18</v>
      </c>
      <c r="K133">
        <v>198</v>
      </c>
      <c r="L133">
        <v>102</v>
      </c>
      <c r="M133">
        <v>12</v>
      </c>
      <c r="N133">
        <v>102</v>
      </c>
      <c r="O133">
        <v>102</v>
      </c>
      <c r="P133">
        <v>102</v>
      </c>
      <c r="Q133">
        <v>0</v>
      </c>
      <c r="R133">
        <v>0</v>
      </c>
      <c r="S133">
        <v>0</v>
      </c>
      <c r="T133">
        <v>0</v>
      </c>
      <c r="U133" s="18">
        <f t="shared" si="28"/>
        <v>2400</v>
      </c>
      <c r="W133">
        <f t="shared" si="29"/>
        <v>936</v>
      </c>
      <c r="AA133" t="s">
        <v>572</v>
      </c>
      <c r="AB133" t="s">
        <v>573</v>
      </c>
    </row>
    <row r="134" spans="2:32" x14ac:dyDescent="0.2">
      <c r="B134" s="101" t="s">
        <v>21</v>
      </c>
      <c r="C134">
        <v>3.5</v>
      </c>
      <c r="D134">
        <v>29</v>
      </c>
      <c r="E134" s="16">
        <v>1230</v>
      </c>
      <c r="F134">
        <v>102</v>
      </c>
      <c r="G134">
        <v>198</v>
      </c>
      <c r="H134">
        <v>102</v>
      </c>
      <c r="I134">
        <v>102</v>
      </c>
      <c r="J134">
        <v>18</v>
      </c>
      <c r="K134">
        <v>102</v>
      </c>
      <c r="L134">
        <v>30</v>
      </c>
      <c r="M134">
        <v>126</v>
      </c>
      <c r="N134">
        <v>66</v>
      </c>
      <c r="O134">
        <v>198</v>
      </c>
      <c r="P134">
        <v>198</v>
      </c>
      <c r="Q134">
        <v>54</v>
      </c>
      <c r="R134">
        <v>102</v>
      </c>
      <c r="S134">
        <v>30</v>
      </c>
      <c r="T134">
        <v>198</v>
      </c>
      <c r="U134" s="18">
        <f t="shared" si="28"/>
        <v>2856</v>
      </c>
      <c r="W134">
        <f t="shared" si="29"/>
        <v>1626</v>
      </c>
      <c r="Y134" t="s">
        <v>568</v>
      </c>
      <c r="Z134">
        <v>36</v>
      </c>
      <c r="AA134">
        <v>18</v>
      </c>
      <c r="AB134">
        <v>6</v>
      </c>
      <c r="AC134">
        <v>128</v>
      </c>
      <c r="AD134">
        <v>64</v>
      </c>
      <c r="AE134">
        <v>64</v>
      </c>
      <c r="AF134">
        <v>-24</v>
      </c>
    </row>
    <row r="135" spans="2:32" x14ac:dyDescent="0.2">
      <c r="B135" s="101" t="s">
        <v>324</v>
      </c>
      <c r="C135">
        <v>1.25</v>
      </c>
      <c r="D135">
        <v>3</v>
      </c>
      <c r="E135" s="16">
        <v>516</v>
      </c>
      <c r="F135">
        <v>30</v>
      </c>
      <c r="G135">
        <v>102</v>
      </c>
      <c r="H135">
        <v>78</v>
      </c>
      <c r="I135">
        <v>126</v>
      </c>
      <c r="J135">
        <v>12</v>
      </c>
      <c r="K135">
        <v>42</v>
      </c>
      <c r="L135">
        <v>150</v>
      </c>
      <c r="M135">
        <v>-12</v>
      </c>
      <c r="N135">
        <v>54</v>
      </c>
      <c r="O135">
        <v>30</v>
      </c>
      <c r="P135">
        <v>54</v>
      </c>
      <c r="Q135">
        <v>-6</v>
      </c>
      <c r="R135">
        <v>102</v>
      </c>
      <c r="S135">
        <v>36</v>
      </c>
      <c r="T135">
        <v>66</v>
      </c>
      <c r="U135" s="18">
        <f t="shared" si="28"/>
        <v>1380</v>
      </c>
      <c r="W135">
        <f t="shared" si="29"/>
        <v>864</v>
      </c>
      <c r="Y135" t="s">
        <v>569</v>
      </c>
      <c r="Z135">
        <v>36</v>
      </c>
      <c r="AA135">
        <v>18</v>
      </c>
      <c r="AB135">
        <v>6</v>
      </c>
      <c r="AC135">
        <v>96</v>
      </c>
      <c r="AD135">
        <v>48</v>
      </c>
      <c r="AE135">
        <v>48</v>
      </c>
      <c r="AF135">
        <v>-24</v>
      </c>
    </row>
    <row r="136" spans="2:32" x14ac:dyDescent="0.2">
      <c r="B136" s="101" t="s">
        <v>586</v>
      </c>
      <c r="C136">
        <v>0.75</v>
      </c>
      <c r="D136">
        <v>16</v>
      </c>
      <c r="E136" s="16">
        <v>600</v>
      </c>
      <c r="F136">
        <f>27*2</f>
        <v>54</v>
      </c>
      <c r="G136">
        <f>33*2</f>
        <v>66</v>
      </c>
      <c r="H136">
        <v>78</v>
      </c>
      <c r="I136">
        <v>0</v>
      </c>
      <c r="J136">
        <v>18</v>
      </c>
      <c r="K136">
        <v>18</v>
      </c>
      <c r="L136">
        <v>42</v>
      </c>
      <c r="M136">
        <v>18</v>
      </c>
      <c r="N136">
        <v>90</v>
      </c>
      <c r="O136">
        <v>42</v>
      </c>
      <c r="P136">
        <v>12</v>
      </c>
      <c r="Q136">
        <v>12</v>
      </c>
      <c r="R136">
        <v>0</v>
      </c>
      <c r="S136">
        <v>12</v>
      </c>
      <c r="T136">
        <v>-12</v>
      </c>
      <c r="U136" s="18">
        <f t="shared" si="28"/>
        <v>1050</v>
      </c>
      <c r="W136">
        <f t="shared" si="29"/>
        <v>450</v>
      </c>
      <c r="Y136" t="s">
        <v>570</v>
      </c>
      <c r="Z136">
        <v>28</v>
      </c>
      <c r="AA136">
        <v>18</v>
      </c>
      <c r="AB136">
        <v>6</v>
      </c>
      <c r="AC136">
        <v>80</v>
      </c>
      <c r="AD136">
        <v>40</v>
      </c>
      <c r="AE136">
        <v>24</v>
      </c>
      <c r="AF136">
        <v>-12</v>
      </c>
    </row>
    <row r="137" spans="2:32" x14ac:dyDescent="0.2">
      <c r="B137" s="102" t="s">
        <v>201</v>
      </c>
      <c r="C137">
        <v>4</v>
      </c>
      <c r="D137">
        <v>59.7</v>
      </c>
      <c r="E137" s="16">
        <v>1570</v>
      </c>
      <c r="F137">
        <v>70</v>
      </c>
      <c r="G137">
        <v>0</v>
      </c>
      <c r="H137">
        <v>70</v>
      </c>
      <c r="I137">
        <v>46</v>
      </c>
      <c r="J137">
        <v>-2</v>
      </c>
      <c r="K137">
        <v>70</v>
      </c>
      <c r="L137">
        <v>34</v>
      </c>
      <c r="M137">
        <v>114</v>
      </c>
      <c r="N137">
        <v>58</v>
      </c>
      <c r="O137">
        <v>150</v>
      </c>
      <c r="P137">
        <v>70</v>
      </c>
      <c r="Q137">
        <v>46</v>
      </c>
      <c r="R137">
        <v>110</v>
      </c>
      <c r="S137">
        <v>0</v>
      </c>
      <c r="T137">
        <v>0</v>
      </c>
      <c r="U137" s="18">
        <f t="shared" si="28"/>
        <v>2406</v>
      </c>
      <c r="W137">
        <f t="shared" si="29"/>
        <v>836</v>
      </c>
      <c r="Y137" t="s">
        <v>571</v>
      </c>
      <c r="Z137">
        <v>28</v>
      </c>
      <c r="AA137">
        <v>18</v>
      </c>
      <c r="AB137">
        <v>6</v>
      </c>
      <c r="AC137">
        <v>64</v>
      </c>
      <c r="AD137">
        <v>32</v>
      </c>
      <c r="AE137">
        <v>0</v>
      </c>
      <c r="AF137">
        <v>0</v>
      </c>
    </row>
    <row r="138" spans="2:32" x14ac:dyDescent="0.2">
      <c r="B138" s="102" t="s">
        <v>272</v>
      </c>
      <c r="C138">
        <v>4</v>
      </c>
      <c r="D138">
        <v>27</v>
      </c>
      <c r="E138" s="16">
        <v>1608</v>
      </c>
      <c r="F138">
        <v>0</v>
      </c>
      <c r="G138">
        <v>0</v>
      </c>
      <c r="H138">
        <v>0</v>
      </c>
      <c r="I138">
        <v>0</v>
      </c>
      <c r="J138">
        <v>160</v>
      </c>
      <c r="K138">
        <v>70</v>
      </c>
      <c r="L138">
        <v>70</v>
      </c>
      <c r="M138">
        <v>16</v>
      </c>
      <c r="N138">
        <v>70</v>
      </c>
      <c r="O138">
        <v>46</v>
      </c>
      <c r="P138">
        <v>110</v>
      </c>
      <c r="Q138">
        <v>270</v>
      </c>
      <c r="R138">
        <v>34</v>
      </c>
      <c r="S138">
        <v>34</v>
      </c>
      <c r="T138">
        <v>46</v>
      </c>
      <c r="U138" s="18">
        <f t="shared" si="28"/>
        <v>2534</v>
      </c>
      <c r="W138">
        <f t="shared" si="29"/>
        <v>926</v>
      </c>
      <c r="AA138" s="105"/>
      <c r="AB138" s="105"/>
    </row>
    <row r="139" spans="2:32" x14ac:dyDescent="0.2">
      <c r="B139" s="102" t="s">
        <v>273</v>
      </c>
      <c r="C139">
        <v>3</v>
      </c>
      <c r="D139">
        <v>24</v>
      </c>
      <c r="E139" s="16">
        <v>968</v>
      </c>
      <c r="F139">
        <v>74</v>
      </c>
      <c r="G139">
        <v>166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34</v>
      </c>
      <c r="T139">
        <v>0</v>
      </c>
      <c r="U139" s="18">
        <f t="shared" si="28"/>
        <v>1242</v>
      </c>
      <c r="W139">
        <f t="shared" si="29"/>
        <v>274</v>
      </c>
    </row>
    <row r="140" spans="2:32" x14ac:dyDescent="0.2">
      <c r="B140" s="102" t="s">
        <v>122</v>
      </c>
      <c r="C140">
        <v>1.5</v>
      </c>
      <c r="D140">
        <v>39.200000000000003</v>
      </c>
      <c r="E140" s="16">
        <v>1018</v>
      </c>
      <c r="F140">
        <v>70</v>
      </c>
      <c r="G140">
        <v>10</v>
      </c>
      <c r="H140">
        <v>28</v>
      </c>
      <c r="I140">
        <v>-8</v>
      </c>
      <c r="J140">
        <v>0</v>
      </c>
      <c r="K140">
        <v>0</v>
      </c>
      <c r="L140">
        <v>0</v>
      </c>
      <c r="M140">
        <v>56</v>
      </c>
      <c r="N140">
        <v>4</v>
      </c>
      <c r="O140">
        <v>46</v>
      </c>
      <c r="P140">
        <v>102</v>
      </c>
      <c r="Q140">
        <v>22</v>
      </c>
      <c r="R140">
        <v>0</v>
      </c>
      <c r="S140">
        <v>34</v>
      </c>
      <c r="T140">
        <v>16</v>
      </c>
      <c r="U140" s="18">
        <f t="shared" si="28"/>
        <v>1398</v>
      </c>
      <c r="W140">
        <f t="shared" si="29"/>
        <v>380</v>
      </c>
    </row>
    <row r="141" spans="2:32" x14ac:dyDescent="0.2">
      <c r="B141" s="102" t="s">
        <v>613</v>
      </c>
      <c r="C141">
        <v>1.5</v>
      </c>
      <c r="D141">
        <v>19</v>
      </c>
      <c r="E141" s="16">
        <v>160</v>
      </c>
      <c r="F141">
        <v>126</v>
      </c>
      <c r="G141">
        <v>16</v>
      </c>
      <c r="H141">
        <v>22</v>
      </c>
      <c r="I141">
        <v>70</v>
      </c>
      <c r="J141">
        <v>0</v>
      </c>
      <c r="K141">
        <v>70</v>
      </c>
      <c r="L141">
        <v>0</v>
      </c>
      <c r="M141">
        <v>0</v>
      </c>
      <c r="N141">
        <v>34</v>
      </c>
      <c r="O141">
        <v>70</v>
      </c>
      <c r="P141">
        <v>22</v>
      </c>
      <c r="Q141">
        <v>16</v>
      </c>
      <c r="R141">
        <v>230</v>
      </c>
      <c r="S141">
        <v>16</v>
      </c>
      <c r="T141">
        <v>206</v>
      </c>
      <c r="U141" s="18">
        <f t="shared" si="28"/>
        <v>1058</v>
      </c>
      <c r="W141">
        <f t="shared" si="29"/>
        <v>898</v>
      </c>
    </row>
    <row r="142" spans="2:32" x14ac:dyDescent="0.2">
      <c r="B142" s="102" t="s">
        <v>616</v>
      </c>
      <c r="C142">
        <v>0.5</v>
      </c>
      <c r="D142">
        <v>20</v>
      </c>
      <c r="E142" s="16">
        <v>132</v>
      </c>
      <c r="F142">
        <v>46</v>
      </c>
      <c r="G142">
        <v>16</v>
      </c>
      <c r="H142">
        <v>22</v>
      </c>
      <c r="I142">
        <v>70</v>
      </c>
      <c r="J142">
        <v>114</v>
      </c>
      <c r="K142">
        <v>70</v>
      </c>
      <c r="L142">
        <v>28</v>
      </c>
      <c r="M142">
        <v>126</v>
      </c>
      <c r="N142">
        <v>34</v>
      </c>
      <c r="O142">
        <v>86</v>
      </c>
      <c r="P142">
        <v>22</v>
      </c>
      <c r="Q142">
        <v>-8</v>
      </c>
      <c r="R142">
        <v>46</v>
      </c>
      <c r="S142">
        <f>48*2</f>
        <v>96</v>
      </c>
      <c r="T142">
        <v>126</v>
      </c>
      <c r="U142" s="18">
        <f>E142+SUM(F142:T142)</f>
        <v>1026</v>
      </c>
      <c r="W142">
        <f t="shared" si="29"/>
        <v>894</v>
      </c>
    </row>
    <row r="143" spans="2:32" x14ac:dyDescent="0.2">
      <c r="B143" s="103" t="s">
        <v>269</v>
      </c>
      <c r="C143">
        <v>5.5</v>
      </c>
      <c r="D143">
        <v>79.3</v>
      </c>
      <c r="E143" s="16">
        <v>2126</v>
      </c>
      <c r="F143">
        <f>196/2</f>
        <v>98</v>
      </c>
      <c r="G143">
        <f>156/2</f>
        <v>78</v>
      </c>
      <c r="H143">
        <v>110</v>
      </c>
      <c r="I143">
        <v>334</v>
      </c>
      <c r="J143">
        <v>98</v>
      </c>
      <c r="K143">
        <v>46</v>
      </c>
      <c r="L143">
        <v>22</v>
      </c>
      <c r="M143">
        <v>-36</v>
      </c>
      <c r="N143">
        <v>46</v>
      </c>
      <c r="O143">
        <v>74</v>
      </c>
      <c r="P143">
        <v>206</v>
      </c>
      <c r="Q143">
        <v>174</v>
      </c>
      <c r="R143">
        <f>156/2</f>
        <v>78</v>
      </c>
      <c r="S143">
        <v>34</v>
      </c>
      <c r="T143">
        <f>522/3</f>
        <v>174</v>
      </c>
      <c r="U143" s="18">
        <f>E143+SUM(F143:T143)</f>
        <v>3662</v>
      </c>
      <c r="W143">
        <f t="shared" si="29"/>
        <v>1536</v>
      </c>
    </row>
    <row r="144" spans="2:32" x14ac:dyDescent="0.2">
      <c r="B144" s="103" t="s">
        <v>136</v>
      </c>
      <c r="C144">
        <v>4.5</v>
      </c>
      <c r="D144">
        <v>78.900000000000006</v>
      </c>
      <c r="E144" s="16">
        <v>1514</v>
      </c>
      <c r="F144">
        <v>66</v>
      </c>
      <c r="G144">
        <v>28</v>
      </c>
      <c r="H144">
        <v>106</v>
      </c>
      <c r="I144">
        <v>28</v>
      </c>
      <c r="J144">
        <v>142</v>
      </c>
      <c r="K144">
        <v>128</v>
      </c>
      <c r="L144">
        <v>34</v>
      </c>
      <c r="M144">
        <v>0</v>
      </c>
      <c r="N144">
        <v>0</v>
      </c>
      <c r="O144">
        <v>0</v>
      </c>
      <c r="P144">
        <v>110</v>
      </c>
      <c r="Q144">
        <v>0</v>
      </c>
      <c r="R144">
        <v>110</v>
      </c>
      <c r="S144">
        <v>78</v>
      </c>
      <c r="T144">
        <v>34</v>
      </c>
      <c r="U144" s="18">
        <f>E144+SUM(F144:T144)</f>
        <v>2378</v>
      </c>
      <c r="W144">
        <f t="shared" si="29"/>
        <v>864</v>
      </c>
    </row>
    <row r="145" spans="2:23" x14ac:dyDescent="0.2">
      <c r="B145" s="103" t="s">
        <v>580</v>
      </c>
      <c r="C145">
        <v>2.5</v>
      </c>
      <c r="D145">
        <v>6</v>
      </c>
      <c r="E145" s="16">
        <v>134</v>
      </c>
      <c r="F145">
        <v>78</v>
      </c>
      <c r="G145">
        <v>142</v>
      </c>
      <c r="H145">
        <v>46</v>
      </c>
      <c r="I145">
        <v>46</v>
      </c>
      <c r="J145">
        <v>28</v>
      </c>
      <c r="K145">
        <v>98</v>
      </c>
      <c r="L145">
        <v>110</v>
      </c>
      <c r="M145">
        <v>92</v>
      </c>
      <c r="N145">
        <v>110</v>
      </c>
      <c r="O145">
        <v>174</v>
      </c>
      <c r="P145">
        <v>110</v>
      </c>
      <c r="Q145">
        <v>98</v>
      </c>
      <c r="R145">
        <v>46</v>
      </c>
      <c r="S145">
        <v>28</v>
      </c>
      <c r="T145">
        <f>49*2</f>
        <v>98</v>
      </c>
      <c r="U145" s="18">
        <f>E145+SUM(F145:T145)</f>
        <v>1438</v>
      </c>
      <c r="W145">
        <f>SUM(F145:T145)</f>
        <v>1304</v>
      </c>
    </row>
    <row r="146" spans="2:23" x14ac:dyDescent="0.2">
      <c r="B146" s="103" t="s">
        <v>513</v>
      </c>
      <c r="C146">
        <v>1.5</v>
      </c>
      <c r="D146">
        <v>6</v>
      </c>
      <c r="E146" s="16">
        <v>924</v>
      </c>
      <c r="F146">
        <v>92</v>
      </c>
      <c r="G146">
        <v>28</v>
      </c>
      <c r="H146">
        <v>28</v>
      </c>
      <c r="I146">
        <v>28</v>
      </c>
      <c r="J146">
        <v>28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94</v>
      </c>
      <c r="Q146">
        <v>0</v>
      </c>
      <c r="R146">
        <v>28</v>
      </c>
      <c r="S146">
        <v>174</v>
      </c>
      <c r="T146">
        <v>28</v>
      </c>
      <c r="U146" s="18">
        <f t="shared" si="28"/>
        <v>1452</v>
      </c>
      <c r="W146">
        <f t="shared" si="29"/>
        <v>528</v>
      </c>
    </row>
    <row r="147" spans="2:23" x14ac:dyDescent="0.2">
      <c r="B147" s="103" t="s">
        <v>511</v>
      </c>
      <c r="C147">
        <v>0.5</v>
      </c>
      <c r="D147">
        <v>27.6</v>
      </c>
      <c r="E147" s="16">
        <v>364</v>
      </c>
      <c r="F147">
        <v>46</v>
      </c>
      <c r="G147">
        <v>34</v>
      </c>
      <c r="H147">
        <v>46</v>
      </c>
      <c r="I147">
        <v>28</v>
      </c>
      <c r="J147">
        <v>98</v>
      </c>
      <c r="K147">
        <v>98</v>
      </c>
      <c r="L147">
        <v>34</v>
      </c>
      <c r="M147">
        <v>34</v>
      </c>
      <c r="N147">
        <v>34</v>
      </c>
      <c r="O147">
        <v>34</v>
      </c>
      <c r="P147">
        <v>92</v>
      </c>
      <c r="Q147">
        <v>28</v>
      </c>
      <c r="R147">
        <v>10</v>
      </c>
      <c r="S147">
        <v>0</v>
      </c>
      <c r="T147">
        <v>0</v>
      </c>
      <c r="U147" s="18">
        <f t="shared" si="28"/>
        <v>980</v>
      </c>
      <c r="W147">
        <f t="shared" si="29"/>
        <v>616</v>
      </c>
    </row>
    <row r="148" spans="2:23" x14ac:dyDescent="0.2">
      <c r="C148">
        <f>SUM(C130:C147)</f>
        <v>47</v>
      </c>
    </row>
    <row r="165" spans="27:28" x14ac:dyDescent="0.2">
      <c r="AA165" s="105"/>
      <c r="AB165" s="105"/>
    </row>
  </sheetData>
  <mergeCells count="7">
    <mergeCell ref="AA165:AB165"/>
    <mergeCell ref="AA1:AB1"/>
    <mergeCell ref="AA40:AB40"/>
    <mergeCell ref="AA77:AB77"/>
    <mergeCell ref="AA132:AB132"/>
    <mergeCell ref="AA138:AB138"/>
    <mergeCell ref="AA103:AB103"/>
  </mergeCells>
  <pageMargins left="0.7" right="0.7" top="0.75" bottom="0.75" header="0.3" footer="0.3"/>
  <ignoredErrors>
    <ignoredError sqref="W74:W84 W56:W72 W43:W53 W3:W41 W54:W55" formulaRange="1"/>
    <ignoredError sqref="F27 H44:I4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0632-7882-A04C-9EAC-373F9820BD41}">
  <dimension ref="A1:AD20"/>
  <sheetViews>
    <sheetView zoomScale="99" workbookViewId="0">
      <selection activeCell="X5" sqref="X5"/>
    </sheetView>
  </sheetViews>
  <sheetFormatPr baseColWidth="10" defaultRowHeight="16" x14ac:dyDescent="0.2"/>
  <cols>
    <col min="4" max="4" width="6.5" customWidth="1"/>
    <col min="5" max="5" width="14.83203125" bestFit="1" customWidth="1"/>
    <col min="6" max="6" width="5.83203125" customWidth="1"/>
    <col min="7" max="7" width="13.33203125" bestFit="1" customWidth="1"/>
    <col min="8" max="8" width="7.33203125" customWidth="1"/>
    <col min="11" max="11" width="15.5" bestFit="1" customWidth="1"/>
    <col min="21" max="21" width="13.83203125" bestFit="1" customWidth="1"/>
    <col min="23" max="23" width="12" bestFit="1" customWidth="1"/>
    <col min="25" max="25" width="5.83203125" customWidth="1"/>
    <col min="26" max="26" width="13.5" bestFit="1" customWidth="1"/>
    <col min="27" max="27" width="4.5" customWidth="1"/>
    <col min="28" max="28" width="12.5" bestFit="1" customWidth="1"/>
    <col min="29" max="29" width="6.1640625" customWidth="1"/>
    <col min="30" max="30" width="11.33203125" bestFit="1" customWidth="1"/>
  </cols>
  <sheetData>
    <row r="1" spans="1:30" x14ac:dyDescent="0.2">
      <c r="C1" t="s">
        <v>105</v>
      </c>
      <c r="E1" t="s">
        <v>107</v>
      </c>
      <c r="G1" t="s">
        <v>470</v>
      </c>
      <c r="I1" t="s">
        <v>472</v>
      </c>
      <c r="K1" t="s">
        <v>109</v>
      </c>
      <c r="M1" t="s">
        <v>108</v>
      </c>
      <c r="O1" t="s">
        <v>471</v>
      </c>
      <c r="Q1" t="s">
        <v>110</v>
      </c>
      <c r="S1" t="s">
        <v>473</v>
      </c>
      <c r="U1" t="s">
        <v>106</v>
      </c>
      <c r="W1" s="1" t="s">
        <v>475</v>
      </c>
      <c r="X1" t="s">
        <v>476</v>
      </c>
      <c r="Z1" t="s">
        <v>477</v>
      </c>
      <c r="AB1" t="s">
        <v>478</v>
      </c>
      <c r="AD1" t="s">
        <v>695</v>
      </c>
    </row>
    <row r="2" spans="1:30" x14ac:dyDescent="0.2">
      <c r="A2" s="2" t="s">
        <v>17</v>
      </c>
      <c r="B2" s="3"/>
      <c r="C2" s="84" t="s">
        <v>283</v>
      </c>
      <c r="D2" s="5"/>
      <c r="E2" s="4" t="s">
        <v>328</v>
      </c>
      <c r="F2" s="5"/>
      <c r="G2" s="4" t="s">
        <v>123</v>
      </c>
      <c r="H2" s="5"/>
      <c r="I2" s="4" t="s">
        <v>123</v>
      </c>
      <c r="J2" s="5"/>
      <c r="K2" s="84" t="s">
        <v>283</v>
      </c>
      <c r="M2" s="4" t="s">
        <v>308</v>
      </c>
      <c r="O2" s="84" t="s">
        <v>283</v>
      </c>
      <c r="Q2" s="4" t="s">
        <v>18</v>
      </c>
      <c r="S2" s="84" t="s">
        <v>161</v>
      </c>
      <c r="U2" s="84" t="s">
        <v>283</v>
      </c>
      <c r="X2" s="4" t="s">
        <v>328</v>
      </c>
      <c r="Z2" s="4" t="s">
        <v>328</v>
      </c>
      <c r="AB2" s="4" t="s">
        <v>223</v>
      </c>
      <c r="AD2" s="4" t="s">
        <v>328</v>
      </c>
    </row>
    <row r="3" spans="1:30" x14ac:dyDescent="0.2">
      <c r="A3" s="2"/>
      <c r="B3" s="3"/>
      <c r="C3" s="84" t="s">
        <v>161</v>
      </c>
      <c r="D3" s="5"/>
      <c r="E3" s="84" t="s">
        <v>161</v>
      </c>
      <c r="F3" s="5"/>
      <c r="G3" s="4" t="s">
        <v>329</v>
      </c>
      <c r="H3" s="5"/>
      <c r="I3" s="4" t="s">
        <v>328</v>
      </c>
      <c r="J3" s="5"/>
      <c r="K3" s="84" t="s">
        <v>161</v>
      </c>
      <c r="M3" s="4" t="s">
        <v>268</v>
      </c>
      <c r="O3" s="4" t="s">
        <v>183</v>
      </c>
      <c r="Q3" s="84" t="s">
        <v>161</v>
      </c>
      <c r="S3" s="4" t="s">
        <v>345</v>
      </c>
      <c r="U3" s="84" t="s">
        <v>161</v>
      </c>
      <c r="X3" s="84" t="s">
        <v>161</v>
      </c>
      <c r="Z3" s="84" t="s">
        <v>161</v>
      </c>
      <c r="AB3" s="84" t="s">
        <v>161</v>
      </c>
      <c r="AD3" s="84" t="s">
        <v>161</v>
      </c>
    </row>
    <row r="4" spans="1:30" x14ac:dyDescent="0.2">
      <c r="A4" s="6" t="s">
        <v>19</v>
      </c>
      <c r="B4" s="7"/>
      <c r="C4" s="83" t="s">
        <v>204</v>
      </c>
      <c r="D4" s="5"/>
      <c r="E4" s="83" t="s">
        <v>204</v>
      </c>
      <c r="F4" s="5"/>
      <c r="G4" s="83" t="s">
        <v>281</v>
      </c>
      <c r="H4" s="5"/>
      <c r="I4" s="8" t="s">
        <v>151</v>
      </c>
      <c r="J4" s="5"/>
      <c r="K4" s="8" t="s">
        <v>279</v>
      </c>
      <c r="M4" s="83" t="s">
        <v>281</v>
      </c>
      <c r="O4" s="83" t="s">
        <v>281</v>
      </c>
      <c r="Q4" s="83" t="s">
        <v>281</v>
      </c>
      <c r="S4" s="83" t="s">
        <v>204</v>
      </c>
      <c r="U4" s="83" t="s">
        <v>204</v>
      </c>
      <c r="X4" s="8" t="s">
        <v>21</v>
      </c>
      <c r="Z4" s="83" t="s">
        <v>204</v>
      </c>
      <c r="AB4" s="8" t="s">
        <v>21</v>
      </c>
      <c r="AD4" s="8" t="s">
        <v>21</v>
      </c>
    </row>
    <row r="5" spans="1:30" x14ac:dyDescent="0.2">
      <c r="A5" s="6"/>
      <c r="B5" s="7"/>
      <c r="C5" s="83" t="s">
        <v>281</v>
      </c>
      <c r="D5" s="5"/>
      <c r="E5" s="83" t="s">
        <v>281</v>
      </c>
      <c r="F5" s="5"/>
      <c r="G5" s="8" t="s">
        <v>382</v>
      </c>
      <c r="H5" s="5"/>
      <c r="I5" s="8" t="s">
        <v>382</v>
      </c>
      <c r="J5" s="5"/>
      <c r="K5" s="83" t="s">
        <v>204</v>
      </c>
      <c r="M5" s="8" t="s">
        <v>209</v>
      </c>
      <c r="O5" s="8" t="s">
        <v>21</v>
      </c>
      <c r="Q5" s="8" t="s">
        <v>280</v>
      </c>
      <c r="S5" s="83" t="s">
        <v>281</v>
      </c>
      <c r="U5" s="83" t="s">
        <v>281</v>
      </c>
      <c r="X5" s="83" t="s">
        <v>204</v>
      </c>
      <c r="Z5" s="8" t="s">
        <v>21</v>
      </c>
      <c r="AB5" s="83" t="s">
        <v>209</v>
      </c>
      <c r="AD5" s="83" t="s">
        <v>204</v>
      </c>
    </row>
    <row r="6" spans="1:30" x14ac:dyDescent="0.2">
      <c r="A6" s="6"/>
      <c r="B6" s="7"/>
      <c r="C6" s="83" t="s">
        <v>220</v>
      </c>
      <c r="D6" s="5"/>
      <c r="E6" s="8" t="s">
        <v>151</v>
      </c>
      <c r="F6" s="5"/>
      <c r="G6" s="8" t="s">
        <v>252</v>
      </c>
      <c r="H6" s="5"/>
      <c r="I6" s="8" t="s">
        <v>209</v>
      </c>
      <c r="J6" s="5"/>
      <c r="K6" s="8" t="s">
        <v>517</v>
      </c>
      <c r="M6" s="8" t="s">
        <v>382</v>
      </c>
      <c r="O6" s="8" t="s">
        <v>209</v>
      </c>
      <c r="Q6" s="8" t="s">
        <v>360</v>
      </c>
      <c r="S6" s="8" t="s">
        <v>221</v>
      </c>
      <c r="U6" s="8" t="s">
        <v>690</v>
      </c>
      <c r="X6" s="83" t="s">
        <v>281</v>
      </c>
      <c r="Z6" s="8" t="s">
        <v>382</v>
      </c>
      <c r="AB6" s="83" t="s">
        <v>281</v>
      </c>
      <c r="AD6" s="83" t="s">
        <v>324</v>
      </c>
    </row>
    <row r="7" spans="1:30" x14ac:dyDescent="0.2">
      <c r="A7" s="6"/>
      <c r="B7" s="7"/>
      <c r="C7" s="83" t="s">
        <v>324</v>
      </c>
      <c r="D7" s="5"/>
      <c r="E7" s="8" t="s">
        <v>382</v>
      </c>
      <c r="F7" s="5"/>
      <c r="G7" s="8" t="s">
        <v>150</v>
      </c>
      <c r="H7" s="5"/>
      <c r="I7" s="8" t="s">
        <v>361</v>
      </c>
      <c r="J7" s="5"/>
      <c r="K7" s="8" t="s">
        <v>252</v>
      </c>
      <c r="M7" s="8" t="s">
        <v>150</v>
      </c>
      <c r="O7" s="8" t="s">
        <v>361</v>
      </c>
      <c r="Q7" s="8" t="s">
        <v>505</v>
      </c>
      <c r="S7" s="8" t="s">
        <v>505</v>
      </c>
      <c r="U7" s="8" t="s">
        <v>517</v>
      </c>
      <c r="X7" s="83" t="s">
        <v>586</v>
      </c>
      <c r="Z7" s="8" t="s">
        <v>624</v>
      </c>
      <c r="AB7" s="8" t="s">
        <v>517</v>
      </c>
      <c r="AD7" s="83" t="s">
        <v>281</v>
      </c>
    </row>
    <row r="8" spans="1:30" x14ac:dyDescent="0.2">
      <c r="A8" s="6"/>
      <c r="B8" s="7"/>
      <c r="C8" s="83" t="s">
        <v>586</v>
      </c>
      <c r="D8" s="5"/>
      <c r="E8" s="83" t="s">
        <v>586</v>
      </c>
      <c r="F8" s="5"/>
      <c r="G8" s="8" t="s">
        <v>370</v>
      </c>
      <c r="H8" s="5"/>
      <c r="I8" s="8" t="s">
        <v>346</v>
      </c>
      <c r="J8" s="5"/>
      <c r="K8" s="8" t="s">
        <v>346</v>
      </c>
      <c r="M8" s="83" t="s">
        <v>586</v>
      </c>
      <c r="O8" s="8" t="s">
        <v>505</v>
      </c>
      <c r="Q8" s="8" t="s">
        <v>346</v>
      </c>
      <c r="S8" s="8" t="s">
        <v>346</v>
      </c>
      <c r="U8" s="83" t="s">
        <v>586</v>
      </c>
      <c r="X8" s="8"/>
      <c r="Z8" s="8" t="s">
        <v>517</v>
      </c>
      <c r="AB8" s="8" t="s">
        <v>346</v>
      </c>
      <c r="AD8" s="83" t="s">
        <v>586</v>
      </c>
    </row>
    <row r="9" spans="1:30" x14ac:dyDescent="0.2">
      <c r="A9" s="9" t="s">
        <v>23</v>
      </c>
      <c r="B9" s="10"/>
      <c r="C9" s="82" t="s">
        <v>24</v>
      </c>
      <c r="D9" s="5"/>
      <c r="E9" s="82" t="s">
        <v>201</v>
      </c>
      <c r="F9" s="5"/>
      <c r="G9" s="82" t="s">
        <v>272</v>
      </c>
      <c r="H9" s="5"/>
      <c r="I9" s="82" t="s">
        <v>201</v>
      </c>
      <c r="J9" s="5"/>
      <c r="K9" s="82" t="s">
        <v>201</v>
      </c>
      <c r="M9" s="82" t="s">
        <v>201</v>
      </c>
      <c r="O9" s="82" t="s">
        <v>24</v>
      </c>
      <c r="Q9" s="82" t="s">
        <v>201</v>
      </c>
      <c r="S9" s="82" t="s">
        <v>24</v>
      </c>
      <c r="U9" s="9" t="s">
        <v>121</v>
      </c>
      <c r="X9" s="82" t="s">
        <v>272</v>
      </c>
      <c r="Z9" s="9" t="s">
        <v>529</v>
      </c>
      <c r="AB9" s="82" t="s">
        <v>272</v>
      </c>
      <c r="AD9" s="9" t="s">
        <v>613</v>
      </c>
    </row>
    <row r="10" spans="1:30" x14ac:dyDescent="0.2">
      <c r="A10" s="9"/>
      <c r="B10" s="10"/>
      <c r="C10" s="82" t="s">
        <v>688</v>
      </c>
      <c r="D10" s="5"/>
      <c r="E10" s="9" t="s">
        <v>529</v>
      </c>
      <c r="F10" s="5"/>
      <c r="G10" s="9" t="s">
        <v>590</v>
      </c>
      <c r="H10" s="5"/>
      <c r="I10" s="9" t="s">
        <v>311</v>
      </c>
      <c r="J10" s="5"/>
      <c r="K10" s="82" t="s">
        <v>272</v>
      </c>
      <c r="M10" s="9" t="s">
        <v>217</v>
      </c>
      <c r="O10" s="9" t="s">
        <v>275</v>
      </c>
      <c r="Q10" s="82" t="s">
        <v>272</v>
      </c>
      <c r="S10" s="9" t="s">
        <v>590</v>
      </c>
      <c r="U10" s="82" t="s">
        <v>272</v>
      </c>
      <c r="X10" s="9" t="s">
        <v>273</v>
      </c>
      <c r="Z10" s="82" t="s">
        <v>272</v>
      </c>
      <c r="AB10" s="9"/>
      <c r="AD10" s="9"/>
    </row>
    <row r="11" spans="1:30" x14ac:dyDescent="0.2">
      <c r="A11" s="9"/>
      <c r="B11" s="10"/>
      <c r="C11" s="82" t="s">
        <v>272</v>
      </c>
      <c r="D11" s="5"/>
      <c r="E11" s="9" t="s">
        <v>273</v>
      </c>
      <c r="F11" s="5"/>
      <c r="G11" s="9" t="s">
        <v>301</v>
      </c>
      <c r="H11" s="5"/>
      <c r="I11" s="9" t="s">
        <v>273</v>
      </c>
      <c r="J11" s="5"/>
      <c r="K11" s="9" t="s">
        <v>31</v>
      </c>
      <c r="M11" s="9" t="s">
        <v>301</v>
      </c>
      <c r="O11" s="82" t="s">
        <v>616</v>
      </c>
      <c r="Q11" s="9" t="s">
        <v>32</v>
      </c>
      <c r="S11" s="9" t="s">
        <v>301</v>
      </c>
      <c r="U11" s="9" t="s">
        <v>301</v>
      </c>
      <c r="X11" s="9" t="s">
        <v>529</v>
      </c>
      <c r="Z11" s="9" t="s">
        <v>613</v>
      </c>
      <c r="AB11" s="9" t="s">
        <v>529</v>
      </c>
      <c r="AD11" s="9"/>
    </row>
    <row r="12" spans="1:30" x14ac:dyDescent="0.2">
      <c r="A12" s="9"/>
      <c r="B12" s="10"/>
      <c r="C12" s="82" t="s">
        <v>122</v>
      </c>
      <c r="D12" s="5"/>
      <c r="E12" s="9" t="s">
        <v>301</v>
      </c>
      <c r="F12" s="5"/>
      <c r="G12" s="82" t="s">
        <v>122</v>
      </c>
      <c r="H12" s="5"/>
      <c r="I12" s="9" t="s">
        <v>613</v>
      </c>
      <c r="J12" s="5"/>
      <c r="K12" s="9" t="s">
        <v>217</v>
      </c>
      <c r="M12" s="82" t="s">
        <v>122</v>
      </c>
      <c r="O12" s="9" t="s">
        <v>529</v>
      </c>
      <c r="Q12" s="9" t="s">
        <v>301</v>
      </c>
      <c r="S12" s="9" t="s">
        <v>613</v>
      </c>
      <c r="U12" s="9" t="s">
        <v>581</v>
      </c>
      <c r="X12" s="9"/>
      <c r="Z12" s="9" t="s">
        <v>581</v>
      </c>
      <c r="AB12" s="9" t="s">
        <v>301</v>
      </c>
      <c r="AD12" s="9" t="s">
        <v>146</v>
      </c>
    </row>
    <row r="13" spans="1:30" x14ac:dyDescent="0.2">
      <c r="A13" s="9"/>
      <c r="B13" s="10"/>
      <c r="C13" s="82" t="s">
        <v>579</v>
      </c>
      <c r="D13" s="5"/>
      <c r="E13" s="9" t="s">
        <v>613</v>
      </c>
      <c r="F13" s="5"/>
      <c r="G13" s="9" t="s">
        <v>30</v>
      </c>
      <c r="H13" s="5"/>
      <c r="I13" s="9" t="s">
        <v>217</v>
      </c>
      <c r="J13" s="5"/>
      <c r="K13" s="9" t="s">
        <v>264</v>
      </c>
      <c r="M13" s="9" t="s">
        <v>130</v>
      </c>
      <c r="O13" s="9" t="s">
        <v>628</v>
      </c>
      <c r="Q13" s="9" t="s">
        <v>30</v>
      </c>
      <c r="S13" s="9"/>
      <c r="U13" s="9" t="s">
        <v>613</v>
      </c>
      <c r="X13" s="9" t="s">
        <v>696</v>
      </c>
      <c r="Z13" s="9" t="s">
        <v>233</v>
      </c>
      <c r="AB13" s="82" t="s">
        <v>122</v>
      </c>
      <c r="AD13" s="9"/>
    </row>
    <row r="14" spans="1:30" x14ac:dyDescent="0.2">
      <c r="A14" s="9"/>
      <c r="B14" s="10"/>
      <c r="C14" s="82" t="s">
        <v>616</v>
      </c>
      <c r="D14" s="5"/>
      <c r="E14" s="82" t="s">
        <v>122</v>
      </c>
      <c r="F14" s="5"/>
      <c r="G14" s="9" t="s">
        <v>147</v>
      </c>
      <c r="H14" s="5"/>
      <c r="I14" s="9" t="s">
        <v>689</v>
      </c>
      <c r="J14" s="5"/>
      <c r="K14" s="9" t="s">
        <v>689</v>
      </c>
      <c r="M14" s="9" t="s">
        <v>591</v>
      </c>
      <c r="O14" s="9" t="s">
        <v>609</v>
      </c>
      <c r="Q14" s="9" t="s">
        <v>689</v>
      </c>
      <c r="S14" s="9" t="s">
        <v>689</v>
      </c>
      <c r="U14" s="9" t="s">
        <v>615</v>
      </c>
      <c r="X14" s="82" t="s">
        <v>616</v>
      </c>
      <c r="Z14" s="82" t="s">
        <v>616</v>
      </c>
      <c r="AB14" s="82" t="s">
        <v>616</v>
      </c>
      <c r="AD14" s="82" t="s">
        <v>616</v>
      </c>
    </row>
    <row r="15" spans="1:30" x14ac:dyDescent="0.2">
      <c r="A15" s="11" t="s">
        <v>25</v>
      </c>
      <c r="B15" s="12"/>
      <c r="C15" s="81" t="s">
        <v>269</v>
      </c>
      <c r="D15" s="5"/>
      <c r="E15" s="81" t="s">
        <v>269</v>
      </c>
      <c r="F15" s="5"/>
      <c r="G15" s="13" t="s">
        <v>168</v>
      </c>
      <c r="H15" s="5"/>
      <c r="I15" s="13" t="s">
        <v>33</v>
      </c>
      <c r="J15" s="5"/>
      <c r="K15" s="81" t="s">
        <v>269</v>
      </c>
      <c r="M15" s="13" t="s">
        <v>168</v>
      </c>
      <c r="O15" s="13" t="s">
        <v>168</v>
      </c>
      <c r="Q15" s="13" t="s">
        <v>168</v>
      </c>
      <c r="S15" s="13" t="s">
        <v>168</v>
      </c>
      <c r="U15" s="81" t="s">
        <v>269</v>
      </c>
      <c r="X15" s="81" t="s">
        <v>269</v>
      </c>
      <c r="Z15" s="13" t="s">
        <v>33</v>
      </c>
      <c r="AB15" s="13" t="s">
        <v>168</v>
      </c>
      <c r="AD15" s="81" t="s">
        <v>269</v>
      </c>
    </row>
    <row r="16" spans="1:30" x14ac:dyDescent="0.2">
      <c r="A16" s="11"/>
      <c r="B16" s="12"/>
      <c r="C16" s="81" t="s">
        <v>136</v>
      </c>
      <c r="D16" s="5"/>
      <c r="E16" s="81" t="s">
        <v>136</v>
      </c>
      <c r="F16" s="5"/>
      <c r="G16" s="81" t="s">
        <v>269</v>
      </c>
      <c r="H16" s="5"/>
      <c r="I16" s="81" t="s">
        <v>269</v>
      </c>
      <c r="J16" s="5"/>
      <c r="K16" s="81" t="s">
        <v>136</v>
      </c>
      <c r="M16" s="81" t="s">
        <v>269</v>
      </c>
      <c r="O16" s="81" t="s">
        <v>136</v>
      </c>
      <c r="Q16" s="81" t="s">
        <v>269</v>
      </c>
      <c r="S16" s="81" t="s">
        <v>269</v>
      </c>
      <c r="U16" s="81" t="s">
        <v>136</v>
      </c>
      <c r="X16" s="81" t="s">
        <v>136</v>
      </c>
      <c r="Z16" s="81" t="s">
        <v>269</v>
      </c>
      <c r="AB16" s="81" t="s">
        <v>269</v>
      </c>
      <c r="AD16" s="81" t="s">
        <v>136</v>
      </c>
    </row>
    <row r="17" spans="1:30" x14ac:dyDescent="0.2">
      <c r="A17" s="11"/>
      <c r="B17" s="12"/>
      <c r="C17" s="81" t="s">
        <v>261</v>
      </c>
      <c r="D17" s="5"/>
      <c r="E17" s="13" t="s">
        <v>352</v>
      </c>
      <c r="F17" s="5"/>
      <c r="G17" s="81" t="s">
        <v>136</v>
      </c>
      <c r="H17" s="5"/>
      <c r="I17" s="81" t="s">
        <v>136</v>
      </c>
      <c r="J17" s="5"/>
      <c r="K17" s="13" t="s">
        <v>165</v>
      </c>
      <c r="M17" s="81" t="s">
        <v>136</v>
      </c>
      <c r="O17" s="13" t="s">
        <v>621</v>
      </c>
      <c r="Q17" s="81" t="s">
        <v>136</v>
      </c>
      <c r="S17" s="81" t="s">
        <v>136</v>
      </c>
      <c r="U17" s="13" t="s">
        <v>139</v>
      </c>
      <c r="X17" s="13" t="s">
        <v>580</v>
      </c>
      <c r="Z17" s="81" t="s">
        <v>136</v>
      </c>
      <c r="AB17" s="81" t="s">
        <v>136</v>
      </c>
      <c r="AD17" s="13" t="s">
        <v>139</v>
      </c>
    </row>
    <row r="18" spans="1:30" x14ac:dyDescent="0.2">
      <c r="A18" s="11"/>
      <c r="B18" s="12"/>
      <c r="C18" s="81" t="s">
        <v>513</v>
      </c>
      <c r="D18" s="5"/>
      <c r="E18" s="81" t="s">
        <v>513</v>
      </c>
      <c r="F18" s="5"/>
      <c r="G18" s="13" t="s">
        <v>365</v>
      </c>
      <c r="H18" s="5"/>
      <c r="I18" s="13" t="s">
        <v>580</v>
      </c>
      <c r="J18" s="5"/>
      <c r="K18" s="13" t="s">
        <v>139</v>
      </c>
      <c r="M18" s="81" t="s">
        <v>261</v>
      </c>
      <c r="O18" s="81" t="s">
        <v>269</v>
      </c>
      <c r="Q18" s="81" t="s">
        <v>511</v>
      </c>
      <c r="S18" s="81" t="s">
        <v>261</v>
      </c>
      <c r="U18" s="13" t="s">
        <v>611</v>
      </c>
      <c r="X18" s="13" t="s">
        <v>605</v>
      </c>
      <c r="Z18" s="13" t="s">
        <v>351</v>
      </c>
      <c r="AB18" s="13" t="s">
        <v>625</v>
      </c>
      <c r="AD18" s="13" t="s">
        <v>270</v>
      </c>
    </row>
    <row r="19" spans="1:30" x14ac:dyDescent="0.2">
      <c r="A19" s="11"/>
      <c r="B19" s="12"/>
      <c r="C19" s="81" t="s">
        <v>511</v>
      </c>
      <c r="D19" s="5"/>
      <c r="E19" s="13" t="s">
        <v>605</v>
      </c>
      <c r="F19" s="5"/>
      <c r="G19" s="13" t="s">
        <v>134</v>
      </c>
      <c r="H19" s="5"/>
      <c r="I19" s="81" t="s">
        <v>511</v>
      </c>
      <c r="J19" s="5"/>
      <c r="K19" s="81" t="s">
        <v>511</v>
      </c>
      <c r="M19" s="81" t="s">
        <v>511</v>
      </c>
      <c r="O19" s="81" t="s">
        <v>511</v>
      </c>
      <c r="Q19" s="13" t="s">
        <v>504</v>
      </c>
      <c r="S19" s="81" t="s">
        <v>511</v>
      </c>
      <c r="U19" s="81" t="s">
        <v>511</v>
      </c>
      <c r="X19" s="13" t="s">
        <v>697</v>
      </c>
      <c r="Z19" s="81" t="s">
        <v>511</v>
      </c>
      <c r="AB19" s="81" t="s">
        <v>511</v>
      </c>
      <c r="AD19" s="13" t="s">
        <v>605</v>
      </c>
    </row>
    <row r="20" spans="1:30" x14ac:dyDescent="0.2">
      <c r="A20" t="s">
        <v>111</v>
      </c>
      <c r="C20">
        <v>18</v>
      </c>
      <c r="E20">
        <v>9</v>
      </c>
      <c r="G20">
        <v>5</v>
      </c>
      <c r="I20">
        <v>4</v>
      </c>
      <c r="K20">
        <v>8</v>
      </c>
      <c r="M20">
        <v>8</v>
      </c>
      <c r="O20">
        <v>7</v>
      </c>
      <c r="Q20">
        <v>7</v>
      </c>
      <c r="S20">
        <v>8</v>
      </c>
      <c r="U20">
        <v>9</v>
      </c>
      <c r="Z2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1e 4 Wedstr.</vt:lpstr>
      <vt:lpstr>Bracket tot R16</vt:lpstr>
      <vt:lpstr>PTS 1e SHelft</vt:lpstr>
      <vt:lpstr>Data tot wstop</vt:lpstr>
      <vt:lpstr>Ronde 17-19</vt:lpstr>
      <vt:lpstr>Data tm deadline</vt:lpstr>
      <vt:lpstr>Bracket na wstop</vt:lpstr>
      <vt:lpstr>Pt 2e sznshelft</vt:lpstr>
      <vt:lpstr>Concurrentie 2e helft</vt:lpstr>
      <vt:lpstr>Pot. Teams</vt:lpstr>
      <vt:lpstr>Strafschoppen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Maarten Jol</cp:lastModifiedBy>
  <dcterms:created xsi:type="dcterms:W3CDTF">2023-07-25T11:21:34Z</dcterms:created>
  <dcterms:modified xsi:type="dcterms:W3CDTF">2025-04-16T15:54:21Z</dcterms:modified>
</cp:coreProperties>
</file>