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OneDrive\Documenten\1.VUB\3e BA\Bach proef\2e zit\"/>
    </mc:Choice>
  </mc:AlternateContent>
  <xr:revisionPtr revIDLastSave="0" documentId="8_{F1AFD136-8AD7-41A4-B60F-DF7F466F883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5" l="1"/>
  <c r="H75" i="5"/>
  <c r="F75" i="5"/>
  <c r="G60" i="5"/>
  <c r="H60" i="5"/>
  <c r="F60" i="5"/>
  <c r="G45" i="5"/>
  <c r="H45" i="5"/>
  <c r="F45" i="5"/>
  <c r="G30" i="5"/>
  <c r="H30" i="5"/>
  <c r="F30" i="5"/>
  <c r="G15" i="5"/>
  <c r="H15" i="5"/>
  <c r="F15" i="5"/>
  <c r="H64" i="5"/>
  <c r="H65" i="5"/>
  <c r="H66" i="5"/>
  <c r="H67" i="5"/>
  <c r="H68" i="5"/>
  <c r="H69" i="5"/>
  <c r="H70" i="5"/>
  <c r="H71" i="5"/>
  <c r="H72" i="5"/>
  <c r="H73" i="5"/>
  <c r="H74" i="5"/>
  <c r="H63" i="5"/>
  <c r="H34" i="5"/>
  <c r="H35" i="5"/>
  <c r="H36" i="5"/>
  <c r="H37" i="5"/>
  <c r="H38" i="5"/>
  <c r="H39" i="5"/>
  <c r="H40" i="5"/>
  <c r="H41" i="5"/>
  <c r="H42" i="5"/>
  <c r="H43" i="5"/>
  <c r="H44" i="5"/>
  <c r="H33" i="5"/>
  <c r="L32" i="5"/>
  <c r="L62" i="5"/>
  <c r="G65" i="5" s="1"/>
  <c r="L47" i="5"/>
  <c r="G50" i="5" s="1"/>
  <c r="F40" i="5"/>
  <c r="G40" i="5"/>
  <c r="F41" i="5"/>
  <c r="G36" i="5"/>
  <c r="G19" i="5"/>
  <c r="H24" i="5"/>
  <c r="L17" i="5"/>
  <c r="H19" i="5" s="1"/>
  <c r="L2" i="5"/>
  <c r="F4" i="5" s="1"/>
  <c r="O30" i="3"/>
  <c r="N30" i="3"/>
  <c r="I30" i="3"/>
  <c r="H30" i="3"/>
  <c r="C30" i="3"/>
  <c r="G2" i="3"/>
  <c r="G1" i="3"/>
  <c r="B28" i="3"/>
  <c r="B30" i="3" s="1"/>
  <c r="B27" i="3"/>
  <c r="B26" i="3"/>
  <c r="O29" i="3"/>
  <c r="N29" i="3"/>
  <c r="I29" i="3"/>
  <c r="H29" i="3"/>
  <c r="C29" i="3"/>
  <c r="F10" i="2"/>
  <c r="F9" i="2"/>
  <c r="E10" i="2"/>
  <c r="E9" i="2"/>
  <c r="J10" i="2"/>
  <c r="K10" i="2" s="1"/>
  <c r="J9" i="2"/>
  <c r="K9" i="2" s="1"/>
  <c r="F8" i="2"/>
  <c r="C28" i="3"/>
  <c r="H28" i="3"/>
  <c r="I28" i="3"/>
  <c r="N28" i="3"/>
  <c r="O28" i="3"/>
  <c r="C27" i="3"/>
  <c r="H27" i="3"/>
  <c r="I27" i="3"/>
  <c r="N27" i="3"/>
  <c r="O27" i="3"/>
  <c r="C26" i="3"/>
  <c r="H26" i="3"/>
  <c r="I26" i="3"/>
  <c r="N26" i="3"/>
  <c r="O26" i="3"/>
  <c r="C10" i="2"/>
  <c r="D10" i="2" s="1"/>
  <c r="C9" i="2"/>
  <c r="D9" i="2" s="1"/>
  <c r="C4" i="1"/>
  <c r="S11" i="1"/>
  <c r="S10" i="1"/>
  <c r="S9" i="1"/>
  <c r="Q8" i="1"/>
  <c r="I2" i="1"/>
  <c r="J2" i="1" s="1"/>
  <c r="H59" i="5" l="1"/>
  <c r="H58" i="5"/>
  <c r="F48" i="5"/>
  <c r="F59" i="5"/>
  <c r="F58" i="5"/>
  <c r="H57" i="5"/>
  <c r="F57" i="5"/>
  <c r="H28" i="5"/>
  <c r="G28" i="5"/>
  <c r="H51" i="5"/>
  <c r="F51" i="5"/>
  <c r="H50" i="5"/>
  <c r="F50" i="5"/>
  <c r="H49" i="5"/>
  <c r="G24" i="5"/>
  <c r="F33" i="5"/>
  <c r="G42" i="5"/>
  <c r="H55" i="5"/>
  <c r="G41" i="5"/>
  <c r="H53" i="5"/>
  <c r="H29" i="5"/>
  <c r="F34" i="5"/>
  <c r="H13" i="5"/>
  <c r="F29" i="5"/>
  <c r="G58" i="5"/>
  <c r="F49" i="5"/>
  <c r="F10" i="5"/>
  <c r="H23" i="5"/>
  <c r="G39" i="5"/>
  <c r="F9" i="5"/>
  <c r="G23" i="5"/>
  <c r="F37" i="5"/>
  <c r="H56" i="5"/>
  <c r="G48" i="5"/>
  <c r="F5" i="5"/>
  <c r="F23" i="5"/>
  <c r="F36" i="5"/>
  <c r="F56" i="5"/>
  <c r="G59" i="5"/>
  <c r="G3" i="5"/>
  <c r="F19" i="5"/>
  <c r="F35" i="5"/>
  <c r="F55" i="5"/>
  <c r="G57" i="5"/>
  <c r="G4" i="5"/>
  <c r="H54" i="5"/>
  <c r="G56" i="5"/>
  <c r="H3" i="5"/>
  <c r="G34" i="5"/>
  <c r="F54" i="5"/>
  <c r="G55" i="5"/>
  <c r="G53" i="5"/>
  <c r="G33" i="5"/>
  <c r="H52" i="5"/>
  <c r="G52" i="5"/>
  <c r="H18" i="5"/>
  <c r="H48" i="5"/>
  <c r="F52" i="5"/>
  <c r="G49" i="5"/>
  <c r="G74" i="5"/>
  <c r="F69" i="5"/>
  <c r="F6" i="5"/>
  <c r="H14" i="5"/>
  <c r="G29" i="5"/>
  <c r="F24" i="5"/>
  <c r="G35" i="5"/>
  <c r="F74" i="5"/>
  <c r="H12" i="5"/>
  <c r="G73" i="5"/>
  <c r="F68" i="5"/>
  <c r="F28" i="5"/>
  <c r="G67" i="5"/>
  <c r="G69" i="5"/>
  <c r="H11" i="5"/>
  <c r="H10" i="5"/>
  <c r="G13" i="5"/>
  <c r="H9" i="5"/>
  <c r="H27" i="5"/>
  <c r="G22" i="5"/>
  <c r="G44" i="5"/>
  <c r="F39" i="5"/>
  <c r="F53" i="5"/>
  <c r="G54" i="5"/>
  <c r="G72" i="5"/>
  <c r="F67" i="5"/>
  <c r="G14" i="5"/>
  <c r="G12" i="5"/>
  <c r="H8" i="5"/>
  <c r="G27" i="5"/>
  <c r="F22" i="5"/>
  <c r="F44" i="5"/>
  <c r="F72" i="5"/>
  <c r="H7" i="5"/>
  <c r="H21" i="5"/>
  <c r="G38" i="5"/>
  <c r="G66" i="5"/>
  <c r="G68" i="5"/>
  <c r="F73" i="5"/>
  <c r="H22" i="5"/>
  <c r="G11" i="5"/>
  <c r="F27" i="5"/>
  <c r="G10" i="5"/>
  <c r="H6" i="5"/>
  <c r="H26" i="5"/>
  <c r="G21" i="5"/>
  <c r="G43" i="5"/>
  <c r="F38" i="5"/>
  <c r="G51" i="5"/>
  <c r="G71" i="5"/>
  <c r="F66" i="5"/>
  <c r="G9" i="5"/>
  <c r="H5" i="5"/>
  <c r="G26" i="5"/>
  <c r="F21" i="5"/>
  <c r="F43" i="5"/>
  <c r="F71" i="5"/>
  <c r="F3" i="5"/>
  <c r="G8" i="5"/>
  <c r="H4" i="5"/>
  <c r="F26" i="5"/>
  <c r="H20" i="5"/>
  <c r="G37" i="5"/>
  <c r="F65" i="5"/>
  <c r="G7" i="5"/>
  <c r="G70" i="5"/>
  <c r="G20" i="5"/>
  <c r="F13" i="5"/>
  <c r="G6" i="5"/>
  <c r="F18" i="5"/>
  <c r="G25" i="5"/>
  <c r="F20" i="5"/>
  <c r="F42" i="5"/>
  <c r="G63" i="5"/>
  <c r="F70" i="5"/>
  <c r="G64" i="5"/>
  <c r="F14" i="5"/>
  <c r="H25" i="5"/>
  <c r="F63" i="5"/>
  <c r="F12" i="5"/>
  <c r="G5" i="5"/>
  <c r="G18" i="5"/>
  <c r="F25" i="5"/>
  <c r="F64" i="5"/>
  <c r="F11" i="5"/>
  <c r="F8" i="5"/>
  <c r="F7" i="5"/>
  <c r="B29" i="3"/>
  <c r="I5" i="1"/>
  <c r="G2" i="1"/>
  <c r="G4" i="1"/>
  <c r="G5" i="1"/>
  <c r="G3" i="1"/>
  <c r="I3" i="1"/>
  <c r="I4" i="1"/>
  <c r="N3" i="1" l="1"/>
  <c r="L3" i="1"/>
  <c r="P3" i="1" s="1"/>
  <c r="N5" i="1"/>
  <c r="L5" i="1"/>
  <c r="P5" i="1" s="1"/>
  <c r="N4" i="1"/>
  <c r="L4" i="1"/>
  <c r="L2" i="1"/>
  <c r="N2" i="1"/>
  <c r="M3" i="1"/>
  <c r="M4" i="1"/>
  <c r="H3" i="1"/>
  <c r="H5" i="1"/>
  <c r="M5" i="1"/>
  <c r="H2" i="1"/>
  <c r="H4" i="1"/>
  <c r="J4" i="1"/>
  <c r="O4" i="1"/>
  <c r="J3" i="1"/>
  <c r="O3" i="1"/>
  <c r="J5" i="1"/>
  <c r="O5" i="1"/>
  <c r="O2" i="1"/>
  <c r="M8" i="1" l="1"/>
  <c r="M9" i="1" s="1"/>
  <c r="P2" i="1"/>
  <c r="M2" i="1"/>
  <c r="P4" i="1"/>
</calcChain>
</file>

<file path=xl/sharedStrings.xml><?xml version="1.0" encoding="utf-8"?>
<sst xmlns="http://schemas.openxmlformats.org/spreadsheetml/2006/main" count="200" uniqueCount="108">
  <si>
    <t xml:space="preserve">Gegevens: </t>
  </si>
  <si>
    <t>V1</t>
  </si>
  <si>
    <t>Graden</t>
  </si>
  <si>
    <t>Lift (N)</t>
  </si>
  <si>
    <t>Lift (kg)</t>
  </si>
  <si>
    <t>Drag (N)</t>
  </si>
  <si>
    <t>Drag (kg)</t>
  </si>
  <si>
    <t>Normal (N)</t>
  </si>
  <si>
    <t>Normal (kg)</t>
  </si>
  <si>
    <t>Axial (N)</t>
  </si>
  <si>
    <t>Axial (kg)</t>
  </si>
  <si>
    <t>Resulatant force (N)</t>
  </si>
  <si>
    <t>V2</t>
  </si>
  <si>
    <t>10m/s</t>
  </si>
  <si>
    <t>massadichtheid</t>
  </si>
  <si>
    <t>S</t>
  </si>
  <si>
    <t>20m/s</t>
  </si>
  <si>
    <t>Cl(0°)</t>
  </si>
  <si>
    <t>Cl(12°)</t>
  </si>
  <si>
    <t>Cd(0°)</t>
  </si>
  <si>
    <t>Cd(12°)</t>
  </si>
  <si>
    <t>lift (druk) (Pa)</t>
  </si>
  <si>
    <t>oppervlakte loadcell</t>
  </si>
  <si>
    <t>MPa</t>
  </si>
  <si>
    <t>druk op loadcell1</t>
  </si>
  <si>
    <t>kracht 1 (N)</t>
  </si>
  <si>
    <t>L = 0,5*rho*V²*S*Cl</t>
  </si>
  <si>
    <t>druk op loadcell2</t>
  </si>
  <si>
    <t>kracht 2 (N)</t>
  </si>
  <si>
    <t>D = 0,5*rho*V²*S*Cd</t>
  </si>
  <si>
    <t>Fr (N)</t>
  </si>
  <si>
    <t>CL, Cd and CL/Cd for NACA 2412 airfoil with and without dimples | Download Scientific Diagram (researchgate.net)</t>
  </si>
  <si>
    <t>loadcellen calibratiefactor</t>
  </si>
  <si>
    <t xml:space="preserve">gsm maarten </t>
  </si>
  <si>
    <t xml:space="preserve">1kg </t>
  </si>
  <si>
    <t>fles</t>
  </si>
  <si>
    <t>5kg (A)</t>
  </si>
  <si>
    <t>5kg (B)</t>
  </si>
  <si>
    <t>test torsiemoment</t>
  </si>
  <si>
    <t xml:space="preserve">massa </t>
  </si>
  <si>
    <t>meting (1kg)</t>
  </si>
  <si>
    <t>calibratie 1kg</t>
  </si>
  <si>
    <t>massa (5kg)</t>
  </si>
  <si>
    <t>calibratie 5kg</t>
  </si>
  <si>
    <t>compressie (1kg)</t>
  </si>
  <si>
    <t>rek (1kg)</t>
  </si>
  <si>
    <t>Test Herhaalbaarheid</t>
  </si>
  <si>
    <t>0,05%FS 5kg</t>
  </si>
  <si>
    <t>massa</t>
  </si>
  <si>
    <t>gram</t>
  </si>
  <si>
    <t>0,05%FS 1kg</t>
  </si>
  <si>
    <t>per loadcell</t>
  </si>
  <si>
    <t>Drag</t>
  </si>
  <si>
    <t>Lift</t>
  </si>
  <si>
    <t>MOMENT LE</t>
  </si>
  <si>
    <t>LC back</t>
  </si>
  <si>
    <t>LC front</t>
  </si>
  <si>
    <t>calib back</t>
  </si>
  <si>
    <t>calib front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</si>
  <si>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</si>
  <si>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</si>
  <si>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</si>
  <si>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</si>
  <si>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</si>
  <si>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</si>
  <si>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</si>
  <si>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</si>
  <si>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</si>
  <si>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</si>
  <si>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</si>
  <si>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</si>
  <si>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</si>
  <si>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</si>
  <si>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</si>
  <si>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</si>
  <si>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</si>
  <si>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</si>
  <si>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</si>
  <si>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</si>
  <si>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Average</t>
  </si>
  <si>
    <t>Variantie</t>
  </si>
  <si>
    <t>Standaardafwijking</t>
  </si>
  <si>
    <t>Std/gem</t>
  </si>
  <si>
    <t>Std full scale error</t>
  </si>
  <si>
    <t>Windtunnel test</t>
  </si>
  <si>
    <t>Power</t>
  </si>
  <si>
    <t>DB</t>
  </si>
  <si>
    <t>DF</t>
  </si>
  <si>
    <t>LF</t>
  </si>
  <si>
    <t>LB</t>
  </si>
  <si>
    <t>Loadcell</t>
  </si>
  <si>
    <t>Equation</t>
  </si>
  <si>
    <t>Drag back</t>
  </si>
  <si>
    <t>Drag front</t>
  </si>
  <si>
    <t>Lift back</t>
  </si>
  <si>
    <t>Lift front</t>
  </si>
  <si>
    <r>
      <t>y = -0,3254x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+ 11,316x - 51,411</t>
    </r>
  </si>
  <si>
    <r>
      <t>y = 5,7378x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- 244,17x + 2921,4</t>
    </r>
  </si>
  <si>
    <r>
      <t>y = -0,8838x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+ 31,76x - 94,218</t>
    </r>
  </si>
  <si>
    <t>Wind tunnel testing</t>
  </si>
  <si>
    <t>Pitch</t>
  </si>
  <si>
    <t>AOA</t>
  </si>
  <si>
    <t>Cl</t>
  </si>
  <si>
    <t>Cd</t>
  </si>
  <si>
    <t>Cm</t>
  </si>
  <si>
    <t>V(m/s)</t>
  </si>
  <si>
    <r>
      <t>y = 122,62x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- 7792,1x + 125634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</si>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</sst>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5C5F"/>
      <name val="Consolas"/>
      <charset val="1"/>
    </font>
    <font>
      <vertAlign val="superscript"/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/>
    <xf numFmtId="0" fontId="0" fillId="2" borderId="6" xfId="0" applyFill="1" applyBorder="1"/>
    <xf numFmtId="0" fontId="0" fillId="3" borderId="6" xfId="0" applyFill="1" applyBorder="1"/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1"/>
    <xf numFmtId="164" fontId="0" fillId="2" borderId="6" xfId="0" applyNumberFormat="1" applyFill="1" applyBorder="1"/>
    <xf numFmtId="164" fontId="0" fillId="3" borderId="6" xfId="0" applyNumberForma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9" fontId="0" fillId="0" borderId="0" xfId="0" applyNumberFormat="1"/>
    <xf numFmtId="165" fontId="0" fillId="0" borderId="0" xfId="0" applyNumberFormat="1"/>
    <xf numFmtId="0" fontId="0" fillId="4" borderId="0" xfId="0" applyFill="1"/>
    <xf numFmtId="165" fontId="0" fillId="0" borderId="8" xfId="0" applyNumberFormat="1" applyBorder="1"/>
    <xf numFmtId="165" fontId="0" fillId="0" borderId="7" xfId="0" applyNumberFormat="1" applyBorder="1"/>
    <xf numFmtId="10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/>
    </xf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Loadcell</a:t>
            </a:r>
            <a:r>
              <a:rPr lang="en-GB" baseline="0"/>
              <a:t> Drag back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Blad4!$B$3:$B$6</c:f>
              <c:numCache>
                <c:formatCode>General</c:formatCode>
                <c:ptCount val="4"/>
                <c:pt idx="0">
                  <c:v>12.12</c:v>
                </c:pt>
                <c:pt idx="1">
                  <c:v>14.47</c:v>
                </c:pt>
                <c:pt idx="2">
                  <c:v>16.690000000000001</c:v>
                </c:pt>
                <c:pt idx="3">
                  <c:v>19.05</c:v>
                </c:pt>
              </c:numCache>
            </c:numRef>
          </c:xVal>
          <c:yVal>
            <c:numRef>
              <c:f>Blad4!$C$3:$C$6</c:f>
              <c:numCache>
                <c:formatCode>General</c:formatCode>
                <c:ptCount val="4"/>
                <c:pt idx="0">
                  <c:v>40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E-4A92-A33E-253D656B4098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289159564911417"/>
                  <c:y val="0.50988252238441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Blad4!$B$6:$B$9</c:f>
              <c:numCache>
                <c:formatCode>General</c:formatCode>
                <c:ptCount val="4"/>
                <c:pt idx="0">
                  <c:v>19.05</c:v>
                </c:pt>
                <c:pt idx="1">
                  <c:v>16.690000000000001</c:v>
                </c:pt>
                <c:pt idx="2">
                  <c:v>14.47</c:v>
                </c:pt>
                <c:pt idx="3">
                  <c:v>12.12</c:v>
                </c:pt>
              </c:numCache>
            </c:numRef>
          </c:xVal>
          <c:yVal>
            <c:numRef>
              <c:f>Blad4!$C$6:$C$9</c:f>
              <c:numCache>
                <c:formatCode>General</c:formatCode>
                <c:ptCount val="4"/>
                <c:pt idx="0">
                  <c:v>46</c:v>
                </c:pt>
                <c:pt idx="1">
                  <c:v>47</c:v>
                </c:pt>
                <c:pt idx="2">
                  <c:v>44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E-4A92-A33E-253D656B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98176"/>
        <c:axId val="1506077536"/>
      </c:scatterChart>
      <c:valAx>
        <c:axId val="150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77536"/>
        <c:crosses val="autoZero"/>
        <c:crossBetween val="midCat"/>
      </c:valAx>
      <c:valAx>
        <c:axId val="15060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</a:t>
            </a:r>
            <a:r>
              <a:rPr lang="en-GB" baseline="0"/>
              <a:t> coefficient at constant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Blad5!$H$3:$H$14</c:f>
              <c:numCache>
                <c:formatCode>General</c:formatCode>
                <c:ptCount val="12"/>
                <c:pt idx="0">
                  <c:v>-7.5464219996333813E-4</c:v>
                </c:pt>
                <c:pt idx="1">
                  <c:v>-7.5464219996333813E-4</c:v>
                </c:pt>
                <c:pt idx="2">
                  <c:v>-7.4408776360021457E-4</c:v>
                </c:pt>
                <c:pt idx="3">
                  <c:v>-6.227117454242929E-4</c:v>
                </c:pt>
                <c:pt idx="4">
                  <c:v>-7.493649817817763E-4</c:v>
                </c:pt>
                <c:pt idx="5">
                  <c:v>-5.7521678179023674E-4</c:v>
                </c:pt>
                <c:pt idx="6">
                  <c:v>-6.3326618178741656E-4</c:v>
                </c:pt>
                <c:pt idx="7">
                  <c:v>-6.4382061815054022E-4</c:v>
                </c:pt>
                <c:pt idx="8">
                  <c:v>-7.335333272370908E-4</c:v>
                </c:pt>
                <c:pt idx="9">
                  <c:v>-6.1215730906116934E-4</c:v>
                </c:pt>
                <c:pt idx="10">
                  <c:v>-7.5991941814489996E-4</c:v>
                </c:pt>
                <c:pt idx="11">
                  <c:v>-7.863055090527089E-4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B-4244-9FF7-52594C0390B9}"/>
            </c:ext>
          </c:extLst>
        </c:ser>
        <c:ser>
          <c:idx val="1"/>
          <c:order val="1"/>
          <c:tx>
            <c:v>4°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Blad5!$H$48:$H$59</c:f>
              <c:numCache>
                <c:formatCode>General</c:formatCode>
                <c:ptCount val="12"/>
                <c:pt idx="0">
                  <c:v>-4.8022685452212428E-4</c:v>
                </c:pt>
                <c:pt idx="1">
                  <c:v>-7.1770167269240542E-4</c:v>
                </c:pt>
                <c:pt idx="2">
                  <c:v>-1.1240474726726644E-3</c:v>
                </c:pt>
                <c:pt idx="3">
                  <c:v>-8.4963212723145065E-4</c:v>
                </c:pt>
                <c:pt idx="4">
                  <c:v>-9.8156258177049577E-4</c:v>
                </c:pt>
                <c:pt idx="5">
                  <c:v>-9.9739423631518115E-4</c:v>
                </c:pt>
                <c:pt idx="6">
                  <c:v>-1.0607208544939229E-3</c:v>
                </c:pt>
                <c:pt idx="7">
                  <c:v>-1.1926513090329679E-3</c:v>
                </c:pt>
                <c:pt idx="8">
                  <c:v>-1.0712752908570464E-3</c:v>
                </c:pt>
                <c:pt idx="9">
                  <c:v>-1.0923841635832935E-3</c:v>
                </c:pt>
                <c:pt idx="10">
                  <c:v>-9.6045370904424855E-4</c:v>
                </c:pt>
                <c:pt idx="11">
                  <c:v>-9.6573092722581028E-4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B-4244-9FF7-52594C0390B9}"/>
            </c:ext>
          </c:extLst>
        </c:ser>
        <c:ser>
          <c:idx val="2"/>
          <c:order val="2"/>
          <c:tx>
            <c:v>8°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Blad5!$H$63:$H$74</c:f>
              <c:numCache>
                <c:formatCode>General</c:formatCode>
                <c:ptCount val="12"/>
                <c:pt idx="0">
                  <c:v>-1.4459577817479345E-3</c:v>
                </c:pt>
                <c:pt idx="1">
                  <c:v>-1.5092843999266763E-3</c:v>
                </c:pt>
                <c:pt idx="2">
                  <c:v>-1.540947709016047E-3</c:v>
                </c:pt>
                <c:pt idx="3">
                  <c:v>-1.3879083817507547E-3</c:v>
                </c:pt>
                <c:pt idx="4">
                  <c:v>-1.2559779272117097E-3</c:v>
                </c:pt>
                <c:pt idx="5">
                  <c:v>-1.5620565817422941E-3</c:v>
                </c:pt>
                <c:pt idx="6">
                  <c:v>-1.6359376362841595E-3</c:v>
                </c:pt>
                <c:pt idx="7">
                  <c:v>-1.6834325999182157E-3</c:v>
                </c:pt>
                <c:pt idx="8">
                  <c:v>-1.546224927197609E-3</c:v>
                </c:pt>
                <c:pt idx="9">
                  <c:v>-1.5831654544685412E-3</c:v>
                </c:pt>
                <c:pt idx="10">
                  <c:v>-1.6412148544657215E-3</c:v>
                </c:pt>
                <c:pt idx="11">
                  <c:v>-1.7889769635494519E-3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B-4244-9FF7-52594C03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29488"/>
        <c:axId val="1266629008"/>
      </c:scatterChart>
      <c:valAx>
        <c:axId val="12666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29008"/>
        <c:crosses val="autoZero"/>
        <c:crossBetween val="midCat"/>
      </c:valAx>
      <c:valAx>
        <c:axId val="12666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Mc/4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 coefficient vs Angle of attack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Blad5!$E$80:$E$82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Blad5!$F$80:$F$82</c:f>
              <c:numCache>
                <c:formatCode>General</c:formatCode>
                <c:ptCount val="3"/>
                <c:pt idx="0">
                  <c:v>0.20799999999999999</c:v>
                </c:pt>
                <c:pt idx="1">
                  <c:v>0.59079199999999998</c:v>
                </c:pt>
                <c:pt idx="2">
                  <c:v>0.982707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5-4130-BCBA-874FDC62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02191"/>
        <c:axId val="405488751"/>
      </c:scatterChart>
      <c:valAx>
        <c:axId val="4055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88751"/>
        <c:crosses val="autoZero"/>
        <c:crossBetween val="midCat"/>
      </c:valAx>
      <c:valAx>
        <c:axId val="4054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Drag coefficient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Blad5!$E$80:$E$82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Blad5!$G$80:$G$82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3.5518500000000001E-2</c:v>
                </c:pt>
                <c:pt idx="2">
                  <c:v>0.103447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C-449C-A357-ED760E81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52255"/>
        <c:axId val="1081651295"/>
      </c:scatterChart>
      <c:valAx>
        <c:axId val="10816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51295"/>
        <c:crosses val="autoZero"/>
        <c:crossBetween val="midCat"/>
      </c:valAx>
      <c:valAx>
        <c:axId val="10816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5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</a:t>
            </a:r>
            <a:r>
              <a:rPr lang="en-GB" baseline="0"/>
              <a:t> coefficient vs Angle of attack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Blad5!$E$80:$E$82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Blad5!$H$80:$H$82</c:f>
              <c:numCache>
                <c:formatCode>General</c:formatCode>
                <c:ptCount val="3"/>
                <c:pt idx="0">
                  <c:v>-6.9999999999999999E-4</c:v>
                </c:pt>
                <c:pt idx="1">
                  <c:v>-9.5781499999999999E-4</c:v>
                </c:pt>
                <c:pt idx="2">
                  <c:v>-1.5484240000000001E-3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B-48F0-A213-BB20774A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45999"/>
        <c:axId val="1082563279"/>
      </c:scatterChart>
      <c:valAx>
        <c:axId val="10825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of attack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63279"/>
        <c:crosses val="autoZero"/>
        <c:crossBetween val="midCat"/>
      </c:valAx>
      <c:valAx>
        <c:axId val="10825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mc/4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4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Loadcell</a:t>
            </a:r>
            <a:r>
              <a:rPr lang="en-GB" baseline="0"/>
              <a:t> drag front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Blad4!$B$3:$B$6</c:f>
              <c:numCache>
                <c:formatCode>General</c:formatCode>
                <c:ptCount val="4"/>
                <c:pt idx="0">
                  <c:v>12.12</c:v>
                </c:pt>
                <c:pt idx="1">
                  <c:v>14.47</c:v>
                </c:pt>
                <c:pt idx="2">
                  <c:v>16.690000000000001</c:v>
                </c:pt>
                <c:pt idx="3">
                  <c:v>19.05</c:v>
                </c:pt>
              </c:numCache>
            </c:numRef>
          </c:xVal>
          <c:yVal>
            <c:numRef>
              <c:f>Blad4!$D$3:$D$6</c:f>
              <c:numCache>
                <c:formatCode>General</c:formatCode>
                <c:ptCount val="4"/>
                <c:pt idx="0">
                  <c:v>550</c:v>
                </c:pt>
                <c:pt idx="1">
                  <c:v>487</c:v>
                </c:pt>
                <c:pt idx="2">
                  <c:v>417</c:v>
                </c:pt>
                <c:pt idx="3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9-4284-B25A-C49DF251F277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41863517060366"/>
                  <c:y val="0.17831729367162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Blad4!$B$6:$B$9</c:f>
              <c:numCache>
                <c:formatCode>General</c:formatCode>
                <c:ptCount val="4"/>
                <c:pt idx="0">
                  <c:v>19.05</c:v>
                </c:pt>
                <c:pt idx="1">
                  <c:v>16.690000000000001</c:v>
                </c:pt>
                <c:pt idx="2">
                  <c:v>14.47</c:v>
                </c:pt>
                <c:pt idx="3">
                  <c:v>12.12</c:v>
                </c:pt>
              </c:numCache>
            </c:numRef>
          </c:xVal>
          <c:yVal>
            <c:numRef>
              <c:f>Blad4!$D$6:$D$9</c:f>
              <c:numCache>
                <c:formatCode>General</c:formatCode>
                <c:ptCount val="4"/>
                <c:pt idx="0">
                  <c:v>351</c:v>
                </c:pt>
                <c:pt idx="1">
                  <c:v>448</c:v>
                </c:pt>
                <c:pt idx="2">
                  <c:v>586</c:v>
                </c:pt>
                <c:pt idx="3">
                  <c:v>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9-4284-B25A-C49DF251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05376"/>
        <c:axId val="1506105856"/>
      </c:scatterChart>
      <c:valAx>
        <c:axId val="15061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  <a:r>
                  <a:rPr lang="en-GB" baseline="0"/>
                  <a:t> speed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05856"/>
        <c:crosses val="autoZero"/>
        <c:crossBetween val="midCat"/>
      </c:valAx>
      <c:valAx>
        <c:axId val="1506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Loadcell</a:t>
            </a:r>
            <a:r>
              <a:rPr lang="en-GB" baseline="0"/>
              <a:t> lift back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Blad4!$B$3:$B$6</c:f>
              <c:numCache>
                <c:formatCode>General</c:formatCode>
                <c:ptCount val="4"/>
                <c:pt idx="0">
                  <c:v>12.12</c:v>
                </c:pt>
                <c:pt idx="1">
                  <c:v>14.47</c:v>
                </c:pt>
                <c:pt idx="2">
                  <c:v>16.690000000000001</c:v>
                </c:pt>
                <c:pt idx="3">
                  <c:v>19.05</c:v>
                </c:pt>
              </c:numCache>
            </c:numRef>
          </c:xVal>
          <c:yVal>
            <c:numRef>
              <c:f>Blad4!$E$3:$E$6</c:f>
              <c:numCache>
                <c:formatCode>General</c:formatCode>
                <c:ptCount val="4"/>
                <c:pt idx="0">
                  <c:v>30000</c:v>
                </c:pt>
                <c:pt idx="1">
                  <c:v>30900</c:v>
                </c:pt>
                <c:pt idx="2">
                  <c:v>26500</c:v>
                </c:pt>
                <c:pt idx="3">
                  <c:v>21900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F13-B108-CE4018B12765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08142955957123"/>
                  <c:y val="0.17282894410983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Blad4!$B$6:$B$9</c:f>
              <c:numCache>
                <c:formatCode>General</c:formatCode>
                <c:ptCount val="4"/>
                <c:pt idx="0">
                  <c:v>19.05</c:v>
                </c:pt>
                <c:pt idx="1">
                  <c:v>16.690000000000001</c:v>
                </c:pt>
                <c:pt idx="2">
                  <c:v>14.47</c:v>
                </c:pt>
                <c:pt idx="3">
                  <c:v>12.12</c:v>
                </c:pt>
              </c:numCache>
            </c:numRef>
          </c:xVal>
          <c:yVal>
            <c:numRef>
              <c:f>Blad4!$E$6:$E$9</c:f>
              <c:numCache>
                <c:formatCode>General</c:formatCode>
                <c:ptCount val="4"/>
                <c:pt idx="0">
                  <c:v>21900</c:v>
                </c:pt>
                <c:pt idx="1">
                  <c:v>29100</c:v>
                </c:pt>
                <c:pt idx="2">
                  <c:v>39200</c:v>
                </c:pt>
                <c:pt idx="3">
                  <c:v>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F13-B108-CE4018B1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60240"/>
        <c:axId val="363166960"/>
      </c:scatterChart>
      <c:valAx>
        <c:axId val="3631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</a:t>
                </a:r>
                <a:r>
                  <a:rPr lang="en-GB" baseline="0"/>
                  <a:t> speed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6960"/>
        <c:crosses val="autoZero"/>
        <c:crossBetween val="midCat"/>
      </c:valAx>
      <c:valAx>
        <c:axId val="3631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Calibration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Loadcell</a:t>
            </a:r>
            <a:r>
              <a:rPr lang="en-GB" baseline="0"/>
              <a:t> lift front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Blad4!$B$3:$B$6</c:f>
              <c:numCache>
                <c:formatCode>General</c:formatCode>
                <c:ptCount val="4"/>
                <c:pt idx="0">
                  <c:v>12.12</c:v>
                </c:pt>
                <c:pt idx="1">
                  <c:v>14.47</c:v>
                </c:pt>
                <c:pt idx="2">
                  <c:v>16.690000000000001</c:v>
                </c:pt>
                <c:pt idx="3">
                  <c:v>19.05</c:v>
                </c:pt>
              </c:numCache>
            </c:numRef>
          </c:xVal>
          <c:yVal>
            <c:numRef>
              <c:f>Blad4!$F$3:$F$6</c:f>
              <c:numCache>
                <c:formatCode>General</c:formatCode>
                <c:ptCount val="4"/>
                <c:pt idx="0">
                  <c:v>157</c:v>
                </c:pt>
                <c:pt idx="1">
                  <c:v>177</c:v>
                </c:pt>
                <c:pt idx="2">
                  <c:v>185</c:v>
                </c:pt>
                <c:pt idx="3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7-4031-B06E-FFA9AEF6DBFF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110363499407406"/>
                  <c:y val="0.4286786539753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Blad4!$B$6:$B$9</c:f>
              <c:numCache>
                <c:formatCode>General</c:formatCode>
                <c:ptCount val="4"/>
                <c:pt idx="0">
                  <c:v>19.05</c:v>
                </c:pt>
                <c:pt idx="1">
                  <c:v>16.690000000000001</c:v>
                </c:pt>
                <c:pt idx="2">
                  <c:v>14.47</c:v>
                </c:pt>
                <c:pt idx="3">
                  <c:v>12.12</c:v>
                </c:pt>
              </c:numCache>
            </c:numRef>
          </c:xVal>
          <c:yVal>
            <c:numRef>
              <c:f>Blad4!$F$6:$F$9</c:f>
              <c:numCache>
                <c:formatCode>General</c:formatCode>
                <c:ptCount val="4"/>
                <c:pt idx="0">
                  <c:v>190</c:v>
                </c:pt>
                <c:pt idx="1">
                  <c:v>190</c:v>
                </c:pt>
                <c:pt idx="2">
                  <c:v>180</c:v>
                </c:pt>
                <c:pt idx="3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7-4031-B06E-FFA9AEF6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65424"/>
        <c:axId val="409367824"/>
      </c:scatterChart>
      <c:valAx>
        <c:axId val="4093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Wind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67824"/>
        <c:crosses val="autoZero"/>
        <c:crossBetween val="midCat"/>
      </c:valAx>
      <c:valAx>
        <c:axId val="4093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Calibration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</a:t>
            </a:r>
            <a:r>
              <a:rPr lang="en-GB" baseline="0"/>
              <a:t> coefficient at constant AOA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12,12 m/s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Blad5!$F$3:$F$14</c:f>
              <c:numCache>
                <c:formatCode>0.000</c:formatCode>
                <c:ptCount val="12"/>
                <c:pt idx="0">
                  <c:v>0.20584158922454529</c:v>
                </c:pt>
                <c:pt idx="1">
                  <c:v>0.20761051275900483</c:v>
                </c:pt>
                <c:pt idx="2">
                  <c:v>0.21164336289335434</c:v>
                </c:pt>
                <c:pt idx="3">
                  <c:v>0.20192325472473568</c:v>
                </c:pt>
                <c:pt idx="4">
                  <c:v>0.20589436140636092</c:v>
                </c:pt>
                <c:pt idx="5">
                  <c:v>0.20432122266643735</c:v>
                </c:pt>
                <c:pt idx="6">
                  <c:v>0.20334018780648502</c:v>
                </c:pt>
                <c:pt idx="7">
                  <c:v>0.20894353807166732</c:v>
                </c:pt>
                <c:pt idx="8">
                  <c:v>0.20841739941896562</c:v>
                </c:pt>
                <c:pt idx="9">
                  <c:v>0.20969448621890358</c:v>
                </c:pt>
                <c:pt idx="10">
                  <c:v>0.21578281283497144</c:v>
                </c:pt>
                <c:pt idx="11">
                  <c:v>0.20850236263168875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4-4D74-8EC0-544824E290EE}"/>
            </c:ext>
          </c:extLst>
        </c:ser>
        <c:ser>
          <c:idx val="1"/>
          <c:order val="1"/>
          <c:tx>
            <c:v>14,47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C-4C49-8929-2E6B888D255B}"/>
              </c:ext>
            </c:extLst>
          </c:dPt>
          <c:yVal>
            <c:numRef>
              <c:f>Blad5!$F$18:$F$29</c:f>
              <c:numCache>
                <c:formatCode>0.000</c:formatCode>
                <c:ptCount val="12"/>
                <c:pt idx="0">
                  <c:v>0.23745307969773616</c:v>
                </c:pt>
                <c:pt idx="1">
                  <c:v>0.24441417013074584</c:v>
                </c:pt>
                <c:pt idx="2">
                  <c:v>0.23842012406594279</c:v>
                </c:pt>
                <c:pt idx="3">
                  <c:v>0.23996176753807621</c:v>
                </c:pt>
                <c:pt idx="4">
                  <c:v>0.23549011291357397</c:v>
                </c:pt>
                <c:pt idx="5">
                  <c:v>0.23619577392651495</c:v>
                </c:pt>
                <c:pt idx="6">
                  <c:v>0.23234573779137679</c:v>
                </c:pt>
                <c:pt idx="7">
                  <c:v>0.23715911598090761</c:v>
                </c:pt>
                <c:pt idx="8">
                  <c:v>0.23515135119959651</c:v>
                </c:pt>
                <c:pt idx="9">
                  <c:v>0.23118765403036975</c:v>
                </c:pt>
                <c:pt idx="10">
                  <c:v>0.24242861923231851</c:v>
                </c:pt>
                <c:pt idx="11">
                  <c:v>0.24512945715960313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4-4D74-8EC0-544824E290EE}"/>
            </c:ext>
          </c:extLst>
        </c:ser>
        <c:ser>
          <c:idx val="2"/>
          <c:order val="2"/>
          <c:tx>
            <c:v>16,69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Blad5!$F$33:$F$44</c:f>
              <c:numCache>
                <c:formatCode>General</c:formatCode>
                <c:ptCount val="12"/>
                <c:pt idx="0">
                  <c:v>0.21488886673514879</c:v>
                </c:pt>
                <c:pt idx="1">
                  <c:v>0.21956302574252998</c:v>
                </c:pt>
                <c:pt idx="2">
                  <c:v>0.21697214574975082</c:v>
                </c:pt>
                <c:pt idx="3">
                  <c:v>0.21903566617364528</c:v>
                </c:pt>
                <c:pt idx="4">
                  <c:v>0.21539257165318643</c:v>
                </c:pt>
                <c:pt idx="5">
                  <c:v>0.21370195984264578</c:v>
                </c:pt>
                <c:pt idx="6">
                  <c:v>0.21614033690996381</c:v>
                </c:pt>
                <c:pt idx="7">
                  <c:v>0.2104685082168562</c:v>
                </c:pt>
                <c:pt idx="8">
                  <c:v>0.21155606557580153</c:v>
                </c:pt>
                <c:pt idx="9">
                  <c:v>0.2161525816704023</c:v>
                </c:pt>
                <c:pt idx="10">
                  <c:v>0.21358229513836061</c:v>
                </c:pt>
                <c:pt idx="11">
                  <c:v>0.21469239398811313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4-4D74-8EC0-544824E2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6960"/>
        <c:axId val="349307440"/>
      </c:scatterChart>
      <c:valAx>
        <c:axId val="3493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7440"/>
        <c:crosses val="autoZero"/>
        <c:crossBetween val="midCat"/>
      </c:valAx>
      <c:valAx>
        <c:axId val="349307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Drag coefficient at constant 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70603674540683"/>
          <c:y val="0.1852145214521452"/>
          <c:w val="0.6705393700787402"/>
          <c:h val="0.73470509255649974"/>
        </c:manualLayout>
      </c:layout>
      <c:scatterChart>
        <c:scatterStyle val="lineMarker"/>
        <c:varyColors val="0"/>
        <c:ser>
          <c:idx val="0"/>
          <c:order val="0"/>
          <c:tx>
            <c:v>12,12 m/s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Blad5!$G$3:$G$14</c:f>
              <c:numCache>
                <c:formatCode>0.00000</c:formatCode>
                <c:ptCount val="12"/>
                <c:pt idx="0">
                  <c:v>1.7251226235525538E-2</c:v>
                </c:pt>
                <c:pt idx="1">
                  <c:v>1.7303998417341159E-2</c:v>
                </c:pt>
                <c:pt idx="2">
                  <c:v>1.7224840144617733E-2</c:v>
                </c:pt>
                <c:pt idx="3">
                  <c:v>1.7071800817352437E-2</c:v>
                </c:pt>
                <c:pt idx="4">
                  <c:v>1.6987365326447453E-2</c:v>
                </c:pt>
                <c:pt idx="5">
                  <c:v>1.7071800817352437E-2</c:v>
                </c:pt>
                <c:pt idx="6">
                  <c:v>1.7055969162807754E-2</c:v>
                </c:pt>
                <c:pt idx="7">
                  <c:v>1.7177345180983676E-2</c:v>
                </c:pt>
                <c:pt idx="8">
                  <c:v>1.7230117362799294E-2</c:v>
                </c:pt>
                <c:pt idx="9">
                  <c:v>1.724594901734398E-2</c:v>
                </c:pt>
                <c:pt idx="10">
                  <c:v>1.7346216162793655E-2</c:v>
                </c:pt>
                <c:pt idx="11">
                  <c:v>1.7362047817338338E-2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604-A9C5-A924E3FD2C7E}"/>
            </c:ext>
          </c:extLst>
        </c:ser>
        <c:ser>
          <c:idx val="1"/>
          <c:order val="1"/>
          <c:tx>
            <c:v>14,47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Blad5!$G$18:$G$29</c:f>
              <c:numCache>
                <c:formatCode>0.00000</c:formatCode>
                <c:ptCount val="12"/>
                <c:pt idx="0">
                  <c:v>1.7708166972176049E-2</c:v>
                </c:pt>
                <c:pt idx="1">
                  <c:v>1.7734083168873777E-2</c:v>
                </c:pt>
                <c:pt idx="2">
                  <c:v>1.7641525323524747E-2</c:v>
                </c:pt>
                <c:pt idx="3">
                  <c:v>1.754896747817572E-2</c:v>
                </c:pt>
                <c:pt idx="4">
                  <c:v>1.7526753595291954E-2</c:v>
                </c:pt>
                <c:pt idx="5">
                  <c:v>1.7574883674873448E-2</c:v>
                </c:pt>
                <c:pt idx="6">
                  <c:v>1.7626716068268905E-2</c:v>
                </c:pt>
                <c:pt idx="7">
                  <c:v>1.7574883674873448E-2</c:v>
                </c:pt>
                <c:pt idx="8">
                  <c:v>1.7641525323524747E-2</c:v>
                </c:pt>
                <c:pt idx="9">
                  <c:v>1.7608204499199098E-2</c:v>
                </c:pt>
                <c:pt idx="10">
                  <c:v>1.7900687290502027E-2</c:v>
                </c:pt>
                <c:pt idx="11">
                  <c:v>1.7859961838548453E-2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B-4604-A9C5-A924E3FD2C7E}"/>
            </c:ext>
          </c:extLst>
        </c:ser>
        <c:ser>
          <c:idx val="2"/>
          <c:order val="2"/>
          <c:tx>
            <c:v>16,67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Blad5!$G$33:$G$44</c:f>
              <c:numCache>
                <c:formatCode>General</c:formatCode>
                <c:ptCount val="12"/>
                <c:pt idx="0">
                  <c:v>1.7991449144271993E-2</c:v>
                </c:pt>
                <c:pt idx="1">
                  <c:v>1.8141725749653382E-2</c:v>
                </c:pt>
                <c:pt idx="2">
                  <c:v>1.8049890046364755E-2</c:v>
                </c:pt>
                <c:pt idx="3">
                  <c:v>1.8038758445966134E-2</c:v>
                </c:pt>
                <c:pt idx="4">
                  <c:v>1.8113896748656828E-2</c:v>
                </c:pt>
                <c:pt idx="5">
                  <c:v>1.8027626845567513E-2</c:v>
                </c:pt>
                <c:pt idx="6">
                  <c:v>1.8202949551845801E-2</c:v>
                </c:pt>
                <c:pt idx="7">
                  <c:v>1.7924659541880262E-2</c:v>
                </c:pt>
                <c:pt idx="8">
                  <c:v>1.7952488542876816E-2</c:v>
                </c:pt>
                <c:pt idx="9">
                  <c:v>1.7994232044371648E-2</c:v>
                </c:pt>
                <c:pt idx="10">
                  <c:v>1.795527144297647E-2</c:v>
                </c:pt>
                <c:pt idx="11">
                  <c:v>1.808328484756062E-2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B-4604-A9C5-A924E3FD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41024"/>
        <c:axId val="1508142464"/>
      </c:scatterChart>
      <c:valAx>
        <c:axId val="15081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42464"/>
        <c:crosses val="autoZero"/>
        <c:crossBetween val="midCat"/>
      </c:valAx>
      <c:valAx>
        <c:axId val="1508142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</a:t>
            </a:r>
            <a:r>
              <a:rPr lang="en-GB" baseline="0"/>
              <a:t> coefficient at constant AOA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12,12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Blad5!$H$3:$H$14</c:f>
              <c:numCache>
                <c:formatCode>General</c:formatCode>
                <c:ptCount val="12"/>
                <c:pt idx="0">
                  <c:v>-7.5464219996333813E-4</c:v>
                </c:pt>
                <c:pt idx="1">
                  <c:v>-7.5464219996333813E-4</c:v>
                </c:pt>
                <c:pt idx="2">
                  <c:v>-7.4408776360021457E-4</c:v>
                </c:pt>
                <c:pt idx="3">
                  <c:v>-6.227117454242929E-4</c:v>
                </c:pt>
                <c:pt idx="4">
                  <c:v>-7.493649817817763E-4</c:v>
                </c:pt>
                <c:pt idx="5">
                  <c:v>-5.7521678179023674E-4</c:v>
                </c:pt>
                <c:pt idx="6">
                  <c:v>-6.3326618178741656E-4</c:v>
                </c:pt>
                <c:pt idx="7">
                  <c:v>-6.4382061815054022E-4</c:v>
                </c:pt>
                <c:pt idx="8">
                  <c:v>-7.335333272370908E-4</c:v>
                </c:pt>
                <c:pt idx="9">
                  <c:v>-6.1215730906116934E-4</c:v>
                </c:pt>
                <c:pt idx="10">
                  <c:v>-7.5991941814489996E-4</c:v>
                </c:pt>
                <c:pt idx="11">
                  <c:v>-7.863055090527089E-4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2E-4997-B053-BDC866F0F51E}"/>
            </c:ext>
          </c:extLst>
        </c:ser>
        <c:ser>
          <c:idx val="1"/>
          <c:order val="1"/>
          <c:tx>
            <c:v>14,47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Blad5!$H$18:$H$29</c:f>
              <c:numCache>
                <c:formatCode>0.00000</c:formatCode>
                <c:ptCount val="12"/>
                <c:pt idx="0">
                  <c:v>-6.7382111414092437E-4</c:v>
                </c:pt>
                <c:pt idx="1">
                  <c:v>-8.2191366669936928E-4</c:v>
                </c:pt>
                <c:pt idx="2">
                  <c:v>-6.9603499702469099E-4</c:v>
                </c:pt>
                <c:pt idx="3">
                  <c:v>-7.7008127330391351E-4</c:v>
                </c:pt>
                <c:pt idx="4">
                  <c:v>-7.8489052855975803E-4</c:v>
                </c:pt>
                <c:pt idx="5">
                  <c:v>-6.9603499702469099E-4</c:v>
                </c:pt>
                <c:pt idx="6">
                  <c:v>-6.5530954507111874E-4</c:v>
                </c:pt>
                <c:pt idx="7">
                  <c:v>-6.2939334837339091E-4</c:v>
                </c:pt>
                <c:pt idx="8">
                  <c:v>-7.1084425228053563E-4</c:v>
                </c:pt>
                <c:pt idx="9">
                  <c:v>-4.8130079581494594E-4</c:v>
                </c:pt>
                <c:pt idx="10">
                  <c:v>-8.8855531535066948E-4</c:v>
                </c:pt>
                <c:pt idx="11">
                  <c:v>-7.9229515618768024E-4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E-4997-B053-BDC866F0F51E}"/>
            </c:ext>
          </c:extLst>
        </c:ser>
        <c:ser>
          <c:idx val="2"/>
          <c:order val="2"/>
          <c:tx>
            <c:v>16,69 m/s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Blad5!$H$33:$H$44</c:f>
              <c:numCache>
                <c:formatCode>General</c:formatCode>
                <c:ptCount val="12"/>
                <c:pt idx="0">
                  <c:v>-4.5639561634348131E-4</c:v>
                </c:pt>
                <c:pt idx="1">
                  <c:v>-6.0110642152556067E-4</c:v>
                </c:pt>
                <c:pt idx="2">
                  <c:v>-4.8144171724037965E-4</c:v>
                </c:pt>
                <c:pt idx="3">
                  <c:v>-5.1483651843624409E-4</c:v>
                </c:pt>
                <c:pt idx="4">
                  <c:v>-5.7884322072831768E-4</c:v>
                </c:pt>
                <c:pt idx="5">
                  <c:v>-5.037049180376227E-4</c:v>
                </c:pt>
                <c:pt idx="6">
                  <c:v>-6.0667222172487148E-4</c:v>
                </c:pt>
                <c:pt idx="7">
                  <c:v>-4.2578371524727222E-4</c:v>
                </c:pt>
                <c:pt idx="8">
                  <c:v>-4.4526401594485981E-4</c:v>
                </c:pt>
                <c:pt idx="9">
                  <c:v>-5.1483651843624409E-4</c:v>
                </c:pt>
                <c:pt idx="10">
                  <c:v>-4.953562177386565E-4</c:v>
                </c:pt>
                <c:pt idx="11">
                  <c:v>-5.120536183365888E-4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2E-4997-B053-BDC866F0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49215"/>
        <c:axId val="218548735"/>
      </c:scatterChart>
      <c:valAx>
        <c:axId val="2185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8735"/>
        <c:crossesAt val="0"/>
        <c:crossBetween val="midCat"/>
      </c:valAx>
      <c:valAx>
        <c:axId val="2185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Mc/4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</a:t>
            </a:r>
            <a:r>
              <a:rPr lang="en-GB" baseline="0"/>
              <a:t> coefficient at constant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0892388451442"/>
          <c:y val="0.17171296296296298"/>
          <c:w val="0.71778958880139987"/>
          <c:h val="0.70311826795952326"/>
        </c:manualLayout>
      </c:layout>
      <c:scatterChart>
        <c:scatterStyle val="lineMarker"/>
        <c:varyColors val="0"/>
        <c:ser>
          <c:idx val="0"/>
          <c:order val="0"/>
          <c:tx>
            <c:v>0°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Blad5!$F$3:$F$14</c:f>
              <c:numCache>
                <c:formatCode>0.000</c:formatCode>
                <c:ptCount val="12"/>
                <c:pt idx="0">
                  <c:v>0.20584158922454529</c:v>
                </c:pt>
                <c:pt idx="1">
                  <c:v>0.20761051275900483</c:v>
                </c:pt>
                <c:pt idx="2">
                  <c:v>0.21164336289335434</c:v>
                </c:pt>
                <c:pt idx="3">
                  <c:v>0.20192325472473568</c:v>
                </c:pt>
                <c:pt idx="4">
                  <c:v>0.20589436140636092</c:v>
                </c:pt>
                <c:pt idx="5">
                  <c:v>0.20432122266643735</c:v>
                </c:pt>
                <c:pt idx="6">
                  <c:v>0.20334018780648502</c:v>
                </c:pt>
                <c:pt idx="7">
                  <c:v>0.20894353807166732</c:v>
                </c:pt>
                <c:pt idx="8">
                  <c:v>0.20841739941896562</c:v>
                </c:pt>
                <c:pt idx="9">
                  <c:v>0.20969448621890358</c:v>
                </c:pt>
                <c:pt idx="10">
                  <c:v>0.21578281283497144</c:v>
                </c:pt>
                <c:pt idx="11">
                  <c:v>0.20850236263168875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5-4589-BDA3-B4119614634A}"/>
            </c:ext>
          </c:extLst>
        </c:ser>
        <c:ser>
          <c:idx val="1"/>
          <c:order val="1"/>
          <c:tx>
            <c:v>4°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Blad5!$F$48:$F$59</c:f>
              <c:numCache>
                <c:formatCode>General</c:formatCode>
                <c:ptCount val="12"/>
                <c:pt idx="0">
                  <c:v>0.5828787748680464</c:v>
                </c:pt>
                <c:pt idx="1">
                  <c:v>0.58396852042253888</c:v>
                </c:pt>
                <c:pt idx="2">
                  <c:v>0.59888721622181407</c:v>
                </c:pt>
                <c:pt idx="3">
                  <c:v>0.59096927806219879</c:v>
                </c:pt>
                <c:pt idx="4">
                  <c:v>0.58897765592047735</c:v>
                </c:pt>
                <c:pt idx="5">
                  <c:v>0.59116084108218936</c:v>
                </c:pt>
                <c:pt idx="6">
                  <c:v>0.59230177565304309</c:v>
                </c:pt>
                <c:pt idx="7">
                  <c:v>0.59359944360388905</c:v>
                </c:pt>
                <c:pt idx="8">
                  <c:v>0.58788632720053036</c:v>
                </c:pt>
                <c:pt idx="9">
                  <c:v>0.59251497526757824</c:v>
                </c:pt>
                <c:pt idx="10">
                  <c:v>0.59355722585843673</c:v>
                </c:pt>
                <c:pt idx="11">
                  <c:v>0.59279677871847358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5-4589-BDA3-B4119614634A}"/>
            </c:ext>
          </c:extLst>
        </c:ser>
        <c:ser>
          <c:idx val="2"/>
          <c:order val="2"/>
          <c:tx>
            <c:v>8°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Blad5!$F$63:$F$74</c:f>
              <c:numCache>
                <c:formatCode>General</c:formatCode>
                <c:ptCount val="12"/>
                <c:pt idx="0">
                  <c:v>0.98389563992856433</c:v>
                </c:pt>
                <c:pt idx="1">
                  <c:v>0.97651597802346823</c:v>
                </c:pt>
                <c:pt idx="2">
                  <c:v>0.98988686573009144</c:v>
                </c:pt>
                <c:pt idx="3">
                  <c:v>0.99176661084636364</c:v>
                </c:pt>
                <c:pt idx="4">
                  <c:v>0.98626827722299437</c:v>
                </c:pt>
                <c:pt idx="5">
                  <c:v>0.98145703740686452</c:v>
                </c:pt>
                <c:pt idx="6">
                  <c:v>0.97761469484886943</c:v>
                </c:pt>
                <c:pt idx="7">
                  <c:v>0.98037626312328074</c:v>
                </c:pt>
                <c:pt idx="8">
                  <c:v>0.98094461952143497</c:v>
                </c:pt>
                <c:pt idx="9">
                  <c:v>0.97402882509449806</c:v>
                </c:pt>
                <c:pt idx="10">
                  <c:v>0.98498485776123856</c:v>
                </c:pt>
                <c:pt idx="11">
                  <c:v>0.9847415780030685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5-4589-BDA3-B4119614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22288"/>
        <c:axId val="1266627088"/>
      </c:scatterChart>
      <c:valAx>
        <c:axId val="12666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27088"/>
        <c:crosses val="autoZero"/>
        <c:crossBetween val="midCat"/>
      </c:valAx>
      <c:valAx>
        <c:axId val="12666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Drag</a:t>
            </a:r>
            <a:r>
              <a:rPr lang="en-GB" baseline="0"/>
              <a:t> coefficient at constant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Blad5!$G$3:$G$14</c:f>
              <c:numCache>
                <c:formatCode>0.00000</c:formatCode>
                <c:ptCount val="12"/>
                <c:pt idx="0">
                  <c:v>1.7251226235525538E-2</c:v>
                </c:pt>
                <c:pt idx="1">
                  <c:v>1.7303998417341159E-2</c:v>
                </c:pt>
                <c:pt idx="2">
                  <c:v>1.7224840144617733E-2</c:v>
                </c:pt>
                <c:pt idx="3">
                  <c:v>1.7071800817352437E-2</c:v>
                </c:pt>
                <c:pt idx="4">
                  <c:v>1.6987365326447453E-2</c:v>
                </c:pt>
                <c:pt idx="5">
                  <c:v>1.7071800817352437E-2</c:v>
                </c:pt>
                <c:pt idx="6">
                  <c:v>1.7055969162807754E-2</c:v>
                </c:pt>
                <c:pt idx="7">
                  <c:v>1.7177345180983676E-2</c:v>
                </c:pt>
                <c:pt idx="8">
                  <c:v>1.7230117362799294E-2</c:v>
                </c:pt>
                <c:pt idx="9">
                  <c:v>1.724594901734398E-2</c:v>
                </c:pt>
                <c:pt idx="10">
                  <c:v>1.7346216162793655E-2</c:v>
                </c:pt>
                <c:pt idx="11">
                  <c:v>1.7362047817338338E-2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5-4383-963E-DC10BF742152}"/>
            </c:ext>
          </c:extLst>
        </c:ser>
        <c:ser>
          <c:idx val="1"/>
          <c:order val="1"/>
          <c:tx>
            <c:v>4°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Blad5!$G$48:$G$59</c:f>
              <c:numCache>
                <c:formatCode>General</c:formatCode>
                <c:ptCount val="12"/>
                <c:pt idx="0">
                  <c:v>3.5070281147387132E-2</c:v>
                </c:pt>
                <c:pt idx="1">
                  <c:v>3.512991371283878E-2</c:v>
                </c:pt>
                <c:pt idx="2">
                  <c:v>3.6023346750977195E-2</c:v>
                </c:pt>
                <c:pt idx="3">
                  <c:v>3.5541536731000606E-2</c:v>
                </c:pt>
                <c:pt idx="4">
                  <c:v>3.5366333087372748E-2</c:v>
                </c:pt>
                <c:pt idx="5">
                  <c:v>3.5574255483726287E-2</c:v>
                </c:pt>
                <c:pt idx="6">
                  <c:v>3.5572144596453657E-2</c:v>
                </c:pt>
                <c:pt idx="7">
                  <c:v>3.5662385027358363E-2</c:v>
                </c:pt>
                <c:pt idx="8">
                  <c:v>3.5265538220104919E-2</c:v>
                </c:pt>
                <c:pt idx="9">
                  <c:v>3.5633360327359774E-2</c:v>
                </c:pt>
                <c:pt idx="10">
                  <c:v>3.5703547329174544E-2</c:v>
                </c:pt>
                <c:pt idx="11">
                  <c:v>3.5679799847357523E-2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5-4383-963E-DC10BF742152}"/>
            </c:ext>
          </c:extLst>
        </c:ser>
        <c:ser>
          <c:idx val="2"/>
          <c:order val="2"/>
          <c:tx>
            <c:v>8°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Blad5!$G$63:$G$74</c:f>
              <c:numCache>
                <c:formatCode>General</c:formatCode>
                <c:ptCount val="12"/>
                <c:pt idx="0">
                  <c:v>0.10344455851679266</c:v>
                </c:pt>
                <c:pt idx="1">
                  <c:v>0.10259334322410674</c:v>
                </c:pt>
                <c:pt idx="2">
                  <c:v>0.1042968292531149</c:v>
                </c:pt>
                <c:pt idx="3">
                  <c:v>0.10465831869855187</c:v>
                </c:pt>
                <c:pt idx="4">
                  <c:v>0.10405091088585412</c:v>
                </c:pt>
                <c:pt idx="5">
                  <c:v>0.10324085789498438</c:v>
                </c:pt>
                <c:pt idx="6">
                  <c:v>0.10294322278954429</c:v>
                </c:pt>
                <c:pt idx="7">
                  <c:v>0.10313900758408023</c:v>
                </c:pt>
                <c:pt idx="8">
                  <c:v>0.10317489266771485</c:v>
                </c:pt>
                <c:pt idx="9">
                  <c:v>0.10234425852593702</c:v>
                </c:pt>
                <c:pt idx="10">
                  <c:v>0.10381290834586568</c:v>
                </c:pt>
                <c:pt idx="11">
                  <c:v>0.10366461851496379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5-4383-963E-DC10BF7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07760"/>
        <c:axId val="1325504880"/>
      </c:scatterChart>
      <c:valAx>
        <c:axId val="13255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04880"/>
        <c:crosses val="autoZero"/>
        <c:crossBetween val="midCat"/>
      </c:valAx>
      <c:valAx>
        <c:axId val="1325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</xdr:colOff>
      <xdr:row>10</xdr:row>
      <xdr:rowOff>12700</xdr:rowOff>
    </xdr:from>
    <xdr:to>
      <xdr:col>10</xdr:col>
      <xdr:colOff>463550</xdr:colOff>
      <xdr:row>20</xdr:row>
      <xdr:rowOff>69850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8A6B1F4-354C-6884-079D-BDA832F81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1854200"/>
          <a:ext cx="5632450" cy="189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</xdr:colOff>
      <xdr:row>1</xdr:row>
      <xdr:rowOff>5556</xdr:rowOff>
    </xdr:from>
    <xdr:to>
      <xdr:col>15</xdr:col>
      <xdr:colOff>305593</xdr:colOff>
      <xdr:row>16</xdr:row>
      <xdr:rowOff>10319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A9A66-786C-5BC2-B94B-F5E58AFE9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3969</xdr:colOff>
      <xdr:row>0</xdr:row>
      <xdr:rowOff>180181</xdr:rowOff>
    </xdr:from>
    <xdr:to>
      <xdr:col>23</xdr:col>
      <xdr:colOff>297656</xdr:colOff>
      <xdr:row>16</xdr:row>
      <xdr:rowOff>2381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2196B-88C0-9E23-699C-1CA5820E5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583405</xdr:colOff>
      <xdr:row>16</xdr:row>
      <xdr:rowOff>37306</xdr:rowOff>
    </xdr:from>
    <xdr:to>
      <xdr:col>15</xdr:col>
      <xdr:colOff>265905</xdr:colOff>
      <xdr:row>31</xdr:row>
      <xdr:rowOff>42068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B9E184-655D-388B-F585-530A7B34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19843</xdr:colOff>
      <xdr:row>16</xdr:row>
      <xdr:rowOff>5556</xdr:rowOff>
    </xdr:from>
    <xdr:to>
      <xdr:col>23</xdr:col>
      <xdr:colOff>313530</xdr:colOff>
      <xdr:row>31</xdr:row>
      <xdr:rowOff>10318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D9FAD2-17D0-E4AE-630B-4D4A715B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188912</xdr:rowOff>
    </xdr:from>
    <xdr:to>
      <xdr:col>24</xdr:col>
      <xdr:colOff>257175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440BD-2304-4048-1AF5-0938C0A7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7937</xdr:rowOff>
    </xdr:from>
    <xdr:to>
      <xdr:col>24</xdr:col>
      <xdr:colOff>257175</xdr:colOff>
      <xdr:row>31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6DE87-B1C0-0635-CBEA-B6FD1BCA5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31</xdr:row>
      <xdr:rowOff>42862</xdr:rowOff>
    </xdr:from>
    <xdr:to>
      <xdr:col>24</xdr:col>
      <xdr:colOff>247651</xdr:colOff>
      <xdr:row>44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12D2C-CE4D-5EB0-0636-2E917C41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271462</xdr:colOff>
      <xdr:row>1</xdr:row>
      <xdr:rowOff>23812</xdr:rowOff>
    </xdr:from>
    <xdr:to>
      <xdr:col>31</xdr:col>
      <xdr:colOff>542926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32351-08F0-EFB7-7F95-2908C1A58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257175</xdr:colOff>
      <xdr:row>16</xdr:row>
      <xdr:rowOff>14286</xdr:rowOff>
    </xdr:from>
    <xdr:to>
      <xdr:col>31</xdr:col>
      <xdr:colOff>542925</xdr:colOff>
      <xdr:row>31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1D34B-2662-01BF-DD30-5558C7CEA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247650</xdr:colOff>
      <xdr:row>31</xdr:row>
      <xdr:rowOff>33337</xdr:rowOff>
    </xdr:from>
    <xdr:to>
      <xdr:col>31</xdr:col>
      <xdr:colOff>542925</xdr:colOff>
      <xdr:row>44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9FD9C9-92E4-A70D-07EC-3379320AE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54</xdr:row>
      <xdr:rowOff>157162</xdr:rowOff>
    </xdr:from>
    <xdr:to>
      <xdr:col>20</xdr:col>
      <xdr:colOff>457200</xdr:colOff>
      <xdr:row>69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A526E-653C-1737-7D0A-9FD1B515B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133350</xdr:colOff>
      <xdr:row>70</xdr:row>
      <xdr:rowOff>128587</xdr:rowOff>
    </xdr:from>
    <xdr:to>
      <xdr:col>20</xdr:col>
      <xdr:colOff>438150</xdr:colOff>
      <xdr:row>85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EC3E45-B32B-879F-BF8B-C5EB2BE0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295275</xdr:colOff>
      <xdr:row>54</xdr:row>
      <xdr:rowOff>147637</xdr:rowOff>
    </xdr:from>
    <xdr:to>
      <xdr:col>28</xdr:col>
      <xdr:colOff>600075</xdr:colOff>
      <xdr:row>69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2E3A5E-BC8F-7F70-4488-478A2CB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searchgate.net/figure/CL-Cd-and-CL-Cd-for-NACA-2412-airfoil-with-and-without-dimples_tbl2_3385305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opLeftCell="D1" workbookViewId="0">
      <selection activeCell="L2" sqref="L2"/>
    </sheetView>
  </sheetViews>
  <sheetFormatPr defaultRowHeight="15" x14ac:dyDescent="0.25"/>
  <cols>
    <col min="2" max="2" width="20" bestFit="1" customWidth="1"/>
    <col min="7" max="7" width="21.28515625" customWidth="1"/>
    <col min="8" max="10" width="14.85546875" bestFit="1" customWidth="1"/>
    <col min="11" max="11" width="13.42578125" bestFit="1" customWidth="1"/>
    <col min="12" max="12" width="13.5703125" bestFit="1" customWidth="1"/>
    <col min="13" max="13" width="11.85546875" bestFit="1" customWidth="1"/>
    <col min="14" max="14" width="13.85546875" bestFit="1" customWidth="1"/>
    <col min="15" max="15" width="12.140625" bestFit="1" customWidth="1"/>
    <col min="16" max="16" width="17.5703125" bestFit="1" customWidth="1"/>
    <col min="18" max="18" width="11.42578125" bestFit="1" customWidth="1"/>
  </cols>
  <sheetData>
    <row r="1" spans="1:19" x14ac:dyDescent="0.25">
      <c r="A1" t="s">
        <v>0</v>
      </c>
      <c r="B1" t="s">
        <v>1</v>
      </c>
      <c r="C1">
        <v>10</v>
      </c>
      <c r="E1" s="1"/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"/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</row>
    <row r="2" spans="1:19" x14ac:dyDescent="0.25">
      <c r="B2" t="s">
        <v>12</v>
      </c>
      <c r="C2">
        <v>20</v>
      </c>
      <c r="E2" s="2" t="s">
        <v>13</v>
      </c>
      <c r="F2" s="10">
        <v>0</v>
      </c>
      <c r="G2" s="15">
        <f>0.5*C3*C1*C1*C4*C5</f>
        <v>0.42241049999999997</v>
      </c>
      <c r="H2" s="15">
        <f>G2/9.81</f>
        <v>4.3059174311926601E-2</v>
      </c>
      <c r="I2" s="15">
        <f>0.5*C3*C1*C1*C4*C7</f>
        <v>3.4829999999999993E-2</v>
      </c>
      <c r="J2" s="15">
        <f>I2/9.81</f>
        <v>3.5504587155963294E-3</v>
      </c>
      <c r="L2" s="13">
        <f>G2*COS((F2*PI())/180)+I2*SIN((F2*PI())/180)</f>
        <v>0.42241049999999997</v>
      </c>
      <c r="M2" s="13">
        <f>L2/9.81</f>
        <v>4.3059174311926601E-2</v>
      </c>
      <c r="N2" s="13">
        <f>-G2*SIN((F2*PI())/180)+I2*COS((F2*PI())/180)</f>
        <v>3.4829999999999993E-2</v>
      </c>
      <c r="O2" s="13">
        <f>N2/9.81</f>
        <v>3.5504587155963294E-3</v>
      </c>
      <c r="P2" s="8">
        <f>SQRT((L2*L2)+(N2*N2))</f>
        <v>0.42384402722021453</v>
      </c>
    </row>
    <row r="3" spans="1:19" x14ac:dyDescent="0.25">
      <c r="B3" t="s">
        <v>14</v>
      </c>
      <c r="C3">
        <v>1.29</v>
      </c>
      <c r="E3" s="3"/>
      <c r="F3" s="5">
        <v>12</v>
      </c>
      <c r="G3" s="16">
        <f>0.5*C3*C1*C1*C4*C6</f>
        <v>2.4673184999999997</v>
      </c>
      <c r="H3" s="16">
        <f t="shared" ref="H3:H5" si="0">G3/9.81</f>
        <v>0.25151055045871556</v>
      </c>
      <c r="I3" s="16">
        <f>0.5*C3*C1*C1*C4*C8</f>
        <v>0.22571774999999999</v>
      </c>
      <c r="J3" s="16">
        <f t="shared" ref="J3:J5" si="1">I3/9.81</f>
        <v>2.3008944954128439E-2</v>
      </c>
      <c r="L3" s="14">
        <f t="shared" ref="L3:L5" si="2">G3*COS((F3*PI())/180)+I3*SIN((F3*PI())/180)</f>
        <v>2.4603310300712122</v>
      </c>
      <c r="M3" s="14">
        <f t="shared" ref="M3:M5" si="3">L3/9.81</f>
        <v>0.25079827013977696</v>
      </c>
      <c r="N3" s="14">
        <f t="shared" ref="N3:N5" si="4">-G3*SIN((F3*PI())/180)+I3*COS((F3*PI())/180)</f>
        <v>-0.29219908551540463</v>
      </c>
      <c r="O3" s="14">
        <f t="shared" ref="O3:O5" si="5">N3/9.81</f>
        <v>-2.978583950207998E-2</v>
      </c>
      <c r="P3" s="9">
        <f t="shared" ref="P3:P5" si="6">SQRT((L3*L3)+(N3*N3))</f>
        <v>2.4776216585885971</v>
      </c>
    </row>
    <row r="4" spans="1:19" x14ac:dyDescent="0.25">
      <c r="B4" t="s">
        <v>15</v>
      </c>
      <c r="C4">
        <f>0.3*0.1</f>
        <v>0.03</v>
      </c>
      <c r="E4" s="4" t="s">
        <v>16</v>
      </c>
      <c r="F4" s="6">
        <v>0</v>
      </c>
      <c r="G4" s="17">
        <f>0.5*C3*C2*C2*C4*C5</f>
        <v>1.6896419999999999</v>
      </c>
      <c r="H4" s="17">
        <f t="shared" si="0"/>
        <v>0.17223669724770641</v>
      </c>
      <c r="I4" s="17">
        <f>0.5*C3*C2*C2*C4*C7</f>
        <v>0.13931999999999997</v>
      </c>
      <c r="J4" s="17">
        <f t="shared" si="1"/>
        <v>1.4201834862385318E-2</v>
      </c>
      <c r="L4" s="13">
        <f t="shared" si="2"/>
        <v>1.6896419999999999</v>
      </c>
      <c r="M4" s="13">
        <f t="shared" si="3"/>
        <v>0.17223669724770641</v>
      </c>
      <c r="N4" s="13">
        <f t="shared" si="4"/>
        <v>0.13931999999999997</v>
      </c>
      <c r="O4" s="13">
        <f t="shared" si="5"/>
        <v>1.4201834862385318E-2</v>
      </c>
      <c r="P4" s="8">
        <f t="shared" si="6"/>
        <v>1.6953761088808581</v>
      </c>
    </row>
    <row r="5" spans="1:19" x14ac:dyDescent="0.25">
      <c r="B5" t="s">
        <v>17</v>
      </c>
      <c r="C5">
        <v>0.21829999999999999</v>
      </c>
      <c r="E5" s="3"/>
      <c r="F5" s="5">
        <v>12</v>
      </c>
      <c r="G5" s="18">
        <f>0.5*C3*C2*C2*C4*C6</f>
        <v>9.869273999999999</v>
      </c>
      <c r="H5" s="18">
        <f t="shared" si="0"/>
        <v>1.0060422018348623</v>
      </c>
      <c r="I5" s="18">
        <f>0.5*C3*C2*C2*C4*C8</f>
        <v>0.90287099999999998</v>
      </c>
      <c r="J5" s="18">
        <f t="shared" si="1"/>
        <v>9.2035779816513758E-2</v>
      </c>
      <c r="L5" s="14">
        <f t="shared" si="2"/>
        <v>9.8413241202848489</v>
      </c>
      <c r="M5" s="14">
        <f t="shared" si="3"/>
        <v>1.0031930805591078</v>
      </c>
      <c r="N5" s="14">
        <f t="shared" si="4"/>
        <v>-1.1687963420616185</v>
      </c>
      <c r="O5" s="14">
        <f t="shared" si="5"/>
        <v>-0.11914335800831992</v>
      </c>
      <c r="P5" s="9">
        <f t="shared" si="6"/>
        <v>9.9104866343543883</v>
      </c>
    </row>
    <row r="6" spans="1:19" x14ac:dyDescent="0.25">
      <c r="B6" t="s">
        <v>18</v>
      </c>
      <c r="C6">
        <v>1.2750999999999999</v>
      </c>
    </row>
    <row r="7" spans="1:19" x14ac:dyDescent="0.25">
      <c r="B7" t="s">
        <v>19</v>
      </c>
      <c r="C7">
        <v>1.7999999999999999E-2</v>
      </c>
    </row>
    <row r="8" spans="1:19" x14ac:dyDescent="0.25">
      <c r="B8" t="s">
        <v>20</v>
      </c>
      <c r="C8">
        <v>0.11665</v>
      </c>
      <c r="L8" t="s">
        <v>21</v>
      </c>
      <c r="M8">
        <f>L2/C4</f>
        <v>14.080349999999999</v>
      </c>
      <c r="P8" t="s">
        <v>22</v>
      </c>
      <c r="Q8">
        <f>0.0127*0.08</f>
        <v>1.016E-3</v>
      </c>
    </row>
    <row r="9" spans="1:19" x14ac:dyDescent="0.25">
      <c r="L9" t="s">
        <v>23</v>
      </c>
      <c r="M9">
        <f>M8*10^-6</f>
        <v>1.4080349999999998E-5</v>
      </c>
      <c r="P9" t="s">
        <v>24</v>
      </c>
      <c r="Q9">
        <v>1.339</v>
      </c>
      <c r="R9" t="s">
        <v>25</v>
      </c>
      <c r="S9">
        <f>Q9*Q8</f>
        <v>1.3604239999999998E-3</v>
      </c>
    </row>
    <row r="10" spans="1:19" x14ac:dyDescent="0.25">
      <c r="B10" t="s">
        <v>26</v>
      </c>
      <c r="P10" t="s">
        <v>27</v>
      </c>
      <c r="Q10">
        <v>2.6480000000000001</v>
      </c>
      <c r="R10" t="s">
        <v>28</v>
      </c>
      <c r="S10">
        <f>Q10*Q8</f>
        <v>2.6903680000000003E-3</v>
      </c>
    </row>
    <row r="11" spans="1:19" x14ac:dyDescent="0.25">
      <c r="B11" t="s">
        <v>29</v>
      </c>
      <c r="R11" t="s">
        <v>30</v>
      </c>
      <c r="S11">
        <f>S10+S9</f>
        <v>4.0507920000000001E-3</v>
      </c>
    </row>
    <row r="17" spans="2:2" x14ac:dyDescent="0.25">
      <c r="B17" s="12" t="s">
        <v>31</v>
      </c>
    </row>
  </sheetData>
  <hyperlinks>
    <hyperlink ref="B17" r:id="rId1" xr:uid="{640AA525-CF71-4D40-8288-E25AA2F1A1FF}"/>
  </hyperlinks>
  <pageMargins left="0.7" right="0.7" top="0.75" bottom="0.75" header="0.3" footer="0.3"/>
  <ignoredErrors>
    <ignoredError sqref="I2:I5 N2:N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5A673-B9A0-4961-A7C4-2FD5B0C08524}">
  <dimension ref="A1:K13"/>
  <sheetViews>
    <sheetView workbookViewId="0">
      <selection activeCell="F9" sqref="F9:F10"/>
    </sheetView>
  </sheetViews>
  <sheetFormatPr defaultRowHeight="15" x14ac:dyDescent="0.25"/>
  <cols>
    <col min="1" max="1" width="24.28515625" bestFit="1" customWidth="1"/>
    <col min="8" max="8" width="12.85546875" bestFit="1" customWidth="1"/>
  </cols>
  <sheetData>
    <row r="1" spans="1:11" x14ac:dyDescent="0.25">
      <c r="A1" t="s">
        <v>32</v>
      </c>
      <c r="D1" t="s">
        <v>33</v>
      </c>
      <c r="E1">
        <v>238.46</v>
      </c>
    </row>
    <row r="2" spans="1:11" x14ac:dyDescent="0.25">
      <c r="A2" t="s">
        <v>34</v>
      </c>
      <c r="B2">
        <v>-2005.4</v>
      </c>
      <c r="D2" t="s">
        <v>35</v>
      </c>
      <c r="E2">
        <v>579.1</v>
      </c>
    </row>
    <row r="3" spans="1:11" x14ac:dyDescent="0.25">
      <c r="A3" t="s">
        <v>36</v>
      </c>
      <c r="B3">
        <v>-387</v>
      </c>
    </row>
    <row r="4" spans="1:11" x14ac:dyDescent="0.25">
      <c r="A4" t="s">
        <v>37</v>
      </c>
      <c r="B4">
        <v>-404</v>
      </c>
    </row>
    <row r="7" spans="1:11" x14ac:dyDescent="0.25">
      <c r="A7" t="s">
        <v>38</v>
      </c>
    </row>
    <row r="8" spans="1:11" x14ac:dyDescent="0.25">
      <c r="A8" t="s">
        <v>39</v>
      </c>
      <c r="B8">
        <v>196.5</v>
      </c>
      <c r="F8">
        <f>5/10</f>
        <v>0.5</v>
      </c>
    </row>
    <row r="9" spans="1:11" x14ac:dyDescent="0.25">
      <c r="A9" t="s">
        <v>40</v>
      </c>
      <c r="B9">
        <v>201.71</v>
      </c>
      <c r="C9">
        <f>((B9/B8)-1)*100</f>
        <v>2.6513994910941419</v>
      </c>
      <c r="D9">
        <f>C9/1000*100</f>
        <v>0.26513994910941419</v>
      </c>
      <c r="E9">
        <f>(B9/B8-1)*100</f>
        <v>2.6513994910941419</v>
      </c>
      <c r="F9">
        <f>100-E9</f>
        <v>97.348600508905861</v>
      </c>
      <c r="H9" t="s">
        <v>41</v>
      </c>
      <c r="I9">
        <v>196.6</v>
      </c>
      <c r="J9">
        <f>I9-B8</f>
        <v>9.9999999999994316E-2</v>
      </c>
      <c r="K9">
        <f>J9/1000*100</f>
        <v>9.9999999999994312E-3</v>
      </c>
    </row>
    <row r="10" spans="1:11" x14ac:dyDescent="0.25">
      <c r="A10" t="s">
        <v>42</v>
      </c>
      <c r="B10">
        <v>197.94</v>
      </c>
      <c r="C10">
        <f>((B10/B8)-1)*100</f>
        <v>0.73282442748090482</v>
      </c>
      <c r="D10">
        <f>C10/5000*100</f>
        <v>1.4656488549618095E-2</v>
      </c>
      <c r="E10">
        <f>(B10/B8-1)*100</f>
        <v>0.73282442748090482</v>
      </c>
      <c r="F10">
        <f>100-E10</f>
        <v>99.267175572519093</v>
      </c>
      <c r="H10" t="s">
        <v>43</v>
      </c>
      <c r="I10">
        <v>196.9</v>
      </c>
      <c r="J10">
        <f>I10-B8</f>
        <v>0.40000000000000568</v>
      </c>
      <c r="K10">
        <f>J10/5000*100</f>
        <v>8.0000000000001129E-3</v>
      </c>
    </row>
    <row r="12" spans="1:11" x14ac:dyDescent="0.25">
      <c r="A12" t="s">
        <v>44</v>
      </c>
      <c r="B12">
        <v>13.4</v>
      </c>
    </row>
    <row r="13" spans="1:11" x14ac:dyDescent="0.25">
      <c r="A13" t="s">
        <v>45</v>
      </c>
      <c r="B13">
        <v>12.2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C362-D1FF-46C2-ADDC-A724049A131A}">
  <dimension ref="A1:Q35"/>
  <sheetViews>
    <sheetView topLeftCell="A9" workbookViewId="0">
      <selection activeCell="K20" sqref="K20"/>
    </sheetView>
  </sheetViews>
  <sheetFormatPr defaultRowHeight="15" x14ac:dyDescent="0.25"/>
  <cols>
    <col min="1" max="1" width="20.140625" bestFit="1" customWidth="1"/>
    <col min="2" max="2" width="17.140625" bestFit="1" customWidth="1"/>
    <col min="3" max="3" width="14.5703125" bestFit="1" customWidth="1"/>
    <col min="4" max="4" width="9.7109375" bestFit="1" customWidth="1"/>
    <col min="5" max="5" width="10" bestFit="1" customWidth="1"/>
    <col min="6" max="6" width="12" bestFit="1" customWidth="1"/>
    <col min="8" max="9" width="9.28515625" bestFit="1" customWidth="1"/>
    <col min="14" max="15" width="9.28515625" bestFit="1" customWidth="1"/>
  </cols>
  <sheetData>
    <row r="1" spans="1:17" x14ac:dyDescent="0.25">
      <c r="A1" t="s">
        <v>46</v>
      </c>
      <c r="F1" t="s">
        <v>47</v>
      </c>
      <c r="G1">
        <f>5000*0.0005</f>
        <v>2.5</v>
      </c>
    </row>
    <row r="2" spans="1:17" x14ac:dyDescent="0.25">
      <c r="A2" t="s">
        <v>48</v>
      </c>
      <c r="B2">
        <v>49.8</v>
      </c>
      <c r="C2" t="s">
        <v>49</v>
      </c>
      <c r="F2" t="s">
        <v>50</v>
      </c>
      <c r="G2">
        <f>1000*0.0005</f>
        <v>0.5</v>
      </c>
    </row>
    <row r="3" spans="1:17" x14ac:dyDescent="0.25">
      <c r="A3" t="s">
        <v>51</v>
      </c>
      <c r="B3">
        <v>24.9</v>
      </c>
      <c r="C3" t="s">
        <v>49</v>
      </c>
    </row>
    <row r="4" spans="1:17" x14ac:dyDescent="0.25">
      <c r="A4" s="30" t="s">
        <v>52</v>
      </c>
      <c r="B4" s="30"/>
      <c r="C4" s="30"/>
      <c r="D4" s="30"/>
      <c r="E4" s="30"/>
      <c r="G4" s="30" t="s">
        <v>53</v>
      </c>
      <c r="H4" s="30"/>
      <c r="I4" s="30"/>
      <c r="J4" s="30"/>
      <c r="K4" s="30"/>
      <c r="M4" s="30" t="s">
        <v>54</v>
      </c>
      <c r="N4" s="30"/>
      <c r="O4" s="30"/>
      <c r="P4" s="30"/>
      <c r="Q4" s="30"/>
    </row>
    <row r="5" spans="1:17" x14ac:dyDescent="0.25">
      <c r="B5" t="s">
        <v>55</v>
      </c>
      <c r="C5" t="s">
        <v>56</v>
      </c>
      <c r="D5" t="s">
        <v>57</v>
      </c>
      <c r="E5" t="s">
        <v>58</v>
      </c>
      <c r="H5" t="s">
        <v>55</v>
      </c>
      <c r="I5" t="s">
        <v>56</v>
      </c>
      <c r="J5" t="s">
        <v>57</v>
      </c>
      <c r="K5" t="s">
        <v>58</v>
      </c>
      <c r="N5" t="s">
        <v>55</v>
      </c>
      <c r="O5" t="s">
        <v>56</v>
      </c>
      <c r="P5" t="s">
        <v>57</v>
      </c>
      <c r="Q5" t="s">
        <v>58</v>
      </c>
    </row>
    <row r="6" spans="1:17" x14ac:dyDescent="0.25">
      <c r="A6" t="s">
        <v>59</v>
      </c>
      <c r="B6">
        <v>23.6</v>
      </c>
      <c r="C6">
        <v>24.3</v>
      </c>
      <c r="D6">
        <v>117</v>
      </c>
      <c r="E6">
        <v>1080</v>
      </c>
      <c r="G6" t="s">
        <v>59</v>
      </c>
      <c r="H6">
        <v>22.7</v>
      </c>
      <c r="I6">
        <v>22.6</v>
      </c>
      <c r="J6">
        <v>155</v>
      </c>
      <c r="K6">
        <v>200</v>
      </c>
      <c r="M6" t="s">
        <v>59</v>
      </c>
      <c r="N6">
        <v>9.5</v>
      </c>
      <c r="O6">
        <v>37.299999999999997</v>
      </c>
      <c r="P6">
        <v>380</v>
      </c>
      <c r="Q6">
        <v>120</v>
      </c>
    </row>
    <row r="7" spans="1:17" x14ac:dyDescent="0.25">
      <c r="A7" t="s">
        <v>60</v>
      </c>
      <c r="B7">
        <v>23.8</v>
      </c>
      <c r="C7">
        <v>24.5</v>
      </c>
      <c r="G7" t="s">
        <v>60</v>
      </c>
      <c r="H7">
        <v>26.5</v>
      </c>
      <c r="I7">
        <v>24.5</v>
      </c>
      <c r="M7" t="s">
        <v>60</v>
      </c>
      <c r="N7">
        <v>10.3</v>
      </c>
      <c r="O7">
        <v>38.799999999999997</v>
      </c>
    </row>
    <row r="8" spans="1:17" x14ac:dyDescent="0.25">
      <c r="A8" t="s">
        <v>61</v>
      </c>
      <c r="B8">
        <v>23</v>
      </c>
      <c r="C8">
        <v>24.6</v>
      </c>
      <c r="G8" t="s">
        <v>61</v>
      </c>
      <c r="H8">
        <v>23.9</v>
      </c>
      <c r="I8">
        <v>26.7</v>
      </c>
      <c r="M8" t="s">
        <v>61</v>
      </c>
      <c r="N8">
        <v>9.3000000000000007</v>
      </c>
      <c r="O8">
        <v>40.799999999999997</v>
      </c>
    </row>
    <row r="9" spans="1:17" x14ac:dyDescent="0.25">
      <c r="A9" t="s">
        <v>62</v>
      </c>
      <c r="B9">
        <v>24.5</v>
      </c>
      <c r="C9">
        <v>24.4</v>
      </c>
      <c r="G9" t="s">
        <v>62</v>
      </c>
      <c r="H9">
        <v>22.2</v>
      </c>
      <c r="I9">
        <v>23.5</v>
      </c>
      <c r="M9" t="s">
        <v>62</v>
      </c>
      <c r="N9">
        <v>9.6</v>
      </c>
      <c r="O9">
        <v>39.799999999999997</v>
      </c>
    </row>
    <row r="10" spans="1:17" x14ac:dyDescent="0.25">
      <c r="A10" t="s">
        <v>63</v>
      </c>
      <c r="B10">
        <v>24.3</v>
      </c>
      <c r="C10">
        <v>26.1</v>
      </c>
      <c r="G10" t="s">
        <v>63</v>
      </c>
      <c r="H10">
        <v>23.6</v>
      </c>
      <c r="I10">
        <v>24.9</v>
      </c>
      <c r="M10" t="s">
        <v>63</v>
      </c>
      <c r="N10">
        <v>11.6</v>
      </c>
      <c r="O10">
        <v>40.299999999999997</v>
      </c>
    </row>
    <row r="11" spans="1:17" x14ac:dyDescent="0.25">
      <c r="A11" t="s">
        <v>64</v>
      </c>
      <c r="B11" s="23">
        <v>25.9</v>
      </c>
      <c r="C11">
        <v>26.3</v>
      </c>
      <c r="G11" t="s">
        <v>64</v>
      </c>
      <c r="H11">
        <v>21.8</v>
      </c>
      <c r="I11">
        <v>25.5</v>
      </c>
      <c r="M11" t="s">
        <v>64</v>
      </c>
      <c r="N11">
        <v>9.4</v>
      </c>
      <c r="O11">
        <v>38.6</v>
      </c>
    </row>
    <row r="12" spans="1:17" x14ac:dyDescent="0.25">
      <c r="A12" t="s">
        <v>65</v>
      </c>
      <c r="B12" s="23">
        <v>23.9</v>
      </c>
      <c r="C12">
        <v>23.4</v>
      </c>
      <c r="G12" t="s">
        <v>65</v>
      </c>
      <c r="H12">
        <v>24.3</v>
      </c>
      <c r="I12">
        <v>22.6</v>
      </c>
      <c r="M12" t="s">
        <v>65</v>
      </c>
      <c r="N12">
        <v>11</v>
      </c>
      <c r="O12">
        <v>39.799999999999997</v>
      </c>
    </row>
    <row r="13" spans="1:17" x14ac:dyDescent="0.25">
      <c r="A13" t="s">
        <v>66</v>
      </c>
      <c r="B13" s="23">
        <v>24.1</v>
      </c>
      <c r="C13">
        <v>25.8</v>
      </c>
      <c r="G13" t="s">
        <v>66</v>
      </c>
      <c r="H13">
        <v>23.7</v>
      </c>
      <c r="I13">
        <v>24.1</v>
      </c>
      <c r="M13" t="s">
        <v>66</v>
      </c>
      <c r="N13">
        <v>10.5</v>
      </c>
      <c r="O13">
        <v>41.4</v>
      </c>
    </row>
    <row r="14" spans="1:17" x14ac:dyDescent="0.25">
      <c r="A14" t="s">
        <v>67</v>
      </c>
      <c r="B14" s="23">
        <v>21.2</v>
      </c>
      <c r="C14">
        <v>23.1</v>
      </c>
      <c r="G14" t="s">
        <v>67</v>
      </c>
      <c r="H14">
        <v>27</v>
      </c>
      <c r="I14">
        <v>25.4</v>
      </c>
      <c r="M14" t="s">
        <v>67</v>
      </c>
      <c r="N14">
        <v>10.6</v>
      </c>
      <c r="O14">
        <v>38.9</v>
      </c>
    </row>
    <row r="15" spans="1:17" x14ac:dyDescent="0.25">
      <c r="A15" t="s">
        <v>68</v>
      </c>
      <c r="B15" s="23">
        <v>26.2</v>
      </c>
      <c r="C15">
        <v>26.8</v>
      </c>
      <c r="G15" t="s">
        <v>68</v>
      </c>
      <c r="H15">
        <v>21.3</v>
      </c>
      <c r="I15">
        <v>22.7</v>
      </c>
      <c r="M15" t="s">
        <v>68</v>
      </c>
      <c r="N15">
        <v>10.4</v>
      </c>
      <c r="O15">
        <v>38.299999999999997</v>
      </c>
    </row>
    <row r="16" spans="1:17" x14ac:dyDescent="0.25">
      <c r="A16" t="s">
        <v>69</v>
      </c>
      <c r="B16">
        <v>22.8</v>
      </c>
      <c r="C16">
        <v>24.8</v>
      </c>
      <c r="G16" t="s">
        <v>69</v>
      </c>
      <c r="H16">
        <v>22</v>
      </c>
      <c r="I16">
        <v>25.3</v>
      </c>
      <c r="M16" t="s">
        <v>69</v>
      </c>
      <c r="N16">
        <v>9.4</v>
      </c>
      <c r="O16">
        <v>40.9</v>
      </c>
    </row>
    <row r="17" spans="1:17" x14ac:dyDescent="0.25">
      <c r="A17" t="s">
        <v>70</v>
      </c>
      <c r="B17">
        <v>22.8</v>
      </c>
      <c r="C17">
        <v>23.1</v>
      </c>
      <c r="G17" t="s">
        <v>70</v>
      </c>
      <c r="H17">
        <v>23.1</v>
      </c>
      <c r="I17">
        <v>25.5</v>
      </c>
      <c r="M17" t="s">
        <v>70</v>
      </c>
      <c r="N17">
        <v>9.9</v>
      </c>
      <c r="O17">
        <v>39.299999999999997</v>
      </c>
    </row>
    <row r="18" spans="1:17" x14ac:dyDescent="0.25">
      <c r="A18" t="s">
        <v>71</v>
      </c>
      <c r="B18">
        <v>23</v>
      </c>
      <c r="C18">
        <v>23.5</v>
      </c>
      <c r="G18" t="s">
        <v>71</v>
      </c>
      <c r="H18">
        <v>21.4</v>
      </c>
      <c r="I18">
        <v>21.6</v>
      </c>
      <c r="M18" t="s">
        <v>71</v>
      </c>
      <c r="N18">
        <v>9.5</v>
      </c>
      <c r="O18">
        <v>40</v>
      </c>
    </row>
    <row r="19" spans="1:17" x14ac:dyDescent="0.25">
      <c r="A19" t="s">
        <v>72</v>
      </c>
      <c r="B19">
        <v>23.5</v>
      </c>
      <c r="C19">
        <v>23.2</v>
      </c>
      <c r="G19" t="s">
        <v>72</v>
      </c>
      <c r="H19">
        <v>22.7</v>
      </c>
      <c r="I19">
        <v>24.7</v>
      </c>
      <c r="M19" t="s">
        <v>72</v>
      </c>
      <c r="N19">
        <v>8.3000000000000007</v>
      </c>
      <c r="O19">
        <v>40.200000000000003</v>
      </c>
    </row>
    <row r="20" spans="1:17" x14ac:dyDescent="0.25">
      <c r="A20" t="s">
        <v>73</v>
      </c>
      <c r="B20">
        <v>23.1</v>
      </c>
      <c r="C20">
        <v>25.5</v>
      </c>
      <c r="G20" t="s">
        <v>73</v>
      </c>
      <c r="H20">
        <v>22.6</v>
      </c>
      <c r="I20">
        <v>22.7</v>
      </c>
      <c r="M20" t="s">
        <v>73</v>
      </c>
      <c r="N20">
        <v>10.6</v>
      </c>
      <c r="O20">
        <v>37.5</v>
      </c>
    </row>
    <row r="21" spans="1:17" x14ac:dyDescent="0.25">
      <c r="A21" t="s">
        <v>74</v>
      </c>
      <c r="B21">
        <v>24.6</v>
      </c>
      <c r="C21">
        <v>23.5</v>
      </c>
      <c r="G21" t="s">
        <v>74</v>
      </c>
      <c r="H21">
        <v>21.8</v>
      </c>
      <c r="I21">
        <v>21.9</v>
      </c>
      <c r="M21" t="s">
        <v>74</v>
      </c>
      <c r="N21">
        <v>10.199999999999999</v>
      </c>
      <c r="O21">
        <v>36.9</v>
      </c>
    </row>
    <row r="22" spans="1:17" x14ac:dyDescent="0.25">
      <c r="A22" t="s">
        <v>75</v>
      </c>
      <c r="B22">
        <v>23.3</v>
      </c>
      <c r="C22">
        <v>25.4</v>
      </c>
      <c r="G22" t="s">
        <v>75</v>
      </c>
      <c r="H22">
        <v>25.3</v>
      </c>
      <c r="I22">
        <v>24.5</v>
      </c>
      <c r="M22" t="s">
        <v>75</v>
      </c>
      <c r="N22">
        <v>9.5</v>
      </c>
      <c r="O22">
        <v>41.6</v>
      </c>
    </row>
    <row r="23" spans="1:17" x14ac:dyDescent="0.25">
      <c r="A23" t="s">
        <v>76</v>
      </c>
      <c r="B23">
        <v>22</v>
      </c>
      <c r="C23">
        <v>22.8</v>
      </c>
      <c r="G23" t="s">
        <v>76</v>
      </c>
      <c r="H23">
        <v>24.7</v>
      </c>
      <c r="I23">
        <v>24.3</v>
      </c>
      <c r="M23" t="s">
        <v>76</v>
      </c>
      <c r="N23">
        <v>8.6999999999999993</v>
      </c>
      <c r="O23">
        <v>39.799999999999997</v>
      </c>
    </row>
    <row r="24" spans="1:17" x14ac:dyDescent="0.25">
      <c r="A24" t="s">
        <v>77</v>
      </c>
      <c r="B24">
        <v>23.5</v>
      </c>
      <c r="C24">
        <v>25.7</v>
      </c>
      <c r="G24" t="s">
        <v>77</v>
      </c>
      <c r="H24">
        <v>23</v>
      </c>
      <c r="I24">
        <v>22.2</v>
      </c>
      <c r="M24" t="s">
        <v>77</v>
      </c>
      <c r="N24">
        <v>9.8000000000000007</v>
      </c>
      <c r="O24">
        <v>40.799999999999997</v>
      </c>
    </row>
    <row r="25" spans="1:17" x14ac:dyDescent="0.25">
      <c r="A25" t="s">
        <v>78</v>
      </c>
      <c r="B25">
        <v>23.6</v>
      </c>
      <c r="C25">
        <v>23.8</v>
      </c>
      <c r="G25" t="s">
        <v>78</v>
      </c>
      <c r="H25">
        <v>24</v>
      </c>
      <c r="I25">
        <v>23.9</v>
      </c>
      <c r="M25" t="s">
        <v>78</v>
      </c>
      <c r="N25">
        <v>8.6999999999999993</v>
      </c>
      <c r="O25">
        <v>41</v>
      </c>
    </row>
    <row r="26" spans="1:17" x14ac:dyDescent="0.25">
      <c r="A26" s="19" t="s">
        <v>79</v>
      </c>
      <c r="B26" s="24">
        <f>AVERAGE(B6:B25)</f>
        <v>23.635000000000002</v>
      </c>
      <c r="C26" s="24">
        <f>AVERAGE(C6:C25)</f>
        <v>24.53</v>
      </c>
      <c r="D26" s="24"/>
      <c r="E26" s="24"/>
      <c r="F26" s="24"/>
      <c r="G26" s="24"/>
      <c r="H26" s="24">
        <f t="shared" ref="H26:O26" si="0">AVERAGE(H6:H25)</f>
        <v>23.380000000000003</v>
      </c>
      <c r="I26" s="24">
        <f t="shared" si="0"/>
        <v>23.954999999999995</v>
      </c>
      <c r="J26" s="24"/>
      <c r="K26" s="24"/>
      <c r="L26" s="24"/>
      <c r="M26" s="24"/>
      <c r="N26" s="24">
        <f t="shared" si="0"/>
        <v>9.84</v>
      </c>
      <c r="O26" s="24">
        <f t="shared" si="0"/>
        <v>39.599999999999994</v>
      </c>
      <c r="P26" s="19"/>
      <c r="Q26" s="19"/>
    </row>
    <row r="27" spans="1:17" x14ac:dyDescent="0.25">
      <c r="A27" t="s">
        <v>80</v>
      </c>
      <c r="B27" s="22">
        <f>VAR(B6:B25)</f>
        <v>1.3360789473684214</v>
      </c>
      <c r="C27" s="22">
        <f>VAR(C6:C25)</f>
        <v>1.4927368421052636</v>
      </c>
      <c r="D27" s="22"/>
      <c r="E27" s="22"/>
      <c r="F27" s="22"/>
      <c r="G27" s="22"/>
      <c r="H27" s="22">
        <f t="shared" ref="H27:O27" si="1">VAR(H6:H25)</f>
        <v>2.5374736842105263</v>
      </c>
      <c r="I27" s="22">
        <f t="shared" si="1"/>
        <v>2.0141842105263152</v>
      </c>
      <c r="J27" s="22"/>
      <c r="K27" s="22"/>
      <c r="L27" s="22"/>
      <c r="M27" s="22"/>
      <c r="N27" s="22">
        <f t="shared" si="1"/>
        <v>0.67094736842105274</v>
      </c>
      <c r="O27" s="22">
        <f t="shared" si="1"/>
        <v>1.8842105263157898</v>
      </c>
    </row>
    <row r="28" spans="1:17" x14ac:dyDescent="0.25">
      <c r="A28" s="20" t="s">
        <v>81</v>
      </c>
      <c r="B28" s="25">
        <f>STDEV(B6:B25)</f>
        <v>1.1558888127187759</v>
      </c>
      <c r="C28" s="25">
        <f>STDEV(C6:C25)</f>
        <v>1.2217761014626467</v>
      </c>
      <c r="D28" s="25"/>
      <c r="E28" s="25"/>
      <c r="F28" s="25"/>
      <c r="G28" s="25"/>
      <c r="H28" s="25">
        <f t="shared" ref="H28:O28" si="2">STDEV(H6:H25)</f>
        <v>1.5929449721225546</v>
      </c>
      <c r="I28" s="25">
        <f t="shared" si="2"/>
        <v>1.4192195779816157</v>
      </c>
      <c r="J28" s="25"/>
      <c r="K28" s="25"/>
      <c r="L28" s="25"/>
      <c r="M28" s="25"/>
      <c r="N28" s="25">
        <f t="shared" si="2"/>
        <v>0.81911377013272868</v>
      </c>
      <c r="O28" s="25">
        <f t="shared" si="2"/>
        <v>1.3726654823065194</v>
      </c>
      <c r="P28" s="20"/>
      <c r="Q28" s="20"/>
    </row>
    <row r="29" spans="1:17" x14ac:dyDescent="0.25">
      <c r="A29" t="s">
        <v>82</v>
      </c>
      <c r="B29" s="21">
        <f>B28/B26</f>
        <v>4.8905809719432022E-2</v>
      </c>
      <c r="C29" s="21">
        <f>C28/C26</f>
        <v>4.9807423622610952E-2</v>
      </c>
      <c r="H29" s="21">
        <f>H28/H26</f>
        <v>6.8132804624574606E-2</v>
      </c>
      <c r="I29" s="21">
        <f>I28/I26</f>
        <v>5.9245233896122566E-2</v>
      </c>
      <c r="N29" s="21">
        <f>N28/N26</f>
        <v>8.3243269322431784E-2</v>
      </c>
      <c r="O29" s="21">
        <f>O28/O26</f>
        <v>3.4663269755215144E-2</v>
      </c>
    </row>
    <row r="30" spans="1:17" x14ac:dyDescent="0.25">
      <c r="A30" t="s">
        <v>83</v>
      </c>
      <c r="B30" s="26">
        <f>B28/1000</f>
        <v>1.1558888127187758E-3</v>
      </c>
      <c r="C30" s="26">
        <f>C28/1000</f>
        <v>1.2217761014626466E-3</v>
      </c>
      <c r="D30" s="26"/>
      <c r="E30" s="26"/>
      <c r="F30" s="26"/>
      <c r="G30" s="26"/>
      <c r="H30" s="26">
        <f>H28/5000</f>
        <v>3.1858899442451091E-4</v>
      </c>
      <c r="I30" s="26">
        <f>I28/5000</f>
        <v>2.8384391559632314E-4</v>
      </c>
      <c r="N30" s="26">
        <f>N28/5000</f>
        <v>1.6382275402654573E-4</v>
      </c>
      <c r="O30" s="26">
        <f>O28/5000</f>
        <v>2.7453309646130388E-4</v>
      </c>
    </row>
    <row r="31" spans="1:17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7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2:15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2:15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2:15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</sheetData>
  <mergeCells count="3">
    <mergeCell ref="A4:E4"/>
    <mergeCell ref="G4:K4"/>
    <mergeCell ref="M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F8B2-D213-4277-969C-AC28D3067973}">
  <dimension ref="A1:F18"/>
  <sheetViews>
    <sheetView zoomScale="115" zoomScaleNormal="115" workbookViewId="0">
      <selection activeCell="H24" sqref="H23:H24"/>
    </sheetView>
  </sheetViews>
  <sheetFormatPr defaultRowHeight="15" x14ac:dyDescent="0.25"/>
  <cols>
    <col min="1" max="1" width="14.28515625" bestFit="1" customWidth="1"/>
    <col min="2" max="2" width="29.5703125" bestFit="1" customWidth="1"/>
  </cols>
  <sheetData>
    <row r="1" spans="1:6" x14ac:dyDescent="0.25">
      <c r="A1" t="s">
        <v>84</v>
      </c>
    </row>
    <row r="2" spans="1:6" x14ac:dyDescent="0.25">
      <c r="A2" t="s">
        <v>85</v>
      </c>
      <c r="C2" t="s">
        <v>86</v>
      </c>
      <c r="D2" t="s">
        <v>87</v>
      </c>
      <c r="E2" t="s">
        <v>89</v>
      </c>
      <c r="F2" t="s">
        <v>88</v>
      </c>
    </row>
    <row r="3" spans="1:6" x14ac:dyDescent="0.25">
      <c r="A3">
        <v>50</v>
      </c>
      <c r="B3">
        <v>12.12</v>
      </c>
      <c r="C3" s="27">
        <v>40</v>
      </c>
      <c r="D3">
        <v>550</v>
      </c>
      <c r="E3">
        <v>30000</v>
      </c>
      <c r="F3">
        <v>157</v>
      </c>
    </row>
    <row r="4" spans="1:6" x14ac:dyDescent="0.25">
      <c r="A4">
        <v>60</v>
      </c>
      <c r="B4">
        <v>14.47</v>
      </c>
      <c r="C4" s="27">
        <v>46</v>
      </c>
      <c r="D4">
        <v>487</v>
      </c>
      <c r="E4">
        <v>30900</v>
      </c>
      <c r="F4">
        <v>177</v>
      </c>
    </row>
    <row r="5" spans="1:6" x14ac:dyDescent="0.25">
      <c r="A5">
        <v>70</v>
      </c>
      <c r="B5">
        <v>16.690000000000001</v>
      </c>
      <c r="C5" s="27">
        <v>46</v>
      </c>
      <c r="D5">
        <v>417</v>
      </c>
      <c r="E5">
        <v>26500</v>
      </c>
      <c r="F5">
        <v>185</v>
      </c>
    </row>
    <row r="6" spans="1:6" x14ac:dyDescent="0.25">
      <c r="A6">
        <v>80</v>
      </c>
      <c r="B6">
        <v>19.05</v>
      </c>
      <c r="C6" s="27">
        <v>46</v>
      </c>
      <c r="D6">
        <v>351</v>
      </c>
      <c r="E6">
        <v>21900</v>
      </c>
      <c r="F6">
        <v>190</v>
      </c>
    </row>
    <row r="7" spans="1:6" x14ac:dyDescent="0.25">
      <c r="A7">
        <v>70</v>
      </c>
      <c r="B7">
        <v>16.690000000000001</v>
      </c>
      <c r="C7" s="27">
        <v>47</v>
      </c>
      <c r="D7">
        <v>448</v>
      </c>
      <c r="E7">
        <v>29100</v>
      </c>
      <c r="F7">
        <v>190</v>
      </c>
    </row>
    <row r="8" spans="1:6" x14ac:dyDescent="0.25">
      <c r="A8">
        <v>60</v>
      </c>
      <c r="B8">
        <v>14.47</v>
      </c>
      <c r="C8" s="27">
        <v>44</v>
      </c>
      <c r="D8">
        <v>586</v>
      </c>
      <c r="E8">
        <v>39200</v>
      </c>
      <c r="F8">
        <v>180</v>
      </c>
    </row>
    <row r="9" spans="1:6" x14ac:dyDescent="0.25">
      <c r="A9">
        <v>50</v>
      </c>
      <c r="B9">
        <v>12.12</v>
      </c>
      <c r="C9" s="27">
        <v>38</v>
      </c>
      <c r="D9">
        <v>806</v>
      </c>
      <c r="E9">
        <v>49000</v>
      </c>
      <c r="F9">
        <v>161</v>
      </c>
    </row>
    <row r="14" spans="1:6" x14ac:dyDescent="0.25">
      <c r="A14" t="s">
        <v>90</v>
      </c>
      <c r="B14" t="s">
        <v>91</v>
      </c>
    </row>
    <row r="15" spans="1:6" ht="17.25" x14ac:dyDescent="0.25">
      <c r="A15" t="s">
        <v>92</v>
      </c>
      <c r="B15" t="s">
        <v>96</v>
      </c>
    </row>
    <row r="16" spans="1:6" ht="17.25" x14ac:dyDescent="0.25">
      <c r="A16" t="s">
        <v>93</v>
      </c>
      <c r="B16" t="s">
        <v>97</v>
      </c>
    </row>
    <row r="17" spans="1:2" ht="17.25" x14ac:dyDescent="0.25">
      <c r="A17" t="s">
        <v>94</v>
      </c>
      <c r="B17" t="s">
        <v>106</v>
      </c>
    </row>
    <row r="18" spans="1:2" ht="17.25" x14ac:dyDescent="0.25">
      <c r="A18" t="s">
        <v>95</v>
      </c>
      <c r="B18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5AB3-9B57-4000-AD0B-ED1CC84125E8}">
  <dimension ref="A1:O82"/>
  <sheetViews>
    <sheetView tabSelected="1" workbookViewId="0">
      <selection activeCell="K2" sqref="K2"/>
    </sheetView>
  </sheetViews>
  <sheetFormatPr defaultRowHeight="15" x14ac:dyDescent="0.25"/>
  <cols>
    <col min="7" max="7" width="10.28515625" bestFit="1" customWidth="1"/>
    <col min="8" max="8" width="12.7109375" bestFit="1" customWidth="1"/>
  </cols>
  <sheetData>
    <row r="1" spans="1:15" x14ac:dyDescent="0.25">
      <c r="A1" t="s">
        <v>99</v>
      </c>
    </row>
    <row r="2" spans="1:15" x14ac:dyDescent="0.25">
      <c r="A2" t="s">
        <v>85</v>
      </c>
      <c r="B2" t="s">
        <v>101</v>
      </c>
      <c r="C2" t="s">
        <v>53</v>
      </c>
      <c r="D2" t="s">
        <v>52</v>
      </c>
      <c r="E2" t="s">
        <v>100</v>
      </c>
      <c r="F2" t="s">
        <v>102</v>
      </c>
      <c r="G2" t="s">
        <v>103</v>
      </c>
      <c r="H2" t="s">
        <v>104</v>
      </c>
      <c r="L2">
        <f>-0.5*1.29*12.12*12.12*0.02</f>
        <v>-1.8949377599999999</v>
      </c>
      <c r="N2" t="s">
        <v>85</v>
      </c>
      <c r="O2" t="s">
        <v>105</v>
      </c>
    </row>
    <row r="3" spans="1:15" x14ac:dyDescent="0.25">
      <c r="A3">
        <v>50</v>
      </c>
      <c r="B3" s="28">
        <v>0</v>
      </c>
      <c r="C3">
        <v>-0.39005699999999999</v>
      </c>
      <c r="D3">
        <v>3.2689999999999997E-2</v>
      </c>
      <c r="E3">
        <v>1.4300000000000001E-4</v>
      </c>
      <c r="F3" s="22">
        <f>C3/$L$2</f>
        <v>0.20584158922454529</v>
      </c>
      <c r="G3" s="29">
        <f>-D3/$L$2</f>
        <v>1.7251226235525538E-2</v>
      </c>
      <c r="H3">
        <f>E3/($L$2*0.1)</f>
        <v>-7.5464219996333813E-4</v>
      </c>
      <c r="N3">
        <v>50</v>
      </c>
      <c r="O3">
        <v>12.12</v>
      </c>
    </row>
    <row r="4" spans="1:15" x14ac:dyDescent="0.25">
      <c r="A4">
        <v>50</v>
      </c>
      <c r="B4" s="28">
        <v>0</v>
      </c>
      <c r="C4">
        <v>-0.39340900000000001</v>
      </c>
      <c r="D4">
        <v>3.279E-2</v>
      </c>
      <c r="E4">
        <v>1.4300000000000001E-4</v>
      </c>
      <c r="F4" s="22">
        <f t="shared" ref="F4:F14" si="0">C4/$L$2</f>
        <v>0.20761051275900483</v>
      </c>
      <c r="G4" s="29">
        <f t="shared" ref="G4:G14" si="1">-D4/$L$2</f>
        <v>1.7303998417341159E-2</v>
      </c>
      <c r="H4">
        <f t="shared" ref="H4:H14" si="2">E4/($L$2*0.1)</f>
        <v>-7.5464219996333813E-4</v>
      </c>
      <c r="N4">
        <v>60</v>
      </c>
      <c r="O4">
        <v>14.47</v>
      </c>
    </row>
    <row r="5" spans="1:15" x14ac:dyDescent="0.25">
      <c r="A5">
        <v>50</v>
      </c>
      <c r="B5" s="28">
        <v>0</v>
      </c>
      <c r="C5">
        <v>-0.40105099999999999</v>
      </c>
      <c r="D5">
        <v>3.2640000000000002E-2</v>
      </c>
      <c r="E5">
        <v>1.4100000000000001E-4</v>
      </c>
      <c r="F5" s="22">
        <f t="shared" si="0"/>
        <v>0.21164336289335434</v>
      </c>
      <c r="G5" s="29">
        <f t="shared" si="1"/>
        <v>1.7224840144617733E-2</v>
      </c>
      <c r="H5">
        <f t="shared" si="2"/>
        <v>-7.4408776360021457E-4</v>
      </c>
      <c r="N5">
        <v>70</v>
      </c>
      <c r="O5">
        <v>16.690000000000001</v>
      </c>
    </row>
    <row r="6" spans="1:15" x14ac:dyDescent="0.25">
      <c r="A6">
        <v>50</v>
      </c>
      <c r="B6" s="28">
        <v>0</v>
      </c>
      <c r="C6">
        <v>-0.38263200000000003</v>
      </c>
      <c r="D6">
        <v>3.2349999999999997E-2</v>
      </c>
      <c r="E6">
        <v>1.18E-4</v>
      </c>
      <c r="F6" s="22">
        <f t="shared" si="0"/>
        <v>0.20192325472473568</v>
      </c>
      <c r="G6" s="29">
        <f t="shared" si="1"/>
        <v>1.7071800817352437E-2</v>
      </c>
      <c r="H6">
        <f t="shared" si="2"/>
        <v>-6.227117454242929E-4</v>
      </c>
    </row>
    <row r="7" spans="1:15" x14ac:dyDescent="0.25">
      <c r="A7">
        <v>50</v>
      </c>
      <c r="B7" s="28">
        <v>0</v>
      </c>
      <c r="C7">
        <v>-0.39015699999999998</v>
      </c>
      <c r="D7">
        <v>3.2190000000000003E-2</v>
      </c>
      <c r="E7">
        <v>1.4200000000000001E-4</v>
      </c>
      <c r="F7" s="22">
        <f t="shared" si="0"/>
        <v>0.20589436140636092</v>
      </c>
      <c r="G7" s="29">
        <f t="shared" si="1"/>
        <v>1.6987365326447453E-2</v>
      </c>
      <c r="H7">
        <f t="shared" si="2"/>
        <v>-7.493649817817763E-4</v>
      </c>
    </row>
    <row r="8" spans="1:15" x14ac:dyDescent="0.25">
      <c r="A8">
        <v>50</v>
      </c>
      <c r="B8" s="28">
        <v>0</v>
      </c>
      <c r="C8">
        <v>-0.38717600000000002</v>
      </c>
      <c r="D8">
        <v>3.2349999999999997E-2</v>
      </c>
      <c r="E8">
        <v>1.0900000000000001E-4</v>
      </c>
      <c r="F8" s="22">
        <f t="shared" si="0"/>
        <v>0.20432122266643735</v>
      </c>
      <c r="G8" s="29">
        <f t="shared" si="1"/>
        <v>1.7071800817352437E-2</v>
      </c>
      <c r="H8">
        <f t="shared" si="2"/>
        <v>-5.7521678179023674E-4</v>
      </c>
    </row>
    <row r="9" spans="1:15" x14ac:dyDescent="0.25">
      <c r="A9">
        <v>50</v>
      </c>
      <c r="B9" s="28">
        <v>0</v>
      </c>
      <c r="C9">
        <v>-0.38531700000000002</v>
      </c>
      <c r="D9">
        <v>3.2320000000000002E-2</v>
      </c>
      <c r="E9">
        <v>1.2E-4</v>
      </c>
      <c r="F9" s="22">
        <f t="shared" si="0"/>
        <v>0.20334018780648502</v>
      </c>
      <c r="G9" s="29">
        <f t="shared" si="1"/>
        <v>1.7055969162807754E-2</v>
      </c>
      <c r="H9">
        <f t="shared" si="2"/>
        <v>-6.3326618178741656E-4</v>
      </c>
    </row>
    <row r="10" spans="1:15" x14ac:dyDescent="0.25">
      <c r="A10">
        <v>50</v>
      </c>
      <c r="B10" s="28">
        <v>0</v>
      </c>
      <c r="C10">
        <v>-0.39593499999999998</v>
      </c>
      <c r="D10">
        <v>3.2550000000000003E-2</v>
      </c>
      <c r="E10">
        <v>1.22E-4</v>
      </c>
      <c r="F10" s="22">
        <f t="shared" si="0"/>
        <v>0.20894353807166732</v>
      </c>
      <c r="G10" s="29">
        <f t="shared" si="1"/>
        <v>1.7177345180983676E-2</v>
      </c>
      <c r="H10">
        <f t="shared" si="2"/>
        <v>-6.4382061815054022E-4</v>
      </c>
    </row>
    <row r="11" spans="1:15" x14ac:dyDescent="0.25">
      <c r="A11">
        <v>50</v>
      </c>
      <c r="B11" s="28">
        <v>0</v>
      </c>
      <c r="C11">
        <v>-0.39493800000000001</v>
      </c>
      <c r="D11">
        <v>3.2649999999999998E-2</v>
      </c>
      <c r="E11">
        <v>1.3899999999999999E-4</v>
      </c>
      <c r="F11" s="22">
        <f t="shared" si="0"/>
        <v>0.20841739941896562</v>
      </c>
      <c r="G11" s="29">
        <f t="shared" si="1"/>
        <v>1.7230117362799294E-2</v>
      </c>
      <c r="H11">
        <f t="shared" si="2"/>
        <v>-7.335333272370908E-4</v>
      </c>
    </row>
    <row r="12" spans="1:15" x14ac:dyDescent="0.25">
      <c r="A12">
        <v>50</v>
      </c>
      <c r="B12" s="28">
        <v>0</v>
      </c>
      <c r="C12">
        <v>-0.39735799999999999</v>
      </c>
      <c r="D12">
        <v>3.2680000000000001E-2</v>
      </c>
      <c r="E12">
        <v>1.16E-4</v>
      </c>
      <c r="F12" s="22">
        <f t="shared" si="0"/>
        <v>0.20969448621890358</v>
      </c>
      <c r="G12" s="29">
        <f t="shared" si="1"/>
        <v>1.724594901734398E-2</v>
      </c>
      <c r="H12">
        <f t="shared" si="2"/>
        <v>-6.1215730906116934E-4</v>
      </c>
    </row>
    <row r="13" spans="1:15" x14ac:dyDescent="0.25">
      <c r="A13">
        <v>50</v>
      </c>
      <c r="B13" s="28">
        <v>0</v>
      </c>
      <c r="C13">
        <v>-0.40889500000000001</v>
      </c>
      <c r="D13">
        <v>3.2870000000000003E-2</v>
      </c>
      <c r="E13">
        <v>1.44E-4</v>
      </c>
      <c r="F13" s="22">
        <f t="shared" si="0"/>
        <v>0.21578281283497144</v>
      </c>
      <c r="G13" s="29">
        <f t="shared" si="1"/>
        <v>1.7346216162793655E-2</v>
      </c>
      <c r="H13">
        <f t="shared" si="2"/>
        <v>-7.5991941814489996E-4</v>
      </c>
    </row>
    <row r="14" spans="1:15" x14ac:dyDescent="0.25">
      <c r="A14">
        <v>50</v>
      </c>
      <c r="B14" s="28">
        <v>0</v>
      </c>
      <c r="C14">
        <v>-0.39509899999999998</v>
      </c>
      <c r="D14">
        <v>3.2899999999999999E-2</v>
      </c>
      <c r="E14">
        <v>1.4899999999999999E-4</v>
      </c>
      <c r="F14" s="22">
        <f t="shared" si="0"/>
        <v>0.20850236263168875</v>
      </c>
      <c r="G14" s="29">
        <f t="shared" si="1"/>
        <v>1.7362047817338338E-2</v>
      </c>
      <c r="H14">
        <f t="shared" si="2"/>
        <v>-7.863055090527089E-4</v>
      </c>
    </row>
    <row r="15" spans="1:15" x14ac:dyDescent="0.25">
      <c r="A15" t="s">
        <v>107</v>
      </c>
      <c r="B15" s="28">
        <v>0</v>
      </c>
      <c r="F15" s="22">
        <f>AVERAGE(F3:F14)</f>
        <v>0.20765959088809335</v>
      </c>
      <c r="G15" s="22">
        <f t="shared" ref="G15:H15" si="3">AVERAGE(G3:G14)</f>
        <v>1.7194056371891954E-2</v>
      </c>
      <c r="H15" s="29">
        <f t="shared" si="3"/>
        <v>-6.974723363297519E-4</v>
      </c>
    </row>
    <row r="16" spans="1:15" x14ac:dyDescent="0.25">
      <c r="K16" s="28"/>
      <c r="M16" s="28"/>
      <c r="N16" s="28"/>
    </row>
    <row r="17" spans="1:13" x14ac:dyDescent="0.25">
      <c r="A17" t="s">
        <v>85</v>
      </c>
      <c r="B17" t="s">
        <v>101</v>
      </c>
      <c r="C17" t="s">
        <v>53</v>
      </c>
      <c r="D17" t="s">
        <v>52</v>
      </c>
      <c r="E17" t="s">
        <v>100</v>
      </c>
      <c r="F17" t="s">
        <v>102</v>
      </c>
      <c r="G17" t="s">
        <v>103</v>
      </c>
      <c r="H17" t="s">
        <v>104</v>
      </c>
      <c r="L17">
        <f>-0.5*1.29*14.47*14.47*0.02</f>
        <v>-2.70101361</v>
      </c>
    </row>
    <row r="18" spans="1:13" x14ac:dyDescent="0.25">
      <c r="A18">
        <v>60</v>
      </c>
      <c r="B18">
        <v>0</v>
      </c>
      <c r="C18">
        <v>-0.64136400000000005</v>
      </c>
      <c r="D18">
        <v>4.7829999999999998E-2</v>
      </c>
      <c r="E18">
        <v>1.8200000000000001E-4</v>
      </c>
      <c r="F18" s="22">
        <f>C18/$L$17</f>
        <v>0.23745307969773616</v>
      </c>
      <c r="G18" s="29">
        <f>-D18/$L$17</f>
        <v>1.7708166972176049E-2</v>
      </c>
      <c r="H18" s="29">
        <f>E18/($L$17*0.1)</f>
        <v>-6.7382111414092437E-4</v>
      </c>
    </row>
    <row r="19" spans="1:13" x14ac:dyDescent="0.25">
      <c r="A19">
        <v>60</v>
      </c>
      <c r="B19">
        <v>0</v>
      </c>
      <c r="C19">
        <v>-0.66016600000000003</v>
      </c>
      <c r="D19">
        <v>4.7899999999999998E-2</v>
      </c>
      <c r="E19">
        <v>2.22E-4</v>
      </c>
      <c r="F19" s="22">
        <f t="shared" ref="F19:F29" si="4">C19/$L$17</f>
        <v>0.24441417013074584</v>
      </c>
      <c r="G19" s="29">
        <f t="shared" ref="G19:G29" si="5">-D19/$L$17</f>
        <v>1.7734083168873777E-2</v>
      </c>
      <c r="H19" s="29">
        <f t="shared" ref="H19:H29" si="6">E19/($L$17*0.1)</f>
        <v>-8.2191366669936928E-4</v>
      </c>
    </row>
    <row r="20" spans="1:13" x14ac:dyDescent="0.25">
      <c r="A20">
        <v>60</v>
      </c>
      <c r="B20">
        <v>0</v>
      </c>
      <c r="C20">
        <v>-0.64397599999999999</v>
      </c>
      <c r="D20">
        <v>4.7649999999999998E-2</v>
      </c>
      <c r="E20">
        <v>1.8799999999999999E-4</v>
      </c>
      <c r="F20" s="22">
        <f t="shared" si="4"/>
        <v>0.23842012406594279</v>
      </c>
      <c r="G20" s="29">
        <f t="shared" si="5"/>
        <v>1.7641525323524747E-2</v>
      </c>
      <c r="H20" s="29">
        <f t="shared" si="6"/>
        <v>-6.9603499702469099E-4</v>
      </c>
    </row>
    <row r="21" spans="1:13" x14ac:dyDescent="0.25">
      <c r="A21">
        <v>60</v>
      </c>
      <c r="B21">
        <v>0</v>
      </c>
      <c r="C21">
        <v>-0.64814000000000005</v>
      </c>
      <c r="D21">
        <v>4.7399999999999998E-2</v>
      </c>
      <c r="E21">
        <v>2.0799999999999999E-4</v>
      </c>
      <c r="F21" s="22">
        <f t="shared" si="4"/>
        <v>0.23996176753807621</v>
      </c>
      <c r="G21" s="29">
        <f t="shared" si="5"/>
        <v>1.754896747817572E-2</v>
      </c>
      <c r="H21" s="29">
        <f t="shared" si="6"/>
        <v>-7.7008127330391351E-4</v>
      </c>
    </row>
    <row r="22" spans="1:13" x14ac:dyDescent="0.25">
      <c r="A22">
        <v>60</v>
      </c>
      <c r="B22">
        <v>0</v>
      </c>
      <c r="C22">
        <v>-0.63606200000000002</v>
      </c>
      <c r="D22">
        <v>4.734E-2</v>
      </c>
      <c r="E22">
        <v>2.12E-4</v>
      </c>
      <c r="F22" s="22">
        <f t="shared" si="4"/>
        <v>0.23549011291357397</v>
      </c>
      <c r="G22" s="29">
        <f t="shared" si="5"/>
        <v>1.7526753595291954E-2</v>
      </c>
      <c r="H22" s="29">
        <f t="shared" si="6"/>
        <v>-7.8489052855975803E-4</v>
      </c>
    </row>
    <row r="23" spans="1:13" x14ac:dyDescent="0.25">
      <c r="A23">
        <v>60</v>
      </c>
      <c r="B23">
        <v>0</v>
      </c>
      <c r="C23">
        <v>-0.63796799999999998</v>
      </c>
      <c r="D23">
        <v>4.7469999999999998E-2</v>
      </c>
      <c r="E23">
        <v>1.8799999999999999E-4</v>
      </c>
      <c r="F23" s="22">
        <f t="shared" si="4"/>
        <v>0.23619577392651495</v>
      </c>
      <c r="G23" s="29">
        <f t="shared" si="5"/>
        <v>1.7574883674873448E-2</v>
      </c>
      <c r="H23" s="29">
        <f t="shared" si="6"/>
        <v>-6.9603499702469099E-4</v>
      </c>
    </row>
    <row r="24" spans="1:13" x14ac:dyDescent="0.25">
      <c r="A24">
        <v>60</v>
      </c>
      <c r="B24">
        <v>0</v>
      </c>
      <c r="C24">
        <v>-0.62756900000000004</v>
      </c>
      <c r="D24">
        <v>4.761E-2</v>
      </c>
      <c r="E24">
        <v>1.7699999999999999E-4</v>
      </c>
      <c r="F24" s="22">
        <f t="shared" si="4"/>
        <v>0.23234573779137679</v>
      </c>
      <c r="G24" s="29">
        <f t="shared" si="5"/>
        <v>1.7626716068268905E-2</v>
      </c>
      <c r="H24" s="29">
        <f t="shared" si="6"/>
        <v>-6.5530954507111874E-4</v>
      </c>
    </row>
    <row r="25" spans="1:13" x14ac:dyDescent="0.25">
      <c r="A25">
        <v>60</v>
      </c>
      <c r="B25">
        <v>0</v>
      </c>
      <c r="C25">
        <v>-0.64056999999999997</v>
      </c>
      <c r="D25">
        <v>4.7469999999999998E-2</v>
      </c>
      <c r="E25">
        <v>1.7000000000000001E-4</v>
      </c>
      <c r="F25" s="22">
        <f t="shared" si="4"/>
        <v>0.23715911598090761</v>
      </c>
      <c r="G25" s="29">
        <f t="shared" si="5"/>
        <v>1.7574883674873448E-2</v>
      </c>
      <c r="H25" s="29">
        <f t="shared" si="6"/>
        <v>-6.2939334837339091E-4</v>
      </c>
    </row>
    <row r="26" spans="1:13" x14ac:dyDescent="0.25">
      <c r="A26">
        <v>60</v>
      </c>
      <c r="B26">
        <v>0</v>
      </c>
      <c r="C26">
        <v>-0.63514700000000002</v>
      </c>
      <c r="D26">
        <v>4.7649999999999998E-2</v>
      </c>
      <c r="E26">
        <v>1.92E-4</v>
      </c>
      <c r="F26" s="22">
        <f t="shared" si="4"/>
        <v>0.23515135119959651</v>
      </c>
      <c r="G26" s="29">
        <f t="shared" si="5"/>
        <v>1.7641525323524747E-2</v>
      </c>
      <c r="H26" s="29">
        <f t="shared" si="6"/>
        <v>-7.1084425228053563E-4</v>
      </c>
    </row>
    <row r="27" spans="1:13" x14ac:dyDescent="0.25">
      <c r="A27">
        <v>60</v>
      </c>
      <c r="B27">
        <v>0</v>
      </c>
      <c r="C27">
        <v>-0.62444100000000002</v>
      </c>
      <c r="D27">
        <v>4.7559999999999998E-2</v>
      </c>
      <c r="E27">
        <v>1.2999999999999999E-4</v>
      </c>
      <c r="F27" s="22">
        <f t="shared" si="4"/>
        <v>0.23118765403036975</v>
      </c>
      <c r="G27" s="29">
        <f t="shared" si="5"/>
        <v>1.7608204499199098E-2</v>
      </c>
      <c r="H27" s="29">
        <f t="shared" si="6"/>
        <v>-4.8130079581494594E-4</v>
      </c>
    </row>
    <row r="28" spans="1:13" x14ac:dyDescent="0.25">
      <c r="A28">
        <v>60</v>
      </c>
      <c r="B28">
        <v>0</v>
      </c>
      <c r="C28">
        <v>-0.65480300000000002</v>
      </c>
      <c r="D28">
        <v>4.8349999999999997E-2</v>
      </c>
      <c r="E28">
        <v>2.4000000000000001E-4</v>
      </c>
      <c r="F28" s="22">
        <f t="shared" si="4"/>
        <v>0.24242861923231851</v>
      </c>
      <c r="G28" s="29">
        <f t="shared" si="5"/>
        <v>1.7900687290502027E-2</v>
      </c>
      <c r="H28" s="29">
        <f t="shared" si="6"/>
        <v>-8.8855531535066948E-4</v>
      </c>
    </row>
    <row r="29" spans="1:13" x14ac:dyDescent="0.25">
      <c r="A29">
        <v>60</v>
      </c>
      <c r="B29">
        <v>0</v>
      </c>
      <c r="C29">
        <v>-0.66209799999999996</v>
      </c>
      <c r="D29">
        <v>4.8239999999999998E-2</v>
      </c>
      <c r="E29">
        <v>2.14E-4</v>
      </c>
      <c r="F29" s="22">
        <f t="shared" si="4"/>
        <v>0.24512945715960313</v>
      </c>
      <c r="G29" s="29">
        <f t="shared" si="5"/>
        <v>1.7859961838548453E-2</v>
      </c>
      <c r="H29" s="29">
        <f t="shared" si="6"/>
        <v>-7.9229515618768024E-4</v>
      </c>
    </row>
    <row r="30" spans="1:13" x14ac:dyDescent="0.25">
      <c r="A30" t="s">
        <v>79</v>
      </c>
      <c r="F30" s="22">
        <f>AVERAGE(F18:F29)</f>
        <v>0.2379447469722302</v>
      </c>
      <c r="G30" s="22">
        <f t="shared" ref="G30:H30" si="7">AVERAGE(G18:G29)</f>
        <v>1.7662196575652701E-2</v>
      </c>
      <c r="H30" s="29">
        <f t="shared" si="7"/>
        <v>-7.1670624915264058E-4</v>
      </c>
    </row>
    <row r="31" spans="1:13" x14ac:dyDescent="0.25">
      <c r="M31" s="28"/>
    </row>
    <row r="32" spans="1:13" x14ac:dyDescent="0.25">
      <c r="A32" t="s">
        <v>85</v>
      </c>
      <c r="B32" t="s">
        <v>101</v>
      </c>
      <c r="C32" t="s">
        <v>53</v>
      </c>
      <c r="D32" t="s">
        <v>52</v>
      </c>
      <c r="E32" t="s">
        <v>100</v>
      </c>
      <c r="F32" t="s">
        <v>102</v>
      </c>
      <c r="G32" t="s">
        <v>103</v>
      </c>
      <c r="H32" t="s">
        <v>104</v>
      </c>
      <c r="J32" s="28"/>
      <c r="L32">
        <f>-0.5*1.29*16.69*16.69*0.02</f>
        <v>-3.5933736900000004</v>
      </c>
      <c r="M32" s="28"/>
    </row>
    <row r="33" spans="1:13" x14ac:dyDescent="0.25">
      <c r="A33">
        <v>70</v>
      </c>
      <c r="B33" s="28">
        <v>0</v>
      </c>
      <c r="C33">
        <v>-0.77217599999999997</v>
      </c>
      <c r="D33">
        <v>6.4649999999999999E-2</v>
      </c>
      <c r="E33" s="28">
        <v>1.64E-4</v>
      </c>
      <c r="F33">
        <f>C33/$L$32</f>
        <v>0.21488886673514879</v>
      </c>
      <c r="G33">
        <f>-D33/$L$32</f>
        <v>1.7991449144271993E-2</v>
      </c>
      <c r="H33" s="28">
        <f>E33/($L$32*0.1)</f>
        <v>-4.5639561634348131E-4</v>
      </c>
      <c r="J33" s="28"/>
      <c r="M33" s="28"/>
    </row>
    <row r="34" spans="1:13" x14ac:dyDescent="0.25">
      <c r="A34">
        <v>70</v>
      </c>
      <c r="B34" s="28">
        <v>0</v>
      </c>
      <c r="C34">
        <v>-0.78897200000000001</v>
      </c>
      <c r="D34">
        <v>6.5189999999999998E-2</v>
      </c>
      <c r="E34" s="28">
        <v>2.1599999999999999E-4</v>
      </c>
      <c r="F34">
        <f t="shared" ref="F34:F44" si="8">C34/$L$32</f>
        <v>0.21956302574252998</v>
      </c>
      <c r="G34">
        <f t="shared" ref="G34:G44" si="9">-D34/$L$32</f>
        <v>1.8141725749653382E-2</v>
      </c>
      <c r="H34" s="28">
        <f t="shared" ref="H34:H44" si="10">E34/($L$32*0.1)</f>
        <v>-6.0110642152556067E-4</v>
      </c>
      <c r="J34" s="28"/>
      <c r="M34" s="28"/>
    </row>
    <row r="35" spans="1:13" x14ac:dyDescent="0.25">
      <c r="A35">
        <v>70</v>
      </c>
      <c r="B35" s="28">
        <v>0</v>
      </c>
      <c r="C35">
        <v>-0.77966199999999997</v>
      </c>
      <c r="D35" s="28">
        <v>6.4860000000000001E-2</v>
      </c>
      <c r="E35">
        <v>1.73E-4</v>
      </c>
      <c r="F35">
        <f t="shared" si="8"/>
        <v>0.21697214574975082</v>
      </c>
      <c r="G35">
        <f t="shared" si="9"/>
        <v>1.8049890046364755E-2</v>
      </c>
      <c r="H35" s="28">
        <f t="shared" si="10"/>
        <v>-4.8144171724037965E-4</v>
      </c>
      <c r="M35" s="28"/>
    </row>
    <row r="36" spans="1:13" x14ac:dyDescent="0.25">
      <c r="A36">
        <v>70</v>
      </c>
      <c r="B36" s="28">
        <v>0</v>
      </c>
      <c r="C36">
        <v>-0.78707700000000003</v>
      </c>
      <c r="D36" s="28">
        <v>6.4820000000000003E-2</v>
      </c>
      <c r="E36">
        <v>1.85E-4</v>
      </c>
      <c r="F36">
        <f t="shared" si="8"/>
        <v>0.21903566617364528</v>
      </c>
      <c r="G36">
        <f t="shared" si="9"/>
        <v>1.8038758445966134E-2</v>
      </c>
      <c r="H36" s="28">
        <f t="shared" si="10"/>
        <v>-5.1483651843624409E-4</v>
      </c>
      <c r="M36" s="28"/>
    </row>
    <row r="37" spans="1:13" x14ac:dyDescent="0.25">
      <c r="A37">
        <v>70</v>
      </c>
      <c r="B37" s="28">
        <v>0</v>
      </c>
      <c r="C37">
        <v>-0.77398599999999995</v>
      </c>
      <c r="D37" s="28">
        <v>6.5089999999999995E-2</v>
      </c>
      <c r="E37">
        <v>2.0799999999999999E-4</v>
      </c>
      <c r="F37">
        <f t="shared" si="8"/>
        <v>0.21539257165318643</v>
      </c>
      <c r="G37">
        <f t="shared" si="9"/>
        <v>1.8113896748656828E-2</v>
      </c>
      <c r="H37" s="28">
        <f t="shared" si="10"/>
        <v>-5.7884322072831768E-4</v>
      </c>
      <c r="M37" s="28"/>
    </row>
    <row r="38" spans="1:13" x14ac:dyDescent="0.25">
      <c r="A38">
        <v>70</v>
      </c>
      <c r="B38" s="28">
        <v>0</v>
      </c>
      <c r="C38">
        <v>-0.76791100000000001</v>
      </c>
      <c r="D38" s="28">
        <v>6.4780000000000004E-2</v>
      </c>
      <c r="E38">
        <v>1.8100000000000001E-4</v>
      </c>
      <c r="F38">
        <f t="shared" si="8"/>
        <v>0.21370195984264578</v>
      </c>
      <c r="G38">
        <f t="shared" si="9"/>
        <v>1.8027626845567513E-2</v>
      </c>
      <c r="H38" s="28">
        <f t="shared" si="10"/>
        <v>-5.037049180376227E-4</v>
      </c>
      <c r="M38" s="28"/>
    </row>
    <row r="39" spans="1:13" x14ac:dyDescent="0.25">
      <c r="A39">
        <v>70</v>
      </c>
      <c r="B39" s="28">
        <v>0</v>
      </c>
      <c r="C39">
        <v>-0.77667299999999995</v>
      </c>
      <c r="D39" s="28">
        <v>6.5409999999999996E-2</v>
      </c>
      <c r="E39">
        <v>2.1800000000000001E-4</v>
      </c>
      <c r="F39">
        <f t="shared" si="8"/>
        <v>0.21614033690996381</v>
      </c>
      <c r="G39">
        <f t="shared" si="9"/>
        <v>1.8202949551845801E-2</v>
      </c>
      <c r="H39" s="28">
        <f t="shared" si="10"/>
        <v>-6.0667222172487148E-4</v>
      </c>
      <c r="M39" s="28"/>
    </row>
    <row r="40" spans="1:13" x14ac:dyDescent="0.25">
      <c r="A40">
        <v>70</v>
      </c>
      <c r="B40" s="28">
        <v>0</v>
      </c>
      <c r="C40">
        <v>-0.75629199999999996</v>
      </c>
      <c r="D40" s="28">
        <v>6.4409999999999995E-2</v>
      </c>
      <c r="E40">
        <v>1.5300000000000001E-4</v>
      </c>
      <c r="F40">
        <f t="shared" si="8"/>
        <v>0.2104685082168562</v>
      </c>
      <c r="G40">
        <f t="shared" si="9"/>
        <v>1.7924659541880262E-2</v>
      </c>
      <c r="H40" s="28">
        <f t="shared" si="10"/>
        <v>-4.2578371524727222E-4</v>
      </c>
      <c r="M40" s="28"/>
    </row>
    <row r="41" spans="1:13" x14ac:dyDescent="0.25">
      <c r="A41">
        <v>70</v>
      </c>
      <c r="B41" s="28">
        <v>0</v>
      </c>
      <c r="C41">
        <v>-0.76019999999999999</v>
      </c>
      <c r="D41" s="28">
        <v>6.4509999999999998E-2</v>
      </c>
      <c r="E41">
        <v>1.6000000000000001E-4</v>
      </c>
      <c r="F41">
        <f t="shared" si="8"/>
        <v>0.21155606557580153</v>
      </c>
      <c r="G41">
        <f t="shared" si="9"/>
        <v>1.7952488542876816E-2</v>
      </c>
      <c r="H41" s="28">
        <f t="shared" si="10"/>
        <v>-4.4526401594485981E-4</v>
      </c>
    </row>
    <row r="42" spans="1:13" x14ac:dyDescent="0.25">
      <c r="A42">
        <v>70</v>
      </c>
      <c r="B42" s="28">
        <v>0</v>
      </c>
      <c r="C42">
        <v>-0.77671699999999999</v>
      </c>
      <c r="D42" s="28">
        <v>6.4659999999999995E-2</v>
      </c>
      <c r="E42">
        <v>1.85E-4</v>
      </c>
      <c r="F42">
        <f t="shared" si="8"/>
        <v>0.2161525816704023</v>
      </c>
      <c r="G42">
        <f t="shared" si="9"/>
        <v>1.7994232044371648E-2</v>
      </c>
      <c r="H42" s="28">
        <f t="shared" si="10"/>
        <v>-5.1483651843624409E-4</v>
      </c>
    </row>
    <row r="43" spans="1:13" x14ac:dyDescent="0.25">
      <c r="A43">
        <v>70</v>
      </c>
      <c r="B43" s="28">
        <v>0</v>
      </c>
      <c r="C43">
        <v>-0.76748099999999997</v>
      </c>
      <c r="D43" s="28">
        <v>6.4519999999999994E-2</v>
      </c>
      <c r="E43">
        <v>1.7799999999999999E-4</v>
      </c>
      <c r="F43">
        <f t="shared" si="8"/>
        <v>0.21358229513836061</v>
      </c>
      <c r="G43">
        <f t="shared" si="9"/>
        <v>1.795527144297647E-2</v>
      </c>
      <c r="H43" s="28">
        <f t="shared" si="10"/>
        <v>-4.953562177386565E-4</v>
      </c>
    </row>
    <row r="44" spans="1:13" x14ac:dyDescent="0.25">
      <c r="A44">
        <v>70</v>
      </c>
      <c r="B44" s="28">
        <v>0</v>
      </c>
      <c r="C44">
        <v>-0.77146999999999999</v>
      </c>
      <c r="D44" s="28">
        <v>6.4979999999999996E-2</v>
      </c>
      <c r="E44">
        <v>1.84E-4</v>
      </c>
      <c r="F44">
        <f t="shared" si="8"/>
        <v>0.21469239398811313</v>
      </c>
      <c r="G44">
        <f t="shared" si="9"/>
        <v>1.808328484756062E-2</v>
      </c>
      <c r="H44" s="28">
        <f t="shared" si="10"/>
        <v>-5.120536183365888E-4</v>
      </c>
    </row>
    <row r="45" spans="1:13" x14ac:dyDescent="0.25">
      <c r="A45" t="s">
        <v>107</v>
      </c>
      <c r="B45" s="28"/>
      <c r="D45" s="28"/>
      <c r="F45">
        <f>AVERAGE(F33:F44)</f>
        <v>0.21517886811636702</v>
      </c>
      <c r="G45">
        <f t="shared" ref="G45:H45" si="11">AVERAGE(G33:G44)</f>
        <v>1.8039686079332682E-2</v>
      </c>
      <c r="H45">
        <f t="shared" si="11"/>
        <v>-5.1135789331167489E-4</v>
      </c>
    </row>
    <row r="46" spans="1:13" x14ac:dyDescent="0.25">
      <c r="B46" s="28"/>
      <c r="D46" s="28"/>
    </row>
    <row r="47" spans="1:13" x14ac:dyDescent="0.25">
      <c r="A47" t="s">
        <v>85</v>
      </c>
      <c r="B47" t="s">
        <v>101</v>
      </c>
      <c r="C47" t="s">
        <v>53</v>
      </c>
      <c r="D47" t="s">
        <v>52</v>
      </c>
      <c r="E47" t="s">
        <v>100</v>
      </c>
      <c r="F47" t="s">
        <v>102</v>
      </c>
      <c r="G47" t="s">
        <v>103</v>
      </c>
      <c r="H47" t="s">
        <v>104</v>
      </c>
      <c r="L47">
        <f>-0.5*1.29*12.12*12.12*0.02</f>
        <v>-1.8949377599999999</v>
      </c>
    </row>
    <row r="48" spans="1:13" x14ac:dyDescent="0.25">
      <c r="A48">
        <v>50</v>
      </c>
      <c r="B48">
        <v>4</v>
      </c>
      <c r="C48">
        <v>-1.104519</v>
      </c>
      <c r="D48">
        <v>6.6456000000000001E-2</v>
      </c>
      <c r="E48" s="28">
        <v>9.1000000000000003E-5</v>
      </c>
      <c r="F48">
        <f>C48/$L$47</f>
        <v>0.5828787748680464</v>
      </c>
      <c r="G48">
        <f>-D48/$L$47</f>
        <v>3.5070281147387132E-2</v>
      </c>
      <c r="H48">
        <f>E48/($L$47*0.1)</f>
        <v>-4.8022685452212428E-4</v>
      </c>
    </row>
    <row r="49" spans="1:12" x14ac:dyDescent="0.25">
      <c r="A49">
        <v>50</v>
      </c>
      <c r="B49">
        <v>4</v>
      </c>
      <c r="C49">
        <v>-1.106584</v>
      </c>
      <c r="D49">
        <v>6.6569000000000003E-2</v>
      </c>
      <c r="E49" s="28">
        <v>1.36E-4</v>
      </c>
      <c r="F49">
        <f t="shared" ref="F49:F59" si="12">C49/$L$47</f>
        <v>0.58396852042253888</v>
      </c>
      <c r="G49">
        <f t="shared" ref="G49:G59" si="13">-D49/$L$47</f>
        <v>3.512991371283878E-2</v>
      </c>
      <c r="H49">
        <f t="shared" ref="H49:H59" si="14">E49/($L$47*0.1)</f>
        <v>-7.1770167269240542E-4</v>
      </c>
    </row>
    <row r="50" spans="1:12" x14ac:dyDescent="0.25">
      <c r="A50">
        <v>50</v>
      </c>
      <c r="B50">
        <v>4</v>
      </c>
      <c r="C50">
        <v>-1.134854</v>
      </c>
      <c r="D50">
        <v>6.8262000000000003E-2</v>
      </c>
      <c r="E50" s="28">
        <v>2.13E-4</v>
      </c>
      <c r="F50">
        <f t="shared" si="12"/>
        <v>0.59888721622181407</v>
      </c>
      <c r="G50">
        <f t="shared" si="13"/>
        <v>3.6023346750977195E-2</v>
      </c>
      <c r="H50">
        <f t="shared" si="14"/>
        <v>-1.1240474726726644E-3</v>
      </c>
    </row>
    <row r="51" spans="1:12" x14ac:dyDescent="0.25">
      <c r="A51">
        <v>50</v>
      </c>
      <c r="B51">
        <v>4</v>
      </c>
      <c r="C51">
        <v>-1.11985</v>
      </c>
      <c r="D51">
        <v>6.7349000000000006E-2</v>
      </c>
      <c r="E51" s="28">
        <v>1.6100000000000001E-4</v>
      </c>
      <c r="F51">
        <f t="shared" si="12"/>
        <v>0.59096927806219879</v>
      </c>
      <c r="G51">
        <f t="shared" si="13"/>
        <v>3.5541536731000606E-2</v>
      </c>
      <c r="H51">
        <f t="shared" si="14"/>
        <v>-8.4963212723145065E-4</v>
      </c>
    </row>
    <row r="52" spans="1:12" x14ac:dyDescent="0.25">
      <c r="A52">
        <v>50</v>
      </c>
      <c r="B52">
        <v>4</v>
      </c>
      <c r="C52">
        <v>-1.1160760000000001</v>
      </c>
      <c r="D52">
        <v>6.7016999999999993E-2</v>
      </c>
      <c r="E52" s="28">
        <v>1.8599999999999999E-4</v>
      </c>
      <c r="F52">
        <f t="shared" si="12"/>
        <v>0.58897765592047735</v>
      </c>
      <c r="G52">
        <f t="shared" si="13"/>
        <v>3.5366333087372748E-2</v>
      </c>
      <c r="H52">
        <f t="shared" si="14"/>
        <v>-9.8156258177049577E-4</v>
      </c>
    </row>
    <row r="53" spans="1:12" x14ac:dyDescent="0.25">
      <c r="A53">
        <v>50</v>
      </c>
      <c r="B53">
        <v>4</v>
      </c>
      <c r="C53">
        <v>-1.1202129999999999</v>
      </c>
      <c r="D53">
        <v>6.7410999999999999E-2</v>
      </c>
      <c r="E53" s="28">
        <v>1.8900000000000001E-4</v>
      </c>
      <c r="F53">
        <f t="shared" si="12"/>
        <v>0.59116084108218936</v>
      </c>
      <c r="G53">
        <f t="shared" si="13"/>
        <v>3.5574255483726287E-2</v>
      </c>
      <c r="H53">
        <f t="shared" si="14"/>
        <v>-9.9739423631518115E-4</v>
      </c>
    </row>
    <row r="54" spans="1:12" x14ac:dyDescent="0.25">
      <c r="A54">
        <v>50</v>
      </c>
      <c r="B54">
        <v>4</v>
      </c>
      <c r="C54">
        <v>-1.1223749999999999</v>
      </c>
      <c r="D54">
        <v>6.7406999999999995E-2</v>
      </c>
      <c r="E54" s="28">
        <v>2.0100000000000001E-4</v>
      </c>
      <c r="F54">
        <f t="shared" si="12"/>
        <v>0.59230177565304309</v>
      </c>
      <c r="G54">
        <f t="shared" si="13"/>
        <v>3.5572144596453657E-2</v>
      </c>
      <c r="H54">
        <f t="shared" si="14"/>
        <v>-1.0607208544939229E-3</v>
      </c>
    </row>
    <row r="55" spans="1:12" x14ac:dyDescent="0.25">
      <c r="A55">
        <v>50</v>
      </c>
      <c r="B55">
        <v>4</v>
      </c>
      <c r="C55">
        <v>-1.1248339999999999</v>
      </c>
      <c r="D55">
        <v>6.7577999999999999E-2</v>
      </c>
      <c r="E55" s="28">
        <v>2.2599999999999999E-4</v>
      </c>
      <c r="F55">
        <f t="shared" si="12"/>
        <v>0.59359944360388905</v>
      </c>
      <c r="G55">
        <f t="shared" si="13"/>
        <v>3.5662385027358363E-2</v>
      </c>
      <c r="H55">
        <f t="shared" si="14"/>
        <v>-1.1926513090329679E-3</v>
      </c>
    </row>
    <row r="56" spans="1:12" x14ac:dyDescent="0.25">
      <c r="A56">
        <v>50</v>
      </c>
      <c r="B56">
        <v>4</v>
      </c>
      <c r="C56">
        <v>-1.1140080000000001</v>
      </c>
      <c r="D56">
        <v>6.6825999999999997E-2</v>
      </c>
      <c r="E56" s="28">
        <v>2.03E-4</v>
      </c>
      <c r="F56">
        <f t="shared" si="12"/>
        <v>0.58788632720053036</v>
      </c>
      <c r="G56">
        <f t="shared" si="13"/>
        <v>3.5265538220104919E-2</v>
      </c>
      <c r="H56">
        <f t="shared" si="14"/>
        <v>-1.0712752908570464E-3</v>
      </c>
    </row>
    <row r="57" spans="1:12" x14ac:dyDescent="0.25">
      <c r="A57">
        <v>50</v>
      </c>
      <c r="B57">
        <v>4</v>
      </c>
      <c r="C57">
        <v>-1.122779</v>
      </c>
      <c r="D57">
        <v>6.7523E-2</v>
      </c>
      <c r="E57" s="28">
        <v>2.0699999999999999E-4</v>
      </c>
      <c r="F57">
        <f t="shared" si="12"/>
        <v>0.59251497526757824</v>
      </c>
      <c r="G57">
        <f t="shared" si="13"/>
        <v>3.5633360327359774E-2</v>
      </c>
      <c r="H57">
        <f t="shared" si="14"/>
        <v>-1.0923841635832935E-3</v>
      </c>
    </row>
    <row r="58" spans="1:12" x14ac:dyDescent="0.25">
      <c r="A58">
        <v>50</v>
      </c>
      <c r="B58">
        <v>4</v>
      </c>
      <c r="C58">
        <v>-1.124754</v>
      </c>
      <c r="D58">
        <v>6.7655999999999994E-2</v>
      </c>
      <c r="E58" s="28">
        <v>1.8200000000000001E-4</v>
      </c>
      <c r="F58">
        <f t="shared" si="12"/>
        <v>0.59355722585843673</v>
      </c>
      <c r="G58">
        <f t="shared" si="13"/>
        <v>3.5703547329174544E-2</v>
      </c>
      <c r="H58">
        <f t="shared" si="14"/>
        <v>-9.6045370904424855E-4</v>
      </c>
    </row>
    <row r="59" spans="1:12" x14ac:dyDescent="0.25">
      <c r="A59">
        <v>50</v>
      </c>
      <c r="B59">
        <v>4</v>
      </c>
      <c r="C59">
        <v>-1.123313</v>
      </c>
      <c r="D59">
        <v>6.7611000000000004E-2</v>
      </c>
      <c r="E59" s="28">
        <v>1.83E-4</v>
      </c>
      <c r="F59">
        <f t="shared" si="12"/>
        <v>0.59279677871847358</v>
      </c>
      <c r="G59">
        <f t="shared" si="13"/>
        <v>3.5679799847357523E-2</v>
      </c>
      <c r="H59">
        <f t="shared" si="14"/>
        <v>-9.6573092722581028E-4</v>
      </c>
    </row>
    <row r="60" spans="1:12" x14ac:dyDescent="0.25">
      <c r="A60" t="s">
        <v>79</v>
      </c>
      <c r="B60">
        <v>4</v>
      </c>
      <c r="E60" s="28"/>
      <c r="F60">
        <f>AVERAGE(F48:F59)</f>
        <v>0.59079156773993469</v>
      </c>
      <c r="G60">
        <f t="shared" ref="G60:H60" si="15">AVERAGE(G48:G59)</f>
        <v>3.5518536855092625E-2</v>
      </c>
      <c r="H60">
        <f t="shared" si="15"/>
        <v>-9.5781509995346758E-4</v>
      </c>
    </row>
    <row r="62" spans="1:12" x14ac:dyDescent="0.25">
      <c r="A62" t="s">
        <v>85</v>
      </c>
      <c r="B62" t="s">
        <v>101</v>
      </c>
      <c r="C62" t="s">
        <v>53</v>
      </c>
      <c r="D62" t="s">
        <v>52</v>
      </c>
      <c r="E62" t="s">
        <v>100</v>
      </c>
      <c r="F62" t="s">
        <v>102</v>
      </c>
      <c r="G62" t="s">
        <v>103</v>
      </c>
      <c r="H62" t="s">
        <v>104</v>
      </c>
      <c r="L62">
        <f>-0.5*1.29*12.12*12.12*0.02</f>
        <v>-1.8949377599999999</v>
      </c>
    </row>
    <row r="63" spans="1:12" x14ac:dyDescent="0.25">
      <c r="A63" s="28">
        <v>50</v>
      </c>
      <c r="B63" s="28">
        <v>8</v>
      </c>
      <c r="C63">
        <v>-1.8644210000000001</v>
      </c>
      <c r="D63">
        <v>0.196021</v>
      </c>
      <c r="E63">
        <v>2.7399999999999999E-4</v>
      </c>
      <c r="F63">
        <f t="shared" ref="F63:F74" si="16">C63/$L$62</f>
        <v>0.98389563992856433</v>
      </c>
      <c r="G63">
        <f t="shared" ref="G63:G74" si="17">-D63/$L$62</f>
        <v>0.10344455851679266</v>
      </c>
      <c r="H63">
        <f>E63/($L$62*0.1)</f>
        <v>-1.4459577817479345E-3</v>
      </c>
    </row>
    <row r="64" spans="1:12" x14ac:dyDescent="0.25">
      <c r="A64" s="28">
        <v>50</v>
      </c>
      <c r="B64" s="28">
        <v>8</v>
      </c>
      <c r="C64">
        <v>-1.8504370000000001</v>
      </c>
      <c r="D64">
        <v>0.194408</v>
      </c>
      <c r="E64">
        <v>2.8600000000000001E-4</v>
      </c>
      <c r="F64">
        <f t="shared" si="16"/>
        <v>0.97651597802346823</v>
      </c>
      <c r="G64">
        <f t="shared" si="17"/>
        <v>0.10259334322410674</v>
      </c>
      <c r="H64">
        <f t="shared" ref="H64:H74" si="18">E64/($L$62*0.1)</f>
        <v>-1.5092843999266763E-3</v>
      </c>
    </row>
    <row r="65" spans="1:8" x14ac:dyDescent="0.25">
      <c r="A65" s="28">
        <v>50</v>
      </c>
      <c r="B65" s="28">
        <v>8</v>
      </c>
      <c r="C65">
        <v>-1.8757740000000001</v>
      </c>
      <c r="D65">
        <v>0.19763600000000001</v>
      </c>
      <c r="E65">
        <v>2.92E-4</v>
      </c>
      <c r="F65">
        <f t="shared" si="16"/>
        <v>0.98988686573009144</v>
      </c>
      <c r="G65">
        <f t="shared" si="17"/>
        <v>0.1042968292531149</v>
      </c>
      <c r="H65">
        <f t="shared" si="18"/>
        <v>-1.540947709016047E-3</v>
      </c>
    </row>
    <row r="66" spans="1:8" x14ac:dyDescent="0.25">
      <c r="A66" s="28">
        <v>50</v>
      </c>
      <c r="B66" s="28">
        <v>8</v>
      </c>
      <c r="C66">
        <v>-1.8793359999999999</v>
      </c>
      <c r="D66">
        <v>0.198321</v>
      </c>
      <c r="E66">
        <v>2.63E-4</v>
      </c>
      <c r="F66">
        <f t="shared" si="16"/>
        <v>0.99176661084636364</v>
      </c>
      <c r="G66">
        <f t="shared" si="17"/>
        <v>0.10465831869855187</v>
      </c>
      <c r="H66">
        <f t="shared" si="18"/>
        <v>-1.3879083817507547E-3</v>
      </c>
    </row>
    <row r="67" spans="1:8" x14ac:dyDescent="0.25">
      <c r="A67" s="28">
        <v>50</v>
      </c>
      <c r="B67" s="28">
        <v>8</v>
      </c>
      <c r="C67">
        <v>-1.8689169999999999</v>
      </c>
      <c r="D67">
        <v>0.19717000000000001</v>
      </c>
      <c r="E67">
        <v>2.3800000000000001E-4</v>
      </c>
      <c r="F67">
        <f t="shared" si="16"/>
        <v>0.98626827722299437</v>
      </c>
      <c r="G67">
        <f t="shared" si="17"/>
        <v>0.10405091088585412</v>
      </c>
      <c r="H67">
        <f t="shared" si="18"/>
        <v>-1.2559779272117097E-3</v>
      </c>
    </row>
    <row r="68" spans="1:8" x14ac:dyDescent="0.25">
      <c r="A68" s="28">
        <v>50</v>
      </c>
      <c r="B68" s="28">
        <v>8</v>
      </c>
      <c r="C68">
        <v>-1.8597999999999999</v>
      </c>
      <c r="D68">
        <v>0.195635</v>
      </c>
      <c r="E68">
        <v>2.9599999999999998E-4</v>
      </c>
      <c r="F68">
        <f t="shared" si="16"/>
        <v>0.98145703740686452</v>
      </c>
      <c r="G68">
        <f t="shared" si="17"/>
        <v>0.10324085789498438</v>
      </c>
      <c r="H68">
        <f t="shared" si="18"/>
        <v>-1.5620565817422941E-3</v>
      </c>
    </row>
    <row r="69" spans="1:8" x14ac:dyDescent="0.25">
      <c r="A69" s="28">
        <v>50</v>
      </c>
      <c r="B69" s="28">
        <v>8</v>
      </c>
      <c r="C69">
        <v>-1.852519</v>
      </c>
      <c r="D69">
        <v>0.19507099999999999</v>
      </c>
      <c r="E69">
        <v>3.1E-4</v>
      </c>
      <c r="F69">
        <f t="shared" si="16"/>
        <v>0.97761469484886943</v>
      </c>
      <c r="G69">
        <f t="shared" si="17"/>
        <v>0.10294322278954429</v>
      </c>
      <c r="H69">
        <f t="shared" si="18"/>
        <v>-1.6359376362841595E-3</v>
      </c>
    </row>
    <row r="70" spans="1:8" x14ac:dyDescent="0.25">
      <c r="A70" s="28">
        <v>50</v>
      </c>
      <c r="B70" s="28">
        <v>8</v>
      </c>
      <c r="C70">
        <v>-1.8577520000000001</v>
      </c>
      <c r="D70">
        <v>0.195442</v>
      </c>
      <c r="E70">
        <v>3.19E-4</v>
      </c>
      <c r="F70">
        <f t="shared" si="16"/>
        <v>0.98037626312328074</v>
      </c>
      <c r="G70">
        <f t="shared" si="17"/>
        <v>0.10313900758408023</v>
      </c>
      <c r="H70">
        <f t="shared" si="18"/>
        <v>-1.6834325999182157E-3</v>
      </c>
    </row>
    <row r="71" spans="1:8" x14ac:dyDescent="0.25">
      <c r="A71" s="28">
        <v>50</v>
      </c>
      <c r="B71" s="28">
        <v>8</v>
      </c>
      <c r="C71">
        <v>-1.8588290000000001</v>
      </c>
      <c r="D71">
        <v>0.19550999999999999</v>
      </c>
      <c r="E71">
        <v>2.9300000000000002E-4</v>
      </c>
      <c r="F71">
        <f t="shared" si="16"/>
        <v>0.98094461952143497</v>
      </c>
      <c r="G71">
        <f t="shared" si="17"/>
        <v>0.10317489266771485</v>
      </c>
      <c r="H71">
        <f t="shared" si="18"/>
        <v>-1.546224927197609E-3</v>
      </c>
    </row>
    <row r="72" spans="1:8" x14ac:dyDescent="0.25">
      <c r="A72" s="28">
        <v>50</v>
      </c>
      <c r="B72" s="28">
        <v>8</v>
      </c>
      <c r="C72">
        <v>-1.8457239999999999</v>
      </c>
      <c r="D72">
        <v>0.193936</v>
      </c>
      <c r="E72">
        <v>2.9999999999999997E-4</v>
      </c>
      <c r="F72">
        <f t="shared" si="16"/>
        <v>0.97402882509449806</v>
      </c>
      <c r="G72">
        <f t="shared" si="17"/>
        <v>0.10234425852593702</v>
      </c>
      <c r="H72">
        <f t="shared" si="18"/>
        <v>-1.5831654544685412E-3</v>
      </c>
    </row>
    <row r="73" spans="1:8" x14ac:dyDescent="0.25">
      <c r="A73" s="28">
        <v>50</v>
      </c>
      <c r="B73" s="28">
        <v>8</v>
      </c>
      <c r="C73">
        <v>-1.8664849999999999</v>
      </c>
      <c r="D73">
        <v>0.196719</v>
      </c>
      <c r="E73">
        <v>3.1100000000000002E-4</v>
      </c>
      <c r="F73">
        <f t="shared" si="16"/>
        <v>0.98498485776123856</v>
      </c>
      <c r="G73">
        <f t="shared" si="17"/>
        <v>0.10381290834586568</v>
      </c>
      <c r="H73">
        <f t="shared" si="18"/>
        <v>-1.6412148544657215E-3</v>
      </c>
    </row>
    <row r="74" spans="1:8" x14ac:dyDescent="0.25">
      <c r="A74" s="28">
        <v>50</v>
      </c>
      <c r="B74" s="28">
        <v>8</v>
      </c>
      <c r="C74">
        <v>-1.8660239999999999</v>
      </c>
      <c r="D74">
        <v>0.196438</v>
      </c>
      <c r="E74">
        <v>3.39E-4</v>
      </c>
      <c r="F74">
        <f t="shared" si="16"/>
        <v>0.9847415780030685</v>
      </c>
      <c r="G74">
        <f t="shared" si="17"/>
        <v>0.10366461851496379</v>
      </c>
      <c r="H74">
        <f t="shared" si="18"/>
        <v>-1.7889769635494519E-3</v>
      </c>
    </row>
    <row r="75" spans="1:8" x14ac:dyDescent="0.25">
      <c r="A75" t="s">
        <v>79</v>
      </c>
      <c r="B75" s="28">
        <v>8</v>
      </c>
      <c r="F75">
        <f>AVERAGE(F63:F74)</f>
        <v>0.98270677062589484</v>
      </c>
      <c r="G75">
        <f t="shared" ref="G75:H75" si="19">AVERAGE(G63:G74)</f>
        <v>0.10344697724179254</v>
      </c>
      <c r="H75">
        <f t="shared" si="19"/>
        <v>-1.548423768106593E-3</v>
      </c>
    </row>
    <row r="79" spans="1:8" x14ac:dyDescent="0.25">
      <c r="F79" t="s">
        <v>102</v>
      </c>
      <c r="G79" t="s">
        <v>103</v>
      </c>
      <c r="H79" t="s">
        <v>104</v>
      </c>
    </row>
    <row r="80" spans="1:8" x14ac:dyDescent="0.25">
      <c r="E80">
        <v>0</v>
      </c>
      <c r="F80">
        <v>0.20799999999999999</v>
      </c>
      <c r="G80">
        <v>1.7000000000000001E-2</v>
      </c>
      <c r="H80">
        <v>-6.9999999999999999E-4</v>
      </c>
    </row>
    <row r="81" spans="5:8" x14ac:dyDescent="0.25">
      <c r="E81">
        <v>4</v>
      </c>
      <c r="F81">
        <v>0.59079199999999998</v>
      </c>
      <c r="G81">
        <v>3.5518500000000001E-2</v>
      </c>
      <c r="H81">
        <v>-9.5781499999999999E-4</v>
      </c>
    </row>
    <row r="82" spans="5:8" x14ac:dyDescent="0.25">
      <c r="E82">
        <v>8</v>
      </c>
      <c r="F82">
        <v>0.982707</v>
      </c>
      <c r="G82">
        <v>0.103447</v>
      </c>
      <c r="H82">
        <v>-1.5484240000000001E-3</v>
      </c>
    </row>
  </sheetData>
  <pageMargins left="0.7" right="0.7" top="0.75" bottom="0.75" header="0.3" footer="0.3"/>
  <pageSetup paperSize="9" orientation="portrait" horizontalDpi="360" verticalDpi="360" r:id="rId1"/>
  <ignoredErrors>
    <ignoredError sqref="G33:G44 G63:G7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Blad4</vt:lpstr>
      <vt:lpstr>Blad5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Maarten Vermaelen</dc:creator>
  <cp:keywords/>
  <dc:description/>
  <cp:lastModifiedBy>Maarten Vermaelen</cp:lastModifiedBy>
  <cp:revision/>
  <dcterms:created xsi:type="dcterms:W3CDTF">2023-11-20T14:01:47Z</dcterms:created>
  <dcterms:modified xsi:type="dcterms:W3CDTF">2024-08-18T16:53:11Z</dcterms:modified>
  <cp:category/>
  <cp:contentStatus/>
</cp:coreProperties>
</file>