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.sharepoint.com/sites/ProjektFinance/Delte dokumenter/General/LeoVegas Valuation/"/>
    </mc:Choice>
  </mc:AlternateContent>
  <xr:revisionPtr revIDLastSave="591" documentId="101_{3751B573-CB8E-4089-88B4-9A8B84D9E1D3}" xr6:coauthVersionLast="47" xr6:coauthVersionMax="47" xr10:uidLastSave="{EA0EA19C-0AEC-4965-AFE0-C9774105FC80}"/>
  <bookViews>
    <workbookView xWindow="-108" yWindow="-108" windowWidth="23256" windowHeight="12576" firstSheet="5" activeTab="9" xr2:uid="{04982F8B-E203-48C3-A3E2-54DAC99265E3}"/>
  </bookViews>
  <sheets>
    <sheet name="Management" sheetId="1" r:id="rId1"/>
    <sheet name="Board of Directors" sheetId="2" r:id="rId2"/>
    <sheet name="Shareholders &amp; Insider Transact" sheetId="3" r:id="rId3"/>
    <sheet name="Porter's Five Forces" sheetId="4" r:id="rId4"/>
    <sheet name="Peer Comparison" sheetId="5" r:id="rId5"/>
    <sheet name="Revenue Projection" sheetId="8" r:id="rId6"/>
    <sheet name="Income statement" sheetId="7" r:id="rId7"/>
    <sheet name="Balance Sheet" sheetId="9" r:id="rId8"/>
    <sheet name="Cash flow statement" sheetId="10" r:id="rId9"/>
    <sheet name="Relative valuation" sheetId="11" r:id="rId10"/>
    <sheet name="Other illustration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8" l="1"/>
  <c r="C72" i="8"/>
  <c r="C74" i="8"/>
  <c r="C75" i="8"/>
  <c r="C71" i="8"/>
  <c r="C70" i="8"/>
  <c r="C64" i="8"/>
  <c r="C76" i="8"/>
  <c r="C67" i="8"/>
  <c r="C66" i="8"/>
  <c r="C63" i="8"/>
  <c r="C62" i="8"/>
  <c r="K29" i="8"/>
  <c r="U11" i="8"/>
  <c r="Q33" i="8"/>
  <c r="G25" i="9" l="1"/>
  <c r="M49" i="9"/>
  <c r="N45" i="9"/>
  <c r="I12" i="7"/>
  <c r="J12" i="7" s="1"/>
  <c r="K12" i="7" s="1"/>
  <c r="H12" i="7"/>
  <c r="N5" i="7"/>
  <c r="B73" i="9" l="1"/>
  <c r="C73" i="9"/>
  <c r="D73" i="9"/>
  <c r="E73" i="9"/>
  <c r="F73" i="9"/>
  <c r="H25" i="9"/>
  <c r="I25" i="9" s="1"/>
  <c r="J25" i="9" s="1"/>
  <c r="K25" i="9" s="1"/>
  <c r="P3" i="7"/>
  <c r="Q7" i="7" l="1"/>
  <c r="Q6" i="7"/>
  <c r="R6" i="7"/>
  <c r="S6" i="7"/>
  <c r="P6" i="7"/>
  <c r="B57" i="9"/>
  <c r="M19" i="10" l="1"/>
  <c r="C24" i="8" l="1"/>
  <c r="D24" i="8" s="1"/>
  <c r="E24" i="8" s="1"/>
  <c r="F24" i="8" s="1"/>
  <c r="G24" i="8" s="1"/>
  <c r="H24" i="8" s="1"/>
  <c r="A10" i="8"/>
  <c r="A11" i="8"/>
  <c r="H2" i="8"/>
  <c r="G2" i="8"/>
  <c r="F2" i="8"/>
  <c r="C2" i="8"/>
  <c r="C11" i="8" s="1"/>
  <c r="E2" i="8"/>
  <c r="D2" i="8"/>
  <c r="G10" i="8" l="1"/>
  <c r="C10" i="8"/>
  <c r="H11" i="8"/>
  <c r="H10" i="8"/>
  <c r="D11" i="8"/>
  <c r="F11" i="8"/>
  <c r="D10" i="8"/>
  <c r="G11" i="8"/>
  <c r="E11" i="8"/>
  <c r="F10" i="8"/>
  <c r="E10" i="8"/>
  <c r="H12" i="8" l="1"/>
  <c r="H8" i="8"/>
  <c r="C18" i="8"/>
  <c r="C22" i="8"/>
  <c r="C57" i="9"/>
  <c r="D57" i="9"/>
  <c r="E57" i="9"/>
  <c r="F57" i="9"/>
  <c r="M3" i="7"/>
  <c r="D16" i="8"/>
  <c r="C25" i="8"/>
  <c r="H16" i="8" l="1"/>
  <c r="G16" i="8"/>
  <c r="F16" i="8"/>
  <c r="E16" i="8"/>
  <c r="C16" i="8"/>
  <c r="C17" i="8" s="1"/>
  <c r="D17" i="8" s="1"/>
  <c r="E17" i="8" s="1"/>
  <c r="F17" i="8" s="1"/>
  <c r="G17" i="8" s="1"/>
  <c r="H17" i="8" s="1"/>
  <c r="E8" i="8"/>
  <c r="F8" i="8"/>
  <c r="G8" i="8"/>
  <c r="D8" i="8"/>
  <c r="C8" i="8"/>
  <c r="C7" i="8" s="1"/>
  <c r="E70" i="9"/>
  <c r="N19" i="10"/>
  <c r="O19" i="10" s="1"/>
  <c r="G19" i="10" s="1"/>
  <c r="B12" i="10"/>
  <c r="G12" i="10" s="1"/>
  <c r="C12" i="10"/>
  <c r="D12" i="10"/>
  <c r="E12" i="10"/>
  <c r="F12" i="10"/>
  <c r="M36" i="8"/>
  <c r="N36" i="8" s="1"/>
  <c r="O36" i="8" s="1"/>
  <c r="P36" i="8" s="1"/>
  <c r="Q36" i="8" s="1"/>
  <c r="B63" i="9"/>
  <c r="M32" i="8"/>
  <c r="N32" i="8" s="1"/>
  <c r="D66" i="9"/>
  <c r="D64" i="9"/>
  <c r="E64" i="9"/>
  <c r="C64" i="9"/>
  <c r="B65" i="9"/>
  <c r="C63" i="9"/>
  <c r="D63" i="9"/>
  <c r="D70" i="9" s="1"/>
  <c r="E63" i="9"/>
  <c r="C65" i="9"/>
  <c r="C70" i="9" s="1"/>
  <c r="D65" i="9"/>
  <c r="E65" i="9"/>
  <c r="E67" i="9" s="1"/>
  <c r="F65" i="9"/>
  <c r="F66" i="9" s="1"/>
  <c r="F63" i="9"/>
  <c r="G6" i="10"/>
  <c r="H6" i="10" s="1"/>
  <c r="I6" i="10" s="1"/>
  <c r="J6" i="10" s="1"/>
  <c r="K6" i="10" s="1"/>
  <c r="C27" i="7"/>
  <c r="D27" i="7"/>
  <c r="E27" i="7"/>
  <c r="F27" i="7"/>
  <c r="B27" i="7"/>
  <c r="E14" i="11"/>
  <c r="D23" i="11"/>
  <c r="C23" i="11"/>
  <c r="D22" i="11"/>
  <c r="C22" i="11"/>
  <c r="D15" i="11"/>
  <c r="C15" i="11"/>
  <c r="D14" i="11"/>
  <c r="C14" i="11"/>
  <c r="D8" i="11"/>
  <c r="C8" i="11"/>
  <c r="D7" i="11"/>
  <c r="C7" i="11"/>
  <c r="F67" i="9" l="1"/>
  <c r="F68" i="9" s="1"/>
  <c r="G14" i="10"/>
  <c r="G13" i="10"/>
  <c r="L13" i="10" s="1"/>
  <c r="F64" i="9"/>
  <c r="B70" i="9"/>
  <c r="F70" i="9"/>
  <c r="C66" i="9"/>
  <c r="C67" i="9"/>
  <c r="E66" i="9"/>
  <c r="O32" i="8"/>
  <c r="P32" i="8" s="1"/>
  <c r="Q32" i="8" s="1"/>
  <c r="R32" i="8" s="1"/>
  <c r="S32" i="8" s="1"/>
  <c r="K33" i="8" s="1"/>
  <c r="C20" i="8"/>
  <c r="E18" i="8"/>
  <c r="H18" i="8"/>
  <c r="C27" i="8"/>
  <c r="F18" i="8"/>
  <c r="G18" i="8"/>
  <c r="D18" i="8"/>
  <c r="H19" i="10"/>
  <c r="D67" i="9"/>
  <c r="D68" i="9" s="1"/>
  <c r="B67" i="9"/>
  <c r="C68" i="9" s="1"/>
  <c r="M7" i="11"/>
  <c r="M8" i="11"/>
  <c r="M14" i="11"/>
  <c r="M15" i="11"/>
  <c r="M22" i="11"/>
  <c r="M23" i="11"/>
  <c r="K22" i="11"/>
  <c r="K23" i="11"/>
  <c r="I23" i="11"/>
  <c r="G23" i="11"/>
  <c r="E23" i="11"/>
  <c r="K15" i="11"/>
  <c r="I15" i="11"/>
  <c r="G15" i="11"/>
  <c r="E15" i="11"/>
  <c r="K14" i="11"/>
  <c r="I14" i="11"/>
  <c r="G14" i="11"/>
  <c r="G8" i="11"/>
  <c r="I8" i="11"/>
  <c r="K8" i="11"/>
  <c r="E8" i="11"/>
  <c r="K7" i="11"/>
  <c r="I7" i="11"/>
  <c r="G7" i="11"/>
  <c r="E7" i="11"/>
  <c r="I19" i="10" l="1"/>
  <c r="D20" i="8"/>
  <c r="C21" i="8"/>
  <c r="E68" i="9"/>
  <c r="B10" i="10"/>
  <c r="I23" i="10"/>
  <c r="H23" i="10"/>
  <c r="G23" i="10"/>
  <c r="E29" i="10"/>
  <c r="H39" i="9"/>
  <c r="I39" i="9" s="1"/>
  <c r="J39" i="9" s="1"/>
  <c r="K39" i="9" s="1"/>
  <c r="H50" i="9"/>
  <c r="I50" i="9" s="1"/>
  <c r="J50" i="9" s="1"/>
  <c r="K50" i="9" s="1"/>
  <c r="H52" i="9"/>
  <c r="I52" i="9" s="1"/>
  <c r="J52" i="9" s="1"/>
  <c r="K52" i="9" s="1"/>
  <c r="H53" i="9"/>
  <c r="I53" i="9" s="1"/>
  <c r="J53" i="9" s="1"/>
  <c r="K53" i="9" s="1"/>
  <c r="H55" i="9"/>
  <c r="I55" i="9" s="1"/>
  <c r="J55" i="9" s="1"/>
  <c r="K55" i="9" s="1"/>
  <c r="C18" i="7"/>
  <c r="D18" i="7"/>
  <c r="E18" i="7"/>
  <c r="F18" i="7"/>
  <c r="B18" i="7"/>
  <c r="C38" i="7"/>
  <c r="C39" i="7" s="1"/>
  <c r="D38" i="7"/>
  <c r="D39" i="7" s="1"/>
  <c r="E38" i="7"/>
  <c r="E39" i="7" s="1"/>
  <c r="F38" i="7"/>
  <c r="F39" i="7" s="1"/>
  <c r="F4" i="7"/>
  <c r="B35" i="7"/>
  <c r="B38" i="7" s="1"/>
  <c r="B39" i="7" s="1"/>
  <c r="G18" i="7" l="1"/>
  <c r="J19" i="10"/>
  <c r="E20" i="8"/>
  <c r="D22" i="8"/>
  <c r="H18" i="7"/>
  <c r="G39" i="7"/>
  <c r="K19" i="10" l="1"/>
  <c r="J23" i="10"/>
  <c r="F20" i="8"/>
  <c r="E22" i="8"/>
  <c r="H39" i="7"/>
  <c r="I18" i="7"/>
  <c r="K23" i="10" l="1"/>
  <c r="F22" i="8"/>
  <c r="G20" i="8"/>
  <c r="J18" i="7"/>
  <c r="I39" i="7"/>
  <c r="J39" i="7"/>
  <c r="G22" i="8" l="1"/>
  <c r="H20" i="8"/>
  <c r="H22" i="8" s="1"/>
  <c r="K18" i="7"/>
  <c r="K39" i="7"/>
  <c r="B42" i="7" l="1"/>
  <c r="C42" i="7"/>
  <c r="D42" i="7"/>
  <c r="E42" i="7"/>
  <c r="F42" i="7"/>
  <c r="B36" i="7"/>
  <c r="C36" i="7"/>
  <c r="D36" i="7"/>
  <c r="E36" i="7"/>
  <c r="F36" i="7"/>
  <c r="B33" i="7"/>
  <c r="C33" i="7"/>
  <c r="D33" i="7"/>
  <c r="E33" i="7"/>
  <c r="F33" i="7"/>
  <c r="B30" i="7"/>
  <c r="C30" i="7"/>
  <c r="D30" i="7"/>
  <c r="E30" i="7"/>
  <c r="F30" i="7"/>
  <c r="B26" i="7"/>
  <c r="C26" i="7"/>
  <c r="D26" i="7"/>
  <c r="E26" i="7"/>
  <c r="B24" i="7"/>
  <c r="C24" i="7"/>
  <c r="D24" i="7"/>
  <c r="E24" i="7"/>
  <c r="F26" i="7"/>
  <c r="F24" i="7"/>
  <c r="B21" i="7"/>
  <c r="C21" i="7"/>
  <c r="D21" i="7"/>
  <c r="E21" i="7"/>
  <c r="F21" i="7"/>
  <c r="B16" i="7"/>
  <c r="C16" i="7"/>
  <c r="D16" i="7"/>
  <c r="E16" i="7"/>
  <c r="F16" i="7"/>
  <c r="B14" i="7"/>
  <c r="C14" i="7"/>
  <c r="D14" i="7"/>
  <c r="E14" i="7"/>
  <c r="F14" i="7"/>
  <c r="B12" i="7"/>
  <c r="C12" i="7"/>
  <c r="D12" i="7"/>
  <c r="E12" i="7"/>
  <c r="F12" i="7"/>
  <c r="B9" i="7"/>
  <c r="C9" i="7"/>
  <c r="D9" i="7"/>
  <c r="E9" i="7"/>
  <c r="F9" i="7"/>
  <c r="B6" i="7"/>
  <c r="C6" i="7"/>
  <c r="D6" i="7"/>
  <c r="E6" i="7"/>
  <c r="F6" i="7"/>
  <c r="B4" i="7"/>
  <c r="C4" i="7"/>
  <c r="D4" i="7"/>
  <c r="E4" i="7"/>
  <c r="C26" i="5"/>
  <c r="D26" i="5"/>
  <c r="E26" i="5"/>
  <c r="F26" i="5"/>
  <c r="G26" i="5"/>
  <c r="B26" i="5"/>
  <c r="C21" i="5"/>
  <c r="D21" i="5"/>
  <c r="E21" i="5"/>
  <c r="F21" i="5"/>
  <c r="G21" i="5"/>
  <c r="B21" i="5"/>
  <c r="C16" i="5"/>
  <c r="D16" i="5"/>
  <c r="E16" i="5"/>
  <c r="F16" i="5"/>
  <c r="G16" i="5"/>
  <c r="B16" i="5"/>
  <c r="C11" i="5"/>
  <c r="D11" i="5"/>
  <c r="E11" i="5"/>
  <c r="F11" i="5"/>
  <c r="G11" i="5"/>
  <c r="B11" i="5"/>
  <c r="C6" i="5"/>
  <c r="D6" i="5"/>
  <c r="E6" i="5"/>
  <c r="F6" i="5"/>
  <c r="G6" i="5"/>
  <c r="B6" i="5"/>
  <c r="F9" i="3"/>
  <c r="F8" i="3"/>
  <c r="D8" i="3"/>
  <c r="D9" i="3"/>
  <c r="H11" i="3"/>
  <c r="K11" i="3" s="1"/>
  <c r="L11" i="3" s="1"/>
  <c r="H10" i="3"/>
  <c r="K10" i="3" s="1"/>
  <c r="L10" i="3" s="1"/>
  <c r="H9" i="3"/>
  <c r="K9" i="3" s="1"/>
  <c r="L9" i="3" s="1"/>
  <c r="H8" i="3"/>
  <c r="T47" i="3"/>
  <c r="T49" i="3"/>
  <c r="T44" i="3"/>
  <c r="U51" i="3"/>
  <c r="S51" i="3"/>
  <c r="T45" i="3"/>
  <c r="T46" i="3"/>
  <c r="T48" i="3"/>
  <c r="T50" i="3"/>
  <c r="H7" i="3"/>
  <c r="K7" i="3" s="1"/>
  <c r="L7" i="3" s="1"/>
  <c r="F6" i="3"/>
  <c r="F7" i="3"/>
  <c r="G6" i="3"/>
  <c r="H6" i="3"/>
  <c r="K6" i="3" s="1"/>
  <c r="L6" i="3" s="1"/>
  <c r="D6" i="3"/>
  <c r="D7" i="3"/>
  <c r="G4" i="7" l="1"/>
  <c r="H4" i="7" s="1"/>
  <c r="I4" i="7" s="1"/>
  <c r="J4" i="7" s="1"/>
  <c r="K4" i="7" s="1"/>
  <c r="H24" i="7"/>
  <c r="H26" i="7"/>
  <c r="I8" i="3"/>
  <c r="I9" i="3"/>
  <c r="K8" i="3"/>
  <c r="L8" i="3" s="1"/>
  <c r="I6" i="3"/>
  <c r="T51" i="3"/>
  <c r="I7" i="3"/>
  <c r="I24" i="7" l="1"/>
  <c r="I33" i="7" l="1"/>
  <c r="J33" i="7" s="1"/>
  <c r="J24" i="7"/>
  <c r="K24" i="7" l="1"/>
  <c r="K33" i="7"/>
  <c r="D12" i="8" l="1"/>
  <c r="D14" i="8" s="1"/>
  <c r="D27" i="8" s="1"/>
  <c r="D28" i="8" s="1"/>
  <c r="E12" i="8"/>
  <c r="E14" i="8" s="1"/>
  <c r="E27" i="8" s="1"/>
  <c r="C12" i="8"/>
  <c r="E28" i="8" l="1"/>
  <c r="F12" i="8"/>
  <c r="F14" i="8" s="1"/>
  <c r="F27" i="8" s="1"/>
  <c r="F28" i="8" s="1"/>
  <c r="H14" i="8" l="1"/>
  <c r="H27" i="8" s="1"/>
  <c r="G12" i="8"/>
  <c r="G14" i="8" s="1"/>
  <c r="G27" i="8" s="1"/>
  <c r="G28" i="8" s="1"/>
  <c r="C29" i="8" l="1"/>
  <c r="H28" i="8"/>
  <c r="G4" i="9" l="1"/>
  <c r="J38" i="9"/>
  <c r="I38" i="9"/>
  <c r="H38" i="9"/>
  <c r="G38" i="9"/>
  <c r="K38" i="9"/>
  <c r="H12" i="10"/>
  <c r="G51" i="9"/>
  <c r="H51" i="9" s="1"/>
  <c r="I51" i="9" s="1"/>
  <c r="J51" i="9" s="1"/>
  <c r="K51" i="9" s="1"/>
  <c r="G32" i="9"/>
  <c r="H32" i="9" s="1"/>
  <c r="I32" i="9" s="1"/>
  <c r="J32" i="9" s="1"/>
  <c r="K32" i="9" s="1"/>
  <c r="G15" i="9"/>
  <c r="G6" i="9"/>
  <c r="H6" i="9" s="1"/>
  <c r="I6" i="9" s="1"/>
  <c r="J6" i="9" s="1"/>
  <c r="K6" i="9" s="1"/>
  <c r="G49" i="9"/>
  <c r="H49" i="9" s="1"/>
  <c r="I49" i="9" s="1"/>
  <c r="J49" i="9" s="1"/>
  <c r="K49" i="9" s="1"/>
  <c r="G29" i="9"/>
  <c r="H29" i="9" s="1"/>
  <c r="I29" i="9" s="1"/>
  <c r="J29" i="9" s="1"/>
  <c r="K29" i="9" s="1"/>
  <c r="G11" i="9"/>
  <c r="H11" i="9" s="1"/>
  <c r="I11" i="9" s="1"/>
  <c r="J11" i="9" s="1"/>
  <c r="K11" i="9" s="1"/>
  <c r="G48" i="9"/>
  <c r="H48" i="9" s="1"/>
  <c r="I48" i="9" s="1"/>
  <c r="J48" i="9" s="1"/>
  <c r="K48" i="9" s="1"/>
  <c r="G28" i="9"/>
  <c r="H28" i="9" s="1"/>
  <c r="I28" i="9" s="1"/>
  <c r="J28" i="9" s="1"/>
  <c r="K28" i="9" s="1"/>
  <c r="G10" i="9"/>
  <c r="H10" i="9" s="1"/>
  <c r="I10" i="9" s="1"/>
  <c r="J10" i="9" s="1"/>
  <c r="K10" i="9" s="1"/>
  <c r="G42" i="9"/>
  <c r="H42" i="9" s="1"/>
  <c r="I42" i="9" s="1"/>
  <c r="J42" i="9" s="1"/>
  <c r="K42" i="9" s="1"/>
  <c r="G17" i="9"/>
  <c r="H17" i="9" s="1"/>
  <c r="I17" i="9" s="1"/>
  <c r="J17" i="9" s="1"/>
  <c r="K17" i="9" s="1"/>
  <c r="G40" i="9"/>
  <c r="H40" i="9" s="1"/>
  <c r="I40" i="9" s="1"/>
  <c r="J40" i="9" s="1"/>
  <c r="K40" i="9" s="1"/>
  <c r="G47" i="9"/>
  <c r="H47" i="9" s="1"/>
  <c r="I47" i="9" s="1"/>
  <c r="J47" i="9" s="1"/>
  <c r="K47" i="9" s="1"/>
  <c r="G26" i="9"/>
  <c r="G46" i="9"/>
  <c r="G5" i="9"/>
  <c r="H5" i="9" s="1"/>
  <c r="I5" i="9" s="1"/>
  <c r="J5" i="9" s="1"/>
  <c r="K5" i="9" s="1"/>
  <c r="G8" i="9"/>
  <c r="H8" i="9" s="1"/>
  <c r="I8" i="9" s="1"/>
  <c r="J8" i="9" s="1"/>
  <c r="K8" i="9" s="1"/>
  <c r="G16" i="9"/>
  <c r="H16" i="9" s="1"/>
  <c r="I16" i="9" s="1"/>
  <c r="J16" i="9" s="1"/>
  <c r="K16" i="9" s="1"/>
  <c r="G7" i="9"/>
  <c r="H7" i="9" s="1"/>
  <c r="I7" i="9" s="1"/>
  <c r="J7" i="9" s="1"/>
  <c r="K7" i="9" s="1"/>
  <c r="G41" i="9"/>
  <c r="H41" i="9" s="1"/>
  <c r="I41" i="9" s="1"/>
  <c r="J41" i="9" s="1"/>
  <c r="K41" i="9" s="1"/>
  <c r="G18" i="9"/>
  <c r="H18" i="9" s="1"/>
  <c r="I18" i="9" s="1"/>
  <c r="J18" i="9" s="1"/>
  <c r="K18" i="9" s="1"/>
  <c r="G2" i="7"/>
  <c r="G25" i="7" s="1"/>
  <c r="G3" i="7" l="1"/>
  <c r="G38" i="7"/>
  <c r="G7" i="10" s="1"/>
  <c r="G54" i="9"/>
  <c r="G65" i="9" s="1"/>
  <c r="H46" i="9"/>
  <c r="H13" i="10"/>
  <c r="H14" i="10"/>
  <c r="I12" i="10"/>
  <c r="G23" i="7"/>
  <c r="G27" i="7" s="1"/>
  <c r="G32" i="7"/>
  <c r="G5" i="7"/>
  <c r="G11" i="7"/>
  <c r="G17" i="7"/>
  <c r="G30" i="9"/>
  <c r="G33" i="9" s="1"/>
  <c r="H26" i="9"/>
  <c r="K43" i="9"/>
  <c r="G43" i="9"/>
  <c r="H43" i="9"/>
  <c r="H2" i="7"/>
  <c r="H13" i="7" s="1"/>
  <c r="I43" i="9"/>
  <c r="G19" i="9"/>
  <c r="G63" i="9" s="1"/>
  <c r="H15" i="9"/>
  <c r="J43" i="9"/>
  <c r="G13" i="7"/>
  <c r="G15" i="7"/>
  <c r="H4" i="9"/>
  <c r="G12" i="9"/>
  <c r="G9" i="10" l="1"/>
  <c r="G5" i="10"/>
  <c r="G8" i="7"/>
  <c r="G9" i="7" s="1"/>
  <c r="I2" i="7"/>
  <c r="I17" i="7" s="1"/>
  <c r="H15" i="7"/>
  <c r="H17" i="7"/>
  <c r="H3" i="7"/>
  <c r="H25" i="7"/>
  <c r="H23" i="7"/>
  <c r="H11" i="7"/>
  <c r="H32" i="7"/>
  <c r="G56" i="9"/>
  <c r="G58" i="9" s="1"/>
  <c r="H38" i="7"/>
  <c r="H7" i="10" s="1"/>
  <c r="H5" i="7"/>
  <c r="I4" i="9"/>
  <c r="H12" i="9"/>
  <c r="I13" i="10"/>
  <c r="J12" i="10"/>
  <c r="I14" i="10"/>
  <c r="I26" i="9"/>
  <c r="H30" i="9"/>
  <c r="H33" i="9" s="1"/>
  <c r="H19" i="9"/>
  <c r="H63" i="9" s="1"/>
  <c r="I15" i="9"/>
  <c r="I46" i="9"/>
  <c r="H54" i="9"/>
  <c r="G67" i="9"/>
  <c r="G68" i="9" s="1"/>
  <c r="G21" i="9"/>
  <c r="H9" i="10" l="1"/>
  <c r="G20" i="7"/>
  <c r="G29" i="7" s="1"/>
  <c r="H27" i="7"/>
  <c r="I15" i="7"/>
  <c r="I5" i="7"/>
  <c r="I38" i="7"/>
  <c r="I7" i="10" s="1"/>
  <c r="J2" i="7"/>
  <c r="J38" i="7" s="1"/>
  <c r="J7" i="10" s="1"/>
  <c r="I13" i="7"/>
  <c r="I25" i="7"/>
  <c r="I11" i="7"/>
  <c r="I23" i="7"/>
  <c r="I3" i="7"/>
  <c r="I32" i="7"/>
  <c r="H8" i="7"/>
  <c r="H9" i="7" s="1"/>
  <c r="G57" i="9"/>
  <c r="J26" i="9"/>
  <c r="I30" i="9"/>
  <c r="I33" i="9" s="1"/>
  <c r="K12" i="10"/>
  <c r="J13" i="10"/>
  <c r="J14" i="10"/>
  <c r="H56" i="9"/>
  <c r="H65" i="9"/>
  <c r="H67" i="9" s="1"/>
  <c r="H68" i="9" s="1"/>
  <c r="J46" i="9"/>
  <c r="I54" i="9"/>
  <c r="I19" i="9"/>
  <c r="J15" i="9"/>
  <c r="H21" i="9"/>
  <c r="J4" i="9"/>
  <c r="I12" i="9"/>
  <c r="G3" i="10" l="1"/>
  <c r="G10" i="10" s="1"/>
  <c r="G15" i="10" s="1"/>
  <c r="G35" i="7"/>
  <c r="G36" i="7" s="1"/>
  <c r="J23" i="7"/>
  <c r="H5" i="10"/>
  <c r="G30" i="7"/>
  <c r="I9" i="10"/>
  <c r="G73" i="9"/>
  <c r="H20" i="7"/>
  <c r="H29" i="7" s="1"/>
  <c r="G21" i="7"/>
  <c r="J15" i="7"/>
  <c r="J25" i="7"/>
  <c r="J17" i="7"/>
  <c r="J11" i="7"/>
  <c r="J32" i="7"/>
  <c r="J3" i="7"/>
  <c r="K2" i="7"/>
  <c r="K38" i="7" s="1"/>
  <c r="K7" i="10" s="1"/>
  <c r="I27" i="7"/>
  <c r="J5" i="7"/>
  <c r="I8" i="7"/>
  <c r="I9" i="7" s="1"/>
  <c r="J13" i="7"/>
  <c r="K4" i="9"/>
  <c r="K12" i="9" s="1"/>
  <c r="J12" i="9"/>
  <c r="K46" i="9"/>
  <c r="K54" i="9" s="1"/>
  <c r="J54" i="9"/>
  <c r="H58" i="9"/>
  <c r="H57" i="9"/>
  <c r="J19" i="9"/>
  <c r="J63" i="9" s="1"/>
  <c r="K15" i="9"/>
  <c r="K19" i="9" s="1"/>
  <c r="I21" i="9"/>
  <c r="I63" i="9"/>
  <c r="K13" i="10"/>
  <c r="K14" i="10"/>
  <c r="I65" i="9"/>
  <c r="I56" i="9"/>
  <c r="K26" i="9"/>
  <c r="K30" i="9" s="1"/>
  <c r="K33" i="9" s="1"/>
  <c r="J30" i="9"/>
  <c r="J33" i="9" s="1"/>
  <c r="G41" i="7" l="1"/>
  <c r="K5" i="7"/>
  <c r="K13" i="7"/>
  <c r="J27" i="7"/>
  <c r="K25" i="7"/>
  <c r="H3" i="10"/>
  <c r="H10" i="10" s="1"/>
  <c r="H15" i="10" s="1"/>
  <c r="J9" i="10"/>
  <c r="H21" i="7"/>
  <c r="I5" i="10"/>
  <c r="H73" i="9"/>
  <c r="J8" i="7"/>
  <c r="J9" i="7" s="1"/>
  <c r="K32" i="7"/>
  <c r="K9" i="10" s="1"/>
  <c r="K3" i="7"/>
  <c r="K11" i="7"/>
  <c r="I20" i="7"/>
  <c r="I29" i="7" s="1"/>
  <c r="K23" i="7"/>
  <c r="K17" i="7"/>
  <c r="K15" i="7"/>
  <c r="I67" i="9"/>
  <c r="I68" i="9" s="1"/>
  <c r="K21" i="9"/>
  <c r="K63" i="9"/>
  <c r="J56" i="9"/>
  <c r="J65" i="9"/>
  <c r="J67" i="9" s="1"/>
  <c r="I57" i="9"/>
  <c r="I58" i="9"/>
  <c r="K56" i="9"/>
  <c r="K65" i="9"/>
  <c r="J21" i="9"/>
  <c r="H35" i="7"/>
  <c r="H36" i="7" s="1"/>
  <c r="H30" i="7"/>
  <c r="J5" i="10"/>
  <c r="G42" i="7"/>
  <c r="G31" i="10"/>
  <c r="G32" i="10" s="1"/>
  <c r="K8" i="7" l="1"/>
  <c r="K9" i="7" s="1"/>
  <c r="I21" i="7"/>
  <c r="I73" i="9"/>
  <c r="J20" i="7"/>
  <c r="J29" i="7" s="1"/>
  <c r="K27" i="7"/>
  <c r="K5" i="10" s="1"/>
  <c r="I35" i="7"/>
  <c r="I36" i="7" s="1"/>
  <c r="J68" i="9"/>
  <c r="J73" i="9"/>
  <c r="K67" i="9"/>
  <c r="K68" i="9" s="1"/>
  <c r="J57" i="9"/>
  <c r="J58" i="9"/>
  <c r="K58" i="9"/>
  <c r="K57" i="9"/>
  <c r="I30" i="7"/>
  <c r="I3" i="10"/>
  <c r="I10" i="10" s="1"/>
  <c r="I15" i="10" s="1"/>
  <c r="H41" i="7"/>
  <c r="H42" i="7" s="1"/>
  <c r="G34" i="10"/>
  <c r="G37" i="10" s="1"/>
  <c r="I41" i="7" l="1"/>
  <c r="K20" i="7"/>
  <c r="K73" i="9" s="1"/>
  <c r="J21" i="7"/>
  <c r="J35" i="7"/>
  <c r="J30" i="7"/>
  <c r="J3" i="10"/>
  <c r="J10" i="10" s="1"/>
  <c r="J15" i="10" s="1"/>
  <c r="H31" i="10"/>
  <c r="H32" i="10" s="1"/>
  <c r="H34" i="10" s="1"/>
  <c r="H37" i="10" s="1"/>
  <c r="J36" i="7"/>
  <c r="J41" i="7"/>
  <c r="I42" i="7"/>
  <c r="I31" i="10"/>
  <c r="I32" i="10" s="1"/>
  <c r="I34" i="10" s="1"/>
  <c r="I37" i="10" s="1"/>
  <c r="K21" i="7" l="1"/>
  <c r="K29" i="7"/>
  <c r="K3" i="10"/>
  <c r="K10" i="10" s="1"/>
  <c r="K15" i="10" s="1"/>
  <c r="K30" i="7"/>
  <c r="K35" i="7"/>
  <c r="K41" i="7" s="1"/>
  <c r="J31" i="10"/>
  <c r="J32" i="10" s="1"/>
  <c r="J34" i="10" s="1"/>
  <c r="J37" i="10" s="1"/>
  <c r="J42" i="7"/>
  <c r="K36" i="7" l="1"/>
  <c r="K31" i="10"/>
  <c r="K32" i="10" s="1"/>
  <c r="K34" i="10" s="1"/>
  <c r="K37" i="10" s="1"/>
  <c r="K42" i="7"/>
</calcChain>
</file>

<file path=xl/sharedStrings.xml><?xml version="1.0" encoding="utf-8"?>
<sst xmlns="http://schemas.openxmlformats.org/spreadsheetml/2006/main" count="491" uniqueCount="327">
  <si>
    <t>Name</t>
  </si>
  <si>
    <t>Position</t>
  </si>
  <si>
    <t xml:space="preserve">Appointed </t>
  </si>
  <si>
    <t>Number of shares</t>
  </si>
  <si>
    <t>Resident</t>
  </si>
  <si>
    <t>Education</t>
  </si>
  <si>
    <t xml:space="preserve">Work Experience </t>
  </si>
  <si>
    <t>Gustaf 
Hagman</t>
  </si>
  <si>
    <t>CEO &amp; 
Co-founder 
of LeoVegas</t>
  </si>
  <si>
    <t>8,050,000 shares
220,000 options</t>
  </si>
  <si>
    <t>Sweden</t>
  </si>
  <si>
    <t>Economics studies at 
Stockholm University and 
Södertörn University.</t>
  </si>
  <si>
    <t>- More than 20 years of experience in entrepreneurship and in the online gaming industry. 
- CEO and director of Net Gaming Europe AB.</t>
  </si>
  <si>
    <t>Stafan 
Nelson</t>
  </si>
  <si>
    <t>CFO</t>
  </si>
  <si>
    <t>45,000
320,000 options</t>
  </si>
  <si>
    <t>Bachelor of Science in 
Business Administration 
and Economics</t>
  </si>
  <si>
    <t>- Equity analyst at SEB Enskilda, 
Standard &amp; Poor’s and Redeye. 
- Director for SEB Corporate 
Finance with sector responsibility for gaming, media and retail.</t>
  </si>
  <si>
    <t>Mattias 
Wedar</t>
  </si>
  <si>
    <t>CPTO</t>
  </si>
  <si>
    <t>21,200
300,000 options</t>
  </si>
  <si>
    <t>Bachelor of Social Science in Informatics</t>
  </si>
  <si>
    <t xml:space="preserve">- More than 15 years of experience in digital product and technology development.
- CEO of MrGreen Technology in MRG Group.
</t>
  </si>
  <si>
    <t>Niklas 
Lindahl</t>
  </si>
  <si>
    <t>CMO</t>
  </si>
  <si>
    <t xml:space="preserve">23,000
24,000 options
</t>
  </si>
  <si>
    <t>Bachelor, Marketing 
and Economics</t>
  </si>
  <si>
    <t>- More than 14 years of experience 
within digital marketing.
- LeoVegas career started Country 
Manager Italy, then Head of MGA 
and now CMO.</t>
  </si>
  <si>
    <t>Mårten 
Forste</t>
  </si>
  <si>
    <t>COO</t>
  </si>
  <si>
    <t xml:space="preserve">265,000
185,000 options
</t>
  </si>
  <si>
    <t>Master of Laws</t>
  </si>
  <si>
    <t>- Country Manager Sweden for
 gaming company Expect.
- COO of Meetic/March.com Europe.</t>
  </si>
  <si>
    <t>Hanna 
Lernius</t>
  </si>
  <si>
    <t>Interim COO</t>
  </si>
  <si>
    <t>8,791
55,000 options</t>
  </si>
  <si>
    <t>Civil engineer, Industrial
Economics</t>
  </si>
  <si>
    <t>- Different roles within LeoVegas.
- Management consultant at 
Triatlon Group</t>
  </si>
  <si>
    <t>Member
since</t>
  </si>
  <si>
    <t>Number of
shares</t>
  </si>
  <si>
    <t>Independant</t>
  </si>
  <si>
    <t>Proffesional
competencies</t>
  </si>
  <si>
    <t>Work Experience</t>
  </si>
  <si>
    <t>Per Norman</t>
  </si>
  <si>
    <t>Chairman</t>
  </si>
  <si>
    <t>Yes</t>
  </si>
  <si>
    <t>M.Sc., Royal Institute 
of Technology (KTH)</t>
  </si>
  <si>
    <t>- Gaming Industry.
- E-commerce B2C.
- Organisation.</t>
  </si>
  <si>
    <t>- CEO of MrGreen &amp; Co AB.
- CEO of Boxer TV Acces AB
- Deputy CEO of MTG AB</t>
  </si>
  <si>
    <t>Hélène 
Westholm</t>
  </si>
  <si>
    <t>Member</t>
  </si>
  <si>
    <t>MBA</t>
  </si>
  <si>
    <t>- Investor relations.
- Communication.
- Gaming industry.</t>
  </si>
  <si>
    <t>- Investment Director in Swedish Government Offices.
- Director of Svenska Spel, Bilprovningen, and Svensk Exportkredit.
- Partner and part-owner of Korp Kommunikation.</t>
  </si>
  <si>
    <t>Fredrik 
Rüden</t>
  </si>
  <si>
    <t>M.Sc. Business 
Administration, 
Bachelor of Laws</t>
  </si>
  <si>
    <t>- Economics.
- Gaming industry.
- Management.
- Equity market.</t>
  </si>
  <si>
    <t>- CFO, Betsson AB
- CFO, Teligent AB
- CFO Hallvard Leröy AS
- Investment AB Kinnevik</t>
  </si>
  <si>
    <t>Torsten 
Söderberg</t>
  </si>
  <si>
    <t>M. Sc. Econ., DIHR</t>
  </si>
  <si>
    <t>- Proffesional board
member.
- Gaming industry.</t>
  </si>
  <si>
    <t>- Board Directorships 
- Self-employed business owner.
- Chairman of Cherryföretagen and Stingbet, among others.</t>
  </si>
  <si>
    <t>Anna Frick</t>
  </si>
  <si>
    <t>M.Sc. Finance and Marketing</t>
  </si>
  <si>
    <t>- Communication.
- Digital transformation.
- Organisation.</t>
  </si>
  <si>
    <t>- Board Directorships.
- VP of Garbergs Reklambyrå AB.
- CEO of Oakwood Creative AB.</t>
  </si>
  <si>
    <t>Carl Larsson</t>
  </si>
  <si>
    <t>B.A. Computer and System Science</t>
  </si>
  <si>
    <t>- Technology</t>
  </si>
  <si>
    <t>- Co-founder of DigitalRoute</t>
  </si>
  <si>
    <t>Mathias 
Hallberg</t>
  </si>
  <si>
    <t>M.S. Biology and Chemistr</t>
  </si>
  <si>
    <t>- Proffesor of Molecular 
Dependency Research</t>
  </si>
  <si>
    <t>- Director of Studies at Uppsala
University</t>
  </si>
  <si>
    <t>The executive management's shareholdings as of 08th of April 2022 ('000, SEK)</t>
  </si>
  <si>
    <t>1 Jan
2021</t>
  </si>
  <si>
    <t>08 Apr
2022</t>
  </si>
  <si>
    <t>Holdings 
(number)</t>
  </si>
  <si>
    <t>Purchase
(number)</t>
  </si>
  <si>
    <t>Vesting
(number)</t>
  </si>
  <si>
    <t>Sale
(number)</t>
  </si>
  <si>
    <t>Holdings
(number)</t>
  </si>
  <si>
    <t>Net
Change</t>
  </si>
  <si>
    <t>Share Price</t>
  </si>
  <si>
    <t>Value of Position</t>
  </si>
  <si>
    <t>Pct. of Base Salary</t>
  </si>
  <si>
    <t>Shareholding Obligation</t>
  </si>
  <si>
    <t>CEO</t>
  </si>
  <si>
    <t>Met</t>
  </si>
  <si>
    <t>Stefan Nelson</t>
  </si>
  <si>
    <t>Mårten
Forste</t>
  </si>
  <si>
    <t>Niklas Lindahl</t>
  </si>
  <si>
    <t>?**</t>
  </si>
  <si>
    <t>Hanna
Lerenius</t>
  </si>
  <si>
    <t>Interim
COO</t>
  </si>
  <si>
    <t>* 'Holdings' is defined as shares + options.</t>
  </si>
  <si>
    <t>** Niklas and Hanna was hired to their positions during the past year, so there is no data on their holdings 1st of Jan 2021.</t>
  </si>
  <si>
    <t>*** Directors' (other than the CEO) base salary are estimated based on their combined salary pool.</t>
  </si>
  <si>
    <t>Angående Nordens Ejendoms- og Viceværtsservice:</t>
  </si>
  <si>
    <t>Han kender alle processer og services som vil være relevante at tilbyde.</t>
  </si>
  <si>
    <t>Board member shareholdings as of 8th of April 2022</t>
  </si>
  <si>
    <t>Member 
since</t>
  </si>
  <si>
    <t>Holdings 1st of 
January 2021</t>
  </si>
  <si>
    <t>Change</t>
  </si>
  <si>
    <t>Holdings 8th 
of April 2022</t>
  </si>
  <si>
    <t>Shareholding 
Obligation</t>
  </si>
  <si>
    <t>Per 
Norman</t>
  </si>
  <si>
    <t>Anna 
Frick</t>
  </si>
  <si>
    <t>Carl 
Larsson</t>
  </si>
  <si>
    <t>In progress</t>
  </si>
  <si>
    <t>Total</t>
  </si>
  <si>
    <t>Bargaining Power of Supplers</t>
  </si>
  <si>
    <t>Bargaining Power of Buyers</t>
  </si>
  <si>
    <t>Threat of New Entrants</t>
  </si>
  <si>
    <t>Threat of Substitute Products</t>
  </si>
  <si>
    <t>Competitive Rivalry</t>
  </si>
  <si>
    <t>5Y Avg</t>
  </si>
  <si>
    <t>NI Margin %</t>
  </si>
  <si>
    <t>LeoVegas</t>
  </si>
  <si>
    <t>Kindred Group</t>
  </si>
  <si>
    <t>Betsson</t>
  </si>
  <si>
    <t>Sector average</t>
  </si>
  <si>
    <t>Operating Margin %</t>
  </si>
  <si>
    <t>ROE %</t>
  </si>
  <si>
    <t>ROIC %</t>
  </si>
  <si>
    <t>Book D/E %</t>
  </si>
  <si>
    <t>SOURCE (FACTSET)</t>
  </si>
  <si>
    <t>Europe</t>
  </si>
  <si>
    <t>(€ Billions)</t>
  </si>
  <si>
    <t>2022E</t>
  </si>
  <si>
    <t>2023E</t>
  </si>
  <si>
    <t>2024E</t>
  </si>
  <si>
    <t>2025E</t>
  </si>
  <si>
    <t>2026E</t>
  </si>
  <si>
    <t>Market size (revenue)</t>
  </si>
  <si>
    <t>LeoVegas' market share</t>
  </si>
  <si>
    <t>LeoVegas' revenue</t>
  </si>
  <si>
    <t>North America</t>
  </si>
  <si>
    <t>LeoVegas market share</t>
  </si>
  <si>
    <t>South America</t>
  </si>
  <si>
    <t>Leovegas' market share</t>
  </si>
  <si>
    <t>US</t>
  </si>
  <si>
    <t>APAC</t>
  </si>
  <si>
    <t>2021 = $53B (total</t>
  </si>
  <si>
    <t>https://www.forbes.com/sites/willyakowicz/2022/02/15/us-gambling-revenue-hit-record-53-billion-in-2021/</t>
  </si>
  <si>
    <t>Growth rate = 12.47%</t>
  </si>
  <si>
    <t>https://www.prnewswire.com/news-releases/online-gambling-market-size-in-the-us-to-grow-by-usd-2-22-billion--16-00-yoy-growth-in-2022--17-000-technavio-research-reports-301501058.html</t>
  </si>
  <si>
    <t>Canada</t>
  </si>
  <si>
    <t>Middle East &amp; Africa</t>
  </si>
  <si>
    <t>2021 = $20B</t>
  </si>
  <si>
    <t>https://www.analyticsinsight.net/the-canadian-online-gambling-industry-in-numbers-2022/</t>
  </si>
  <si>
    <t>of which online = $1.2B</t>
  </si>
  <si>
    <t>Growth rate = ?</t>
  </si>
  <si>
    <t>Total Revenue</t>
  </si>
  <si>
    <t>https://vixio.com/gamblingcompliance/market-data/latin-america-data-dashboard/</t>
  </si>
  <si>
    <t>Revenue growth YoY</t>
  </si>
  <si>
    <t>Market size ($ Billions)</t>
  </si>
  <si>
    <t>https://vixio.com/blog/5-areas-to-monitor-in-the-latin-american-online-gambling-industry/</t>
  </si>
  <si>
    <t>CAGR</t>
  </si>
  <si>
    <t>market size ($ Billions)</t>
  </si>
  <si>
    <t>https://www.graphicalresearch.com/industry-insights/2016/asia-pacific-online-gambling-market</t>
  </si>
  <si>
    <t>Growth rate</t>
  </si>
  <si>
    <t>Africa</t>
  </si>
  <si>
    <t>Market size ($,billion)</t>
  </si>
  <si>
    <t>https://www.astuteanalytica.com/industry-report/africa-gambling-market</t>
  </si>
  <si>
    <t>Growth</t>
  </si>
  <si>
    <t>(000'EUR)</t>
  </si>
  <si>
    <t>Sales</t>
  </si>
  <si>
    <t>COGS</t>
  </si>
  <si>
    <t>As % of revenue</t>
  </si>
  <si>
    <t>Gaming taxes</t>
  </si>
  <si>
    <t>Gross Profit</t>
  </si>
  <si>
    <t>Gross Margin</t>
  </si>
  <si>
    <t>SG&amp;A</t>
  </si>
  <si>
    <t>Other operating costs</t>
  </si>
  <si>
    <t>Marketing Expenses</t>
  </si>
  <si>
    <t>Other income and expenses</t>
  </si>
  <si>
    <t>EBITDA</t>
  </si>
  <si>
    <t>Depreciation and amortisation</t>
  </si>
  <si>
    <t>D&amp;A</t>
  </si>
  <si>
    <t>EBIT</t>
  </si>
  <si>
    <t>Interest expense</t>
  </si>
  <si>
    <t>Pretax income</t>
  </si>
  <si>
    <t>Income tax</t>
  </si>
  <si>
    <t>Net income</t>
  </si>
  <si>
    <t>ASSETS</t>
  </si>
  <si>
    <t>Non-current assets</t>
  </si>
  <si>
    <t>Property, plant &amp; equipment</t>
  </si>
  <si>
    <t>Intangible assets</t>
  </si>
  <si>
    <t>Goodwill</t>
  </si>
  <si>
    <t>Financial assets</t>
  </si>
  <si>
    <t>Deferred tax assets</t>
  </si>
  <si>
    <t>Total non-current assets</t>
  </si>
  <si>
    <t>Current assets</t>
  </si>
  <si>
    <t>Trade and other recievables</t>
  </si>
  <si>
    <t>Cash and cash equivalents</t>
  </si>
  <si>
    <t>Total current assets</t>
  </si>
  <si>
    <t>TOTAL ASSETS</t>
  </si>
  <si>
    <t>EQUITY AND LIABILITIES</t>
  </si>
  <si>
    <t>Share capital</t>
  </si>
  <si>
    <t>Additional paid-in capital</t>
  </si>
  <si>
    <t>Other capital contributions</t>
  </si>
  <si>
    <t>Translation reserve</t>
  </si>
  <si>
    <t>Non-controlling interests</t>
  </si>
  <si>
    <t>Total equity</t>
  </si>
  <si>
    <t>LIABILITIES</t>
  </si>
  <si>
    <t>Non-current liabilities</t>
  </si>
  <si>
    <t>Bank loan</t>
  </si>
  <si>
    <t>Other non-current liabilities</t>
  </si>
  <si>
    <t>Bond issue</t>
  </si>
  <si>
    <t>Lease liabilities</t>
  </si>
  <si>
    <t>Deferred tax liability</t>
  </si>
  <si>
    <t>Total non-current liabilities</t>
  </si>
  <si>
    <t>Current liabilities</t>
  </si>
  <si>
    <t>Trade and other payables</t>
  </si>
  <si>
    <t>Player liabilities</t>
  </si>
  <si>
    <t>Tax liability</t>
  </si>
  <si>
    <t>Current lease liabilities</t>
  </si>
  <si>
    <t>Total current liabilities</t>
  </si>
  <si>
    <t>Total liabilities</t>
  </si>
  <si>
    <t>D/E</t>
  </si>
  <si>
    <t>TOTAL EQUITY AND LIABILITIES</t>
  </si>
  <si>
    <t>Working capital</t>
  </si>
  <si>
    <t>Current ratio</t>
  </si>
  <si>
    <t>Cash flow from operating activites</t>
  </si>
  <si>
    <t>Operating profit</t>
  </si>
  <si>
    <t>Adjustments for non-cash items:</t>
  </si>
  <si>
    <t>- Depreciation</t>
  </si>
  <si>
    <t>- Other non-cash items</t>
  </si>
  <si>
    <t>Net income taxes paid</t>
  </si>
  <si>
    <t>Interest recieved</t>
  </si>
  <si>
    <t>Interest paid</t>
  </si>
  <si>
    <t>Decrease in operating recievables</t>
  </si>
  <si>
    <t>Increase in operating payables</t>
  </si>
  <si>
    <t>Cash flow from operating activities</t>
  </si>
  <si>
    <t>Cash flow from investing activities</t>
  </si>
  <si>
    <t>cagr</t>
  </si>
  <si>
    <t>Acquisitions of intangible assets</t>
  </si>
  <si>
    <t>Acquisitions of subsidiaries</t>
  </si>
  <si>
    <t>Transfer of assets on acquisition</t>
  </si>
  <si>
    <t>Cash flow from financing activities</t>
  </si>
  <si>
    <t>Loan financing</t>
  </si>
  <si>
    <t>Raised bond loans</t>
  </si>
  <si>
    <t>Acquisition of own stock</t>
  </si>
  <si>
    <t>Cash flow for the period</t>
  </si>
  <si>
    <t>Swedish peers</t>
  </si>
  <si>
    <t>Mkt cap (000'SEK)</t>
  </si>
  <si>
    <t>EV (000'SEK)</t>
  </si>
  <si>
    <t>EV/EBITDA - NTM</t>
  </si>
  <si>
    <t>EV/EBIT - NTM</t>
  </si>
  <si>
    <t>P/E - NTM</t>
  </si>
  <si>
    <t>EV/Sales - NTM</t>
  </si>
  <si>
    <t>EV/Sales - LTM</t>
  </si>
  <si>
    <t>Kindred Group plc</t>
  </si>
  <si>
    <t>Betsson AB</t>
  </si>
  <si>
    <t>LeoVegas AB</t>
  </si>
  <si>
    <t>Average</t>
  </si>
  <si>
    <t>Median</t>
  </si>
  <si>
    <t>Other European peers</t>
  </si>
  <si>
    <t>Mkt cap (000'€)</t>
  </si>
  <si>
    <t>EV (000'€)</t>
  </si>
  <si>
    <t>Entain PLC</t>
  </si>
  <si>
    <t>Flutter Entertainment PLC</t>
  </si>
  <si>
    <t>888 Holdings PLC</t>
  </si>
  <si>
    <t>American peers</t>
  </si>
  <si>
    <t>Mkt cap (000'$)</t>
  </si>
  <si>
    <t>EV(000'$)</t>
  </si>
  <si>
    <t>Draftkings</t>
  </si>
  <si>
    <t>Penn National Gaming</t>
  </si>
  <si>
    <t>Rush Street Interactive</t>
  </si>
  <si>
    <t>Golden Nugget Online Gaming</t>
  </si>
  <si>
    <t>N/A</t>
  </si>
  <si>
    <t>Market size (revenue)*</t>
  </si>
  <si>
    <t>* is only online gambling revenue</t>
  </si>
  <si>
    <t>Europe online share</t>
  </si>
  <si>
    <t>- Canada**</t>
  </si>
  <si>
    <t>- US**</t>
  </si>
  <si>
    <t>** estimate based on total gambling revenue(both physical and online) assuming similar online market share as in Europe.</t>
  </si>
  <si>
    <t>5-year average</t>
  </si>
  <si>
    <t>Sales CAGR 2017-2021</t>
  </si>
  <si>
    <t>Yearly growth rates 2018-2021</t>
  </si>
  <si>
    <t>std. Dev</t>
  </si>
  <si>
    <t>This is in line with their long-term goal of atleast 15% in EBITDA. (Source - 2021 report)</t>
  </si>
  <si>
    <t>Net debt to EBITDA</t>
  </si>
  <si>
    <t>5-year CAGR</t>
  </si>
  <si>
    <t>Average last 5 years</t>
  </si>
  <si>
    <t>European Gambling market revenue</t>
  </si>
  <si>
    <t>Total Gambling</t>
  </si>
  <si>
    <t>Land-based</t>
  </si>
  <si>
    <t>Online</t>
  </si>
  <si>
    <t xml:space="preserve">Market size </t>
  </si>
  <si>
    <t>Market size</t>
  </si>
  <si>
    <t>- US</t>
  </si>
  <si>
    <t>- Canada</t>
  </si>
  <si>
    <t>22-26 CAGR</t>
  </si>
  <si>
    <t xml:space="preserve">Amortisation and impairment
from acquisitions </t>
  </si>
  <si>
    <t>Lease assets 
(rights-of-use-assets)</t>
  </si>
  <si>
    <t>Current liabilities pertaining 
to acquisitions</t>
  </si>
  <si>
    <t>Current liabilities to credit
institutions</t>
  </si>
  <si>
    <t>Accrued expenses and
deferred income</t>
  </si>
  <si>
    <t>Liability for earn-out
payment for acquisition</t>
  </si>
  <si>
    <t>Non-current liabilities to 
credit institutions</t>
  </si>
  <si>
    <t>of which, restricted 
cash(player funds)</t>
  </si>
  <si>
    <t>Prepaid expenses and 
accrued income</t>
  </si>
  <si>
    <t>Intangible assets related to 
surplus values from acquisitions</t>
  </si>
  <si>
    <t>Holdings in associated 
companies reported using the equity method</t>
  </si>
  <si>
    <t>Retained earnings including 
profit for the year</t>
  </si>
  <si>
    <t>Equity attributable to 
owners of the Parent Company</t>
  </si>
  <si>
    <t>Cash flow from operating activities 
before changes in working capital</t>
  </si>
  <si>
    <t>of which, restricted cash 
(player funds)</t>
  </si>
  <si>
    <t>Cash and cash equivalents at end
of year</t>
  </si>
  <si>
    <t>Cash flow from changes in working 
capital</t>
  </si>
  <si>
    <t>Acquisitions of property, plant and 
equipment</t>
  </si>
  <si>
    <t>Proceeds from sales of subsidiaries 
and intangible assets</t>
  </si>
  <si>
    <t>Proceeds from share issue/other 
equity securities</t>
  </si>
  <si>
    <t>Cash dividends paid out to 
shareholders</t>
  </si>
  <si>
    <t>Cash and cash equivalents at start 
of the year</t>
  </si>
  <si>
    <t>Currency effects on cash and cash 
equivalents</t>
  </si>
  <si>
    <t>2021-2026E</t>
  </si>
  <si>
    <t>Market size 2021</t>
  </si>
  <si>
    <t>Market size 2026E</t>
  </si>
  <si>
    <t>North America*</t>
  </si>
  <si>
    <t>*Includes US and Canada</t>
  </si>
  <si>
    <t>LeoVegas m/s</t>
  </si>
  <si>
    <t>LeoVegas' m/s</t>
  </si>
  <si>
    <t>Leovegas' m/s</t>
  </si>
  <si>
    <t>LeoVegas' 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</si>
</sst>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64" formatCode="_-* #,##0.00\ _k_r_._-;\-* #,##0.00\ _k_r_._-;_-* &quot;-&quot;??\ _k_r_._-;_-@_-"/>
    <numFmt numFmtId="165" formatCode="0.000"/>
    <numFmt numFmtId="166" formatCode="_ * #,##0_ ;_ * \-#,##0_ ;_ * &quot;-&quot;??_ ;_ @_ "/>
    <numFmt numFmtId="167" formatCode="0.0%"/>
    <numFmt numFmtId="169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D1C1D"/>
      <name val="Arial"/>
      <family val="2"/>
    </font>
    <font>
      <b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 applyAlignment="1">
      <alignment vertical="top"/>
    </xf>
    <xf numFmtId="0" fontId="0" fillId="2" borderId="0" xfId="0" applyFill="1"/>
    <xf numFmtId="0" fontId="0" fillId="2" borderId="2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1" fillId="3" borderId="1" xfId="0" applyFont="1" applyFill="1" applyBorder="1"/>
    <xf numFmtId="0" fontId="0" fillId="3" borderId="2" xfId="0" quotePrefix="1" applyFill="1" applyBorder="1" applyAlignment="1">
      <alignment vertical="top" wrapText="1"/>
    </xf>
    <xf numFmtId="0" fontId="0" fillId="3" borderId="0" xfId="0" quotePrefix="1" applyFill="1" applyAlignment="1">
      <alignment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3" xfId="0" applyFill="1" applyBorder="1" applyAlignment="1">
      <alignment horizontal="center" vertical="top"/>
    </xf>
    <xf numFmtId="165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66" fontId="0" fillId="3" borderId="0" xfId="1" applyNumberFormat="1" applyFont="1" applyFill="1" applyAlignment="1">
      <alignment horizontal="center" vertical="center"/>
    </xf>
    <xf numFmtId="166" fontId="0" fillId="2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43" fontId="0" fillId="3" borderId="0" xfId="1" applyFont="1" applyFill="1" applyAlignment="1">
      <alignment horizontal="center" vertical="center"/>
    </xf>
    <xf numFmtId="9" fontId="0" fillId="3" borderId="0" xfId="2" applyFont="1" applyFill="1" applyAlignment="1">
      <alignment horizontal="center" vertical="center"/>
    </xf>
    <xf numFmtId="0" fontId="1" fillId="3" borderId="0" xfId="0" applyFont="1" applyFill="1"/>
    <xf numFmtId="0" fontId="0" fillId="3" borderId="1" xfId="0" applyFill="1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 indent="1"/>
    </xf>
    <xf numFmtId="0" fontId="0" fillId="3" borderId="1" xfId="0" applyFill="1" applyBorder="1" applyAlignment="1">
      <alignment horizontal="left" vertical="center"/>
    </xf>
    <xf numFmtId="0" fontId="0" fillId="3" borderId="0" xfId="1" applyNumberFormat="1" applyFont="1" applyFill="1" applyAlignment="1">
      <alignment horizontal="center" vertical="center"/>
    </xf>
    <xf numFmtId="3" fontId="0" fillId="3" borderId="0" xfId="1" applyNumberFormat="1" applyFont="1" applyFill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wrapText="1"/>
    </xf>
    <xf numFmtId="0" fontId="0" fillId="3" borderId="1" xfId="1" applyNumberFormat="1" applyFont="1" applyFill="1" applyBorder="1" applyAlignment="1">
      <alignment horizontal="center" vertical="center"/>
    </xf>
    <xf numFmtId="166" fontId="1" fillId="3" borderId="0" xfId="0" applyNumberFormat="1" applyFont="1" applyFill="1" applyAlignment="1">
      <alignment wrapText="1"/>
    </xf>
    <xf numFmtId="166" fontId="1" fillId="3" borderId="0" xfId="0" applyNumberFormat="1" applyFont="1" applyFill="1"/>
    <xf numFmtId="0" fontId="0" fillId="2" borderId="1" xfId="0" applyFill="1" applyBorder="1"/>
    <xf numFmtId="166" fontId="1" fillId="2" borderId="0" xfId="0" applyNumberFormat="1" applyFont="1" applyFill="1"/>
    <xf numFmtId="0" fontId="0" fillId="2" borderId="2" xfId="0" applyFill="1" applyBorder="1" applyAlignment="1">
      <alignment horizontal="center" vertical="center"/>
    </xf>
    <xf numFmtId="3" fontId="0" fillId="2" borderId="0" xfId="1" applyNumberFormat="1" applyFont="1" applyFill="1" applyAlignment="1">
      <alignment horizontal="center" vertical="center"/>
    </xf>
    <xf numFmtId="0" fontId="0" fillId="2" borderId="0" xfId="1" applyNumberFormat="1" applyFont="1" applyFill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0" fontId="0" fillId="3" borderId="4" xfId="0" applyFill="1" applyBorder="1"/>
    <xf numFmtId="0" fontId="1" fillId="3" borderId="2" xfId="0" applyFont="1" applyFill="1" applyBorder="1"/>
    <xf numFmtId="0" fontId="5" fillId="3" borderId="0" xfId="0" applyFont="1" applyFill="1"/>
    <xf numFmtId="167" fontId="0" fillId="2" borderId="0" xfId="2" applyNumberFormat="1" applyFont="1" applyFill="1"/>
    <xf numFmtId="167" fontId="0" fillId="3" borderId="0" xfId="2" applyNumberFormat="1" applyFont="1" applyFill="1" applyBorder="1"/>
    <xf numFmtId="167" fontId="0" fillId="3" borderId="0" xfId="2" applyNumberFormat="1" applyFont="1" applyFill="1"/>
    <xf numFmtId="167" fontId="1" fillId="2" borderId="2" xfId="2" applyNumberFormat="1" applyFont="1" applyFill="1" applyBorder="1"/>
    <xf numFmtId="167" fontId="1" fillId="3" borderId="2" xfId="2" applyNumberFormat="1" applyFont="1" applyFill="1" applyBorder="1"/>
    <xf numFmtId="167" fontId="0" fillId="2" borderId="0" xfId="2" applyNumberFormat="1" applyFont="1" applyFill="1" applyBorder="1"/>
    <xf numFmtId="167" fontId="0" fillId="3" borderId="5" xfId="2" applyNumberFormat="1" applyFont="1" applyFill="1" applyBorder="1"/>
    <xf numFmtId="167" fontId="1" fillId="3" borderId="7" xfId="2" applyNumberFormat="1" applyFont="1" applyFill="1" applyBorder="1"/>
    <xf numFmtId="0" fontId="0" fillId="3" borderId="5" xfId="0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0" fontId="6" fillId="0" borderId="0" xfId="2" applyNumberFormat="1" applyFont="1"/>
    <xf numFmtId="0" fontId="0" fillId="0" borderId="1" xfId="0" applyBorder="1"/>
    <xf numFmtId="0" fontId="6" fillId="0" borderId="0" xfId="2" applyNumberFormat="1" applyFont="1"/>
    <xf numFmtId="0" fontId="0" fillId="0" borderId="0" xfId="2" applyNumberFormat="1" applyFont="1"/>
    <xf numFmtId="0" fontId="1" fillId="0" borderId="0" xfId="0" applyFont="1"/>
    <xf numFmtId="10" fontId="6" fillId="2" borderId="0" xfId="2" applyNumberFormat="1" applyFont="1" applyFill="1"/>
    <xf numFmtId="10" fontId="6" fillId="2" borderId="0" xfId="2" applyNumberFormat="1" applyFont="1" applyFill="1" applyBorder="1"/>
    <xf numFmtId="10" fontId="6" fillId="3" borderId="0" xfId="2" applyNumberFormat="1" applyFont="1" applyFill="1"/>
    <xf numFmtId="0" fontId="6" fillId="3" borderId="1" xfId="0" applyFont="1" applyFill="1" applyBorder="1"/>
    <xf numFmtId="0" fontId="0" fillId="3" borderId="0" xfId="2" applyNumberFormat="1" applyFont="1" applyFill="1"/>
    <xf numFmtId="10" fontId="2" fillId="3" borderId="0" xfId="2" applyNumberFormat="1" applyFont="1" applyFill="1"/>
    <xf numFmtId="0" fontId="2" fillId="3" borderId="0" xfId="2" applyNumberFormat="1" applyFont="1" applyFill="1"/>
    <xf numFmtId="10" fontId="6" fillId="3" borderId="5" xfId="2" applyNumberFormat="1" applyFont="1" applyFill="1" applyBorder="1"/>
    <xf numFmtId="0" fontId="0" fillId="3" borderId="8" xfId="0" applyFill="1" applyBorder="1"/>
    <xf numFmtId="10" fontId="6" fillId="3" borderId="0" xfId="2" applyNumberFormat="1" applyFont="1" applyFill="1" applyBorder="1"/>
    <xf numFmtId="0" fontId="1" fillId="2" borderId="0" xfId="0" applyFont="1" applyFill="1"/>
    <xf numFmtId="0" fontId="1" fillId="2" borderId="9" xfId="0" applyFont="1" applyFill="1" applyBorder="1"/>
    <xf numFmtId="0" fontId="0" fillId="2" borderId="9" xfId="0" applyFill="1" applyBorder="1"/>
    <xf numFmtId="0" fontId="0" fillId="3" borderId="2" xfId="0" applyFill="1" applyBorder="1"/>
    <xf numFmtId="166" fontId="0" fillId="3" borderId="0" xfId="1" applyNumberFormat="1" applyFont="1" applyFill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2" xfId="1" applyNumberFormat="1" applyFont="1" applyFill="1" applyBorder="1" applyAlignment="1">
      <alignment vertical="top"/>
    </xf>
    <xf numFmtId="9" fontId="0" fillId="0" borderId="0" xfId="2" applyFont="1"/>
    <xf numFmtId="0" fontId="1" fillId="2" borderId="12" xfId="0" applyFont="1" applyFill="1" applyBorder="1"/>
    <xf numFmtId="0" fontId="0" fillId="2" borderId="13" xfId="0" applyFill="1" applyBorder="1"/>
    <xf numFmtId="0" fontId="0" fillId="3" borderId="11" xfId="0" applyFill="1" applyBorder="1"/>
    <xf numFmtId="0" fontId="1" fillId="3" borderId="11" xfId="0" applyFont="1" applyFill="1" applyBorder="1"/>
    <xf numFmtId="9" fontId="0" fillId="3" borderId="5" xfId="2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6" fillId="3" borderId="7" xfId="0" applyFont="1" applyFill="1" applyBorder="1"/>
    <xf numFmtId="0" fontId="1" fillId="3" borderId="3" xfId="0" applyFont="1" applyFill="1" applyBorder="1" applyAlignment="1">
      <alignment horizontal="right"/>
    </xf>
    <xf numFmtId="0" fontId="0" fillId="3" borderId="3" xfId="0" applyFill="1" applyBorder="1"/>
    <xf numFmtId="0" fontId="1" fillId="3" borderId="12" xfId="0" applyFont="1" applyFill="1" applyBorder="1" applyAlignment="1">
      <alignment horizontal="right"/>
    </xf>
    <xf numFmtId="0" fontId="0" fillId="3" borderId="12" xfId="0" applyFill="1" applyBorder="1"/>
    <xf numFmtId="0" fontId="1" fillId="2" borderId="3" xfId="0" applyFont="1" applyFill="1" applyBorder="1" applyAlignment="1">
      <alignment horizontal="right"/>
    </xf>
    <xf numFmtId="0" fontId="0" fillId="2" borderId="3" xfId="0" applyFill="1" applyBorder="1"/>
    <xf numFmtId="10" fontId="0" fillId="0" borderId="0" xfId="2" applyNumberFormat="1" applyFont="1"/>
    <xf numFmtId="2" fontId="6" fillId="0" borderId="0" xfId="2" applyNumberFormat="1" applyFont="1"/>
    <xf numFmtId="166" fontId="0" fillId="2" borderId="9" xfId="0" applyNumberFormat="1" applyFill="1" applyBorder="1"/>
    <xf numFmtId="166" fontId="0" fillId="3" borderId="0" xfId="0" applyNumberFormat="1" applyFill="1"/>
    <xf numFmtId="166" fontId="0" fillId="2" borderId="0" xfId="0" applyNumberFormat="1" applyFill="1"/>
    <xf numFmtId="9" fontId="0" fillId="0" borderId="0" xfId="0" applyNumberFormat="1"/>
    <xf numFmtId="10" fontId="0" fillId="0" borderId="0" xfId="0" applyNumberFormat="1"/>
    <xf numFmtId="0" fontId="0" fillId="3" borderId="5" xfId="0" quotePrefix="1" applyFill="1" applyBorder="1"/>
    <xf numFmtId="10" fontId="0" fillId="3" borderId="0" xfId="2" applyNumberFormat="1" applyFont="1" applyFill="1" applyBorder="1"/>
    <xf numFmtId="10" fontId="0" fillId="3" borderId="0" xfId="2" applyNumberFormat="1" applyFont="1" applyFill="1"/>
    <xf numFmtId="10" fontId="0" fillId="2" borderId="0" xfId="2" applyNumberFormat="1" applyFont="1" applyFill="1" applyBorder="1"/>
    <xf numFmtId="10" fontId="0" fillId="3" borderId="9" xfId="2" applyNumberFormat="1" applyFont="1" applyFill="1" applyBorder="1"/>
    <xf numFmtId="10" fontId="0" fillId="3" borderId="5" xfId="2" applyNumberFormat="1" applyFont="1" applyFill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3" borderId="7" xfId="0" applyNumberFormat="1" applyFill="1" applyBorder="1"/>
    <xf numFmtId="2" fontId="0" fillId="3" borderId="2" xfId="0" applyNumberFormat="1" applyFill="1" applyBorder="1"/>
    <xf numFmtId="2" fontId="0" fillId="3" borderId="10" xfId="0" applyNumberFormat="1" applyFill="1" applyBorder="1"/>
    <xf numFmtId="164" fontId="1" fillId="0" borderId="0" xfId="0" applyNumberFormat="1" applyFont="1"/>
    <xf numFmtId="10" fontId="0" fillId="2" borderId="2" xfId="2" applyNumberFormat="1" applyFont="1" applyFill="1" applyBorder="1"/>
    <xf numFmtId="10" fontId="6" fillId="2" borderId="9" xfId="2" applyNumberFormat="1" applyFont="1" applyFill="1" applyBorder="1"/>
    <xf numFmtId="2" fontId="0" fillId="2" borderId="0" xfId="0" applyNumberFormat="1" applyFill="1"/>
    <xf numFmtId="2" fontId="0" fillId="3" borderId="5" xfId="0" applyNumberFormat="1" applyFill="1" applyBorder="1"/>
    <xf numFmtId="2" fontId="0" fillId="3" borderId="0" xfId="0" applyNumberFormat="1" applyFill="1"/>
    <xf numFmtId="2" fontId="0" fillId="3" borderId="9" xfId="0" applyNumberFormat="1" applyFill="1" applyBorder="1"/>
    <xf numFmtId="2" fontId="0" fillId="3" borderId="8" xfId="0" applyNumberFormat="1" applyFill="1" applyBorder="1"/>
    <xf numFmtId="2" fontId="0" fillId="3" borderId="1" xfId="0" applyNumberFormat="1" applyFill="1" applyBorder="1"/>
    <xf numFmtId="2" fontId="0" fillId="3" borderId="13" xfId="0" applyNumberFormat="1" applyFill="1" applyBorder="1"/>
    <xf numFmtId="2" fontId="0" fillId="3" borderId="3" xfId="0" applyNumberFormat="1" applyFill="1" applyBorder="1"/>
    <xf numFmtId="2" fontId="0" fillId="2" borderId="3" xfId="0" applyNumberFormat="1" applyFill="1" applyBorder="1"/>
    <xf numFmtId="2" fontId="0" fillId="3" borderId="11" xfId="0" applyNumberFormat="1" applyFill="1" applyBorder="1"/>
    <xf numFmtId="2" fontId="0" fillId="3" borderId="12" xfId="0" applyNumberFormat="1" applyFill="1" applyBorder="1"/>
    <xf numFmtId="10" fontId="0" fillId="3" borderId="7" xfId="2" applyNumberFormat="1" applyFont="1" applyFill="1" applyBorder="1"/>
    <xf numFmtId="10" fontId="0" fillId="3" borderId="2" xfId="2" applyNumberFormat="1" applyFont="1" applyFill="1" applyBorder="1"/>
    <xf numFmtId="10" fontId="0" fillId="3" borderId="10" xfId="2" applyNumberFormat="1" applyFont="1" applyFill="1" applyBorder="1"/>
    <xf numFmtId="167" fontId="0" fillId="0" borderId="0" xfId="2" applyNumberFormat="1" applyFont="1"/>
    <xf numFmtId="2" fontId="0" fillId="0" borderId="0" xfId="0" applyNumberFormat="1"/>
    <xf numFmtId="0" fontId="7" fillId="0" borderId="0" xfId="0" applyFont="1"/>
    <xf numFmtId="43" fontId="0" fillId="2" borderId="9" xfId="0" applyNumberFormat="1" applyFill="1" applyBorder="1"/>
    <xf numFmtId="166" fontId="1" fillId="0" borderId="0" xfId="0" applyNumberFormat="1" applyFont="1"/>
    <xf numFmtId="166" fontId="0" fillId="0" borderId="0" xfId="0" applyNumberFormat="1"/>
    <xf numFmtId="9" fontId="0" fillId="2" borderId="0" xfId="2" applyFont="1" applyFill="1" applyBorder="1"/>
    <xf numFmtId="10" fontId="0" fillId="0" borderId="1" xfId="0" applyNumberFormat="1" applyBorder="1"/>
    <xf numFmtId="10" fontId="8" fillId="3" borderId="0" xfId="2" applyNumberFormat="1" applyFont="1" applyFill="1" applyBorder="1"/>
    <xf numFmtId="10" fontId="8" fillId="2" borderId="0" xfId="2" applyNumberFormat="1" applyFont="1" applyFill="1"/>
    <xf numFmtId="10" fontId="8" fillId="3" borderId="0" xfId="2" applyNumberFormat="1" applyFont="1" applyFill="1"/>
    <xf numFmtId="0" fontId="12" fillId="0" borderId="0" xfId="0" applyFont="1"/>
    <xf numFmtId="9" fontId="13" fillId="0" borderId="0" xfId="2" applyFont="1"/>
    <xf numFmtId="0" fontId="13" fillId="0" borderId="0" xfId="2" applyNumberFormat="1" applyFont="1"/>
    <xf numFmtId="0" fontId="12" fillId="0" borderId="0" xfId="2" applyNumberFormat="1" applyFont="1"/>
    <xf numFmtId="0" fontId="0" fillId="0" borderId="0" xfId="0" applyAlignment="1">
      <alignment horizontal="left"/>
    </xf>
    <xf numFmtId="2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10" fontId="0" fillId="3" borderId="0" xfId="2" applyNumberFormat="1" applyFont="1" applyFill="1" applyAlignment="1">
      <alignment horizontal="right"/>
    </xf>
    <xf numFmtId="10" fontId="0" fillId="3" borderId="2" xfId="2" applyNumberFormat="1" applyFon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0" fontId="11" fillId="4" borderId="1" xfId="0" applyFont="1" applyFill="1" applyBorder="1"/>
    <xf numFmtId="1" fontId="11" fillId="4" borderId="1" xfId="0" applyNumberFormat="1" applyFont="1" applyFill="1" applyBorder="1" applyAlignment="1">
      <alignment horizontal="right"/>
    </xf>
    <xf numFmtId="169" fontId="11" fillId="4" borderId="1" xfId="0" applyNumberFormat="1" applyFont="1" applyFill="1" applyBorder="1" applyAlignment="1">
      <alignment horizontal="right"/>
    </xf>
    <xf numFmtId="0" fontId="1" fillId="5" borderId="0" xfId="0" applyFont="1" applyFill="1"/>
    <xf numFmtId="2" fontId="0" fillId="5" borderId="0" xfId="0" applyNumberFormat="1" applyFill="1" applyAlignment="1">
      <alignment horizontal="right"/>
    </xf>
    <xf numFmtId="0" fontId="0" fillId="5" borderId="0" xfId="0" quotePrefix="1" applyFill="1"/>
    <xf numFmtId="0" fontId="0" fillId="5" borderId="0" xfId="0" applyFill="1"/>
    <xf numFmtId="10" fontId="0" fillId="5" borderId="0" xfId="2" applyNumberFormat="1" applyFont="1" applyFill="1" applyAlignment="1">
      <alignment horizontal="right"/>
    </xf>
    <xf numFmtId="0" fontId="0" fillId="5" borderId="1" xfId="0" applyFill="1" applyBorder="1"/>
    <xf numFmtId="2" fontId="0" fillId="5" borderId="1" xfId="0" applyNumberFormat="1" applyFill="1" applyBorder="1" applyAlignment="1">
      <alignment horizontal="right"/>
    </xf>
    <xf numFmtId="166" fontId="0" fillId="5" borderId="0" xfId="1" applyNumberFormat="1" applyFont="1" applyFill="1" applyAlignment="1">
      <alignment horizontal="center"/>
    </xf>
    <xf numFmtId="0" fontId="0" fillId="5" borderId="2" xfId="0" applyFill="1" applyBorder="1"/>
    <xf numFmtId="166" fontId="0" fillId="5" borderId="2" xfId="1" applyNumberFormat="1" applyFont="1" applyFill="1" applyBorder="1" applyAlignment="1">
      <alignment vertical="top"/>
    </xf>
    <xf numFmtId="166" fontId="0" fillId="5" borderId="2" xfId="1" applyNumberFormat="1" applyFont="1" applyFill="1" applyBorder="1" applyAlignment="1">
      <alignment horizontal="center"/>
    </xf>
    <xf numFmtId="0" fontId="14" fillId="4" borderId="0" xfId="0" applyFont="1" applyFill="1"/>
    <xf numFmtId="0" fontId="14" fillId="4" borderId="0" xfId="0" applyFont="1" applyFill="1" applyAlignment="1">
      <alignment horizontal="center"/>
    </xf>
    <xf numFmtId="0" fontId="15" fillId="0" borderId="1" xfId="0" applyFont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6" fillId="0" borderId="0" xfId="0" applyFont="1" applyAlignment="1">
      <alignment horizontal="left" vertical="top"/>
    </xf>
    <xf numFmtId="0" fontId="16" fillId="2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top"/>
    </xf>
    <xf numFmtId="166" fontId="16" fillId="2" borderId="0" xfId="1" applyNumberFormat="1" applyFont="1" applyFill="1" applyAlignment="1">
      <alignment horizontal="center" vertical="top"/>
    </xf>
    <xf numFmtId="0" fontId="16" fillId="2" borderId="0" xfId="0" applyFont="1" applyFill="1" applyAlignment="1">
      <alignment horizontal="center" vertical="top"/>
    </xf>
    <xf numFmtId="0" fontId="16" fillId="0" borderId="0" xfId="0" applyFont="1" applyAlignment="1">
      <alignment horizontal="left" vertical="top" wrapText="1"/>
    </xf>
    <xf numFmtId="0" fontId="16" fillId="2" borderId="0" xfId="0" quotePrefix="1" applyFont="1" applyFill="1" applyAlignment="1">
      <alignment horizontal="left" vertical="top" wrapText="1"/>
    </xf>
    <xf numFmtId="0" fontId="16" fillId="0" borderId="0" xfId="0" quotePrefix="1" applyFont="1" applyAlignment="1">
      <alignment horizontal="left" vertical="top" wrapText="1"/>
    </xf>
    <xf numFmtId="0" fontId="16" fillId="2" borderId="0" xfId="0" quotePrefix="1" applyFont="1" applyFill="1" applyAlignment="1">
      <alignment horizontal="left" vertical="top"/>
    </xf>
    <xf numFmtId="0" fontId="16" fillId="0" borderId="0" xfId="0" quotePrefix="1" applyFont="1" applyAlignment="1">
      <alignment horizontal="left" vertical="top"/>
    </xf>
    <xf numFmtId="1" fontId="16" fillId="2" borderId="0" xfId="0" applyNumberFormat="1" applyFont="1" applyFill="1" applyAlignment="1">
      <alignment horizontal="center" vertical="top"/>
    </xf>
    <xf numFmtId="0" fontId="1" fillId="3" borderId="14" xfId="0" applyFont="1" applyFill="1" applyBorder="1"/>
    <xf numFmtId="0" fontId="1" fillId="2" borderId="14" xfId="0" applyFont="1" applyFill="1" applyBorder="1"/>
    <xf numFmtId="0" fontId="1" fillId="3" borderId="15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14" xfId="0" applyFont="1" applyFill="1" applyBorder="1" applyAlignment="1">
      <alignment horizontal="right"/>
    </xf>
    <xf numFmtId="0" fontId="0" fillId="2" borderId="0" xfId="0" applyFill="1" applyBorder="1"/>
    <xf numFmtId="0" fontId="1" fillId="2" borderId="16" xfId="0" applyFont="1" applyFill="1" applyBorder="1"/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9" xfId="0" applyFont="1" applyFill="1" applyBorder="1" applyAlignment="1">
      <alignment vertical="center"/>
    </xf>
    <xf numFmtId="166" fontId="0" fillId="2" borderId="0" xfId="1" applyNumberFormat="1" applyFont="1" applyFill="1" applyAlignment="1">
      <alignment vertical="center"/>
    </xf>
    <xf numFmtId="166" fontId="0" fillId="3" borderId="0" xfId="1" applyNumberFormat="1" applyFont="1" applyFill="1" applyAlignment="1">
      <alignment vertical="center"/>
    </xf>
    <xf numFmtId="166" fontId="0" fillId="2" borderId="9" xfId="1" applyNumberFormat="1" applyFont="1" applyFill="1" applyBorder="1" applyAlignment="1">
      <alignment vertical="center"/>
    </xf>
    <xf numFmtId="166" fontId="1" fillId="2" borderId="0" xfId="1" applyNumberFormat="1" applyFont="1" applyFill="1" applyBorder="1" applyAlignment="1">
      <alignment vertical="center"/>
    </xf>
    <xf numFmtId="166" fontId="1" fillId="3" borderId="0" xfId="1" applyNumberFormat="1" applyFont="1" applyFill="1" applyBorder="1" applyAlignment="1">
      <alignment vertical="center"/>
    </xf>
    <xf numFmtId="166" fontId="1" fillId="2" borderId="9" xfId="1" applyNumberFormat="1" applyFont="1" applyFill="1" applyBorder="1" applyAlignment="1">
      <alignment vertical="center"/>
    </xf>
    <xf numFmtId="166" fontId="1" fillId="3" borderId="0" xfId="1" applyNumberFormat="1" applyFont="1" applyFill="1" applyAlignment="1">
      <alignment vertical="center"/>
    </xf>
    <xf numFmtId="166" fontId="1" fillId="2" borderId="0" xfId="1" applyNumberFormat="1" applyFont="1" applyFill="1" applyAlignment="1">
      <alignment vertical="center"/>
    </xf>
    <xf numFmtId="166" fontId="9" fillId="2" borderId="0" xfId="1" applyNumberFormat="1" applyFont="1" applyFill="1" applyAlignment="1">
      <alignment vertical="center"/>
    </xf>
    <xf numFmtId="166" fontId="9" fillId="3" borderId="0" xfId="1" applyNumberFormat="1" applyFont="1" applyFill="1" applyAlignment="1">
      <alignment vertical="center"/>
    </xf>
    <xf numFmtId="166" fontId="9" fillId="2" borderId="9" xfId="1" applyNumberFormat="1" applyFont="1" applyFill="1" applyBorder="1" applyAlignment="1">
      <alignment vertical="center"/>
    </xf>
    <xf numFmtId="166" fontId="1" fillId="2" borderId="2" xfId="1" applyNumberFormat="1" applyFont="1" applyFill="1" applyBorder="1" applyAlignment="1">
      <alignment vertical="center"/>
    </xf>
    <xf numFmtId="166" fontId="1" fillId="3" borderId="2" xfId="1" applyNumberFormat="1" applyFont="1" applyFill="1" applyBorder="1" applyAlignment="1">
      <alignment vertical="center"/>
    </xf>
    <xf numFmtId="166" fontId="1" fillId="2" borderId="10" xfId="1" applyNumberFormat="1" applyFont="1" applyFill="1" applyBorder="1" applyAlignment="1">
      <alignment vertical="center"/>
    </xf>
    <xf numFmtId="166" fontId="10" fillId="2" borderId="0" xfId="1" applyNumberFormat="1" applyFont="1" applyFill="1" applyAlignment="1">
      <alignment vertical="center"/>
    </xf>
    <xf numFmtId="43" fontId="0" fillId="3" borderId="0" xfId="1" applyFont="1" applyFill="1" applyAlignment="1">
      <alignment vertical="center"/>
    </xf>
    <xf numFmtId="43" fontId="0" fillId="2" borderId="0" xfId="1" applyFont="1" applyFill="1" applyAlignment="1">
      <alignment vertical="center"/>
    </xf>
    <xf numFmtId="0" fontId="8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3" fontId="1" fillId="2" borderId="0" xfId="0" applyNumberFormat="1" applyFont="1" applyFill="1" applyAlignment="1">
      <alignment vertical="center"/>
    </xf>
    <xf numFmtId="3" fontId="1" fillId="3" borderId="0" xfId="0" applyNumberFormat="1" applyFont="1" applyFill="1" applyAlignment="1">
      <alignment vertical="center"/>
    </xf>
    <xf numFmtId="3" fontId="1" fillId="2" borderId="9" xfId="0" applyNumberFormat="1" applyFont="1" applyFill="1" applyBorder="1" applyAlignment="1">
      <alignment vertical="center"/>
    </xf>
    <xf numFmtId="3" fontId="0" fillId="2" borderId="0" xfId="0" applyNumberFormat="1" applyFill="1" applyAlignment="1">
      <alignment vertical="center"/>
    </xf>
    <xf numFmtId="3" fontId="0" fillId="3" borderId="0" xfId="0" applyNumberFormat="1" applyFill="1" applyAlignment="1">
      <alignment vertical="center"/>
    </xf>
    <xf numFmtId="3" fontId="0" fillId="2" borderId="9" xfId="0" applyNumberFormat="1" applyFill="1" applyBorder="1" applyAlignment="1">
      <alignment vertical="center"/>
    </xf>
    <xf numFmtId="0" fontId="0" fillId="3" borderId="0" xfId="0" quotePrefix="1" applyFill="1" applyAlignment="1">
      <alignment vertical="center"/>
    </xf>
    <xf numFmtId="0" fontId="1" fillId="3" borderId="2" xfId="0" applyFont="1" applyFill="1" applyBorder="1" applyAlignment="1">
      <alignment vertical="center" wrapText="1"/>
    </xf>
    <xf numFmtId="3" fontId="1" fillId="2" borderId="2" xfId="0" applyNumberFormat="1" applyFont="1" applyFill="1" applyBorder="1" applyAlignment="1">
      <alignment vertical="center"/>
    </xf>
    <xf numFmtId="3" fontId="1" fillId="3" borderId="2" xfId="0" applyNumberFormat="1" applyFont="1" applyFill="1" applyBorder="1" applyAlignment="1">
      <alignment vertical="center"/>
    </xf>
    <xf numFmtId="3" fontId="1" fillId="2" borderId="10" xfId="0" applyNumberFormat="1" applyFont="1" applyFill="1" applyBorder="1" applyAlignment="1">
      <alignment vertical="center"/>
    </xf>
    <xf numFmtId="3" fontId="0" fillId="0" borderId="0" xfId="0" applyNumberForma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3" fontId="9" fillId="3" borderId="0" xfId="0" applyNumberFormat="1" applyFont="1" applyFill="1" applyAlignment="1">
      <alignment vertical="center"/>
    </xf>
    <xf numFmtId="3" fontId="9" fillId="2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3" fontId="0" fillId="3" borderId="0" xfId="0" applyNumberFormat="1" applyFill="1" applyBorder="1" applyAlignment="1">
      <alignment vertical="center"/>
    </xf>
    <xf numFmtId="3" fontId="0" fillId="2" borderId="0" xfId="0" applyNumberFormat="1" applyFill="1"/>
    <xf numFmtId="3" fontId="0" fillId="3" borderId="0" xfId="0" applyNumberFormat="1" applyFill="1"/>
    <xf numFmtId="3" fontId="0" fillId="3" borderId="5" xfId="0" applyNumberFormat="1" applyFill="1" applyBorder="1"/>
    <xf numFmtId="3" fontId="0" fillId="2" borderId="0" xfId="0" applyNumberFormat="1" applyFill="1" applyBorder="1"/>
    <xf numFmtId="3" fontId="0" fillId="3" borderId="0" xfId="0" applyNumberFormat="1" applyFill="1" applyBorder="1"/>
    <xf numFmtId="3" fontId="0" fillId="2" borderId="0" xfId="2" applyNumberFormat="1" applyFont="1" applyFill="1"/>
    <xf numFmtId="3" fontId="0" fillId="3" borderId="0" xfId="2" applyNumberFormat="1" applyFont="1" applyFill="1"/>
    <xf numFmtId="3" fontId="0" fillId="3" borderId="5" xfId="2" applyNumberFormat="1" applyFont="1" applyFill="1" applyBorder="1"/>
    <xf numFmtId="3" fontId="0" fillId="2" borderId="3" xfId="0" applyNumberFormat="1" applyFill="1" applyBorder="1"/>
    <xf numFmtId="3" fontId="0" fillId="3" borderId="3" xfId="0" applyNumberFormat="1" applyFill="1" applyBorder="1"/>
    <xf numFmtId="3" fontId="0" fillId="2" borderId="12" xfId="0" applyNumberFormat="1" applyFill="1" applyBorder="1"/>
    <xf numFmtId="3" fontId="0" fillId="2" borderId="9" xfId="0" applyNumberFormat="1" applyFill="1" applyBorder="1"/>
    <xf numFmtId="3" fontId="0" fillId="2" borderId="0" xfId="0" applyNumberFormat="1" applyFill="1" applyBorder="1" applyAlignment="1">
      <alignment horizontal="right" vertical="center"/>
    </xf>
    <xf numFmtId="3" fontId="0" fillId="3" borderId="0" xfId="0" applyNumberFormat="1" applyFill="1" applyAlignment="1">
      <alignment horizontal="right" vertical="center"/>
    </xf>
    <xf numFmtId="3" fontId="0" fillId="2" borderId="0" xfId="0" applyNumberFormat="1" applyFill="1" applyAlignment="1">
      <alignment horizontal="right" vertical="center"/>
    </xf>
    <xf numFmtId="3" fontId="0" fillId="2" borderId="9" xfId="0" applyNumberFormat="1" applyFill="1" applyBorder="1" applyAlignment="1">
      <alignment horizontal="right" vertical="center"/>
    </xf>
    <xf numFmtId="3" fontId="6" fillId="2" borderId="0" xfId="2" applyNumberFormat="1" applyFont="1" applyFill="1" applyBorder="1"/>
    <xf numFmtId="3" fontId="6" fillId="2" borderId="9" xfId="2" applyNumberFormat="1" applyFont="1" applyFill="1" applyBorder="1"/>
    <xf numFmtId="3" fontId="6" fillId="2" borderId="0" xfId="2" applyNumberFormat="1" applyFont="1" applyFill="1"/>
    <xf numFmtId="3" fontId="6" fillId="3" borderId="0" xfId="2" applyNumberFormat="1" applyFont="1" applyFill="1"/>
    <xf numFmtId="3" fontId="6" fillId="3" borderId="5" xfId="2" applyNumberFormat="1" applyFont="1" applyFill="1" applyBorder="1"/>
    <xf numFmtId="3" fontId="6" fillId="3" borderId="0" xfId="2" applyNumberFormat="1" applyFont="1" applyFill="1" applyBorder="1"/>
    <xf numFmtId="1" fontId="11" fillId="4" borderId="1" xfId="0" applyNumberFormat="1" applyFont="1" applyFill="1" applyBorder="1" applyAlignment="1"/>
    <xf numFmtId="10" fontId="0" fillId="3" borderId="1" xfId="0" applyNumberFormat="1" applyFill="1" applyBorder="1" applyAlignment="1">
      <alignment horizontal="right"/>
    </xf>
    <xf numFmtId="10" fontId="0" fillId="5" borderId="1" xfId="0" applyNumberFormat="1" applyFill="1" applyBorder="1" applyAlignment="1">
      <alignment horizontal="right"/>
    </xf>
    <xf numFmtId="10" fontId="0" fillId="4" borderId="3" xfId="2" applyNumberFormat="1" applyFont="1" applyFill="1" applyBorder="1" applyAlignment="1">
      <alignment horizontal="right"/>
    </xf>
    <xf numFmtId="0" fontId="0" fillId="5" borderId="0" xfId="0" applyFont="1" applyFill="1"/>
    <xf numFmtId="10" fontId="0" fillId="0" borderId="1" xfId="2" applyNumberFormat="1" applyFont="1" applyBorder="1"/>
    <xf numFmtId="0" fontId="11" fillId="4" borderId="3" xfId="0" applyFont="1" applyFill="1" applyBorder="1"/>
    <xf numFmtId="0" fontId="0" fillId="3" borderId="0" xfId="0" applyFill="1" applyAlignment="1">
      <alignment horizontal="left" vertical="top" wrapText="1"/>
    </xf>
    <xf numFmtId="164" fontId="0" fillId="5" borderId="2" xfId="1" applyNumberFormat="1" applyFont="1" applyFill="1" applyBorder="1" applyAlignment="1">
      <alignment horizontal="right" vertical="top"/>
    </xf>
    <xf numFmtId="2" fontId="0" fillId="5" borderId="2" xfId="1" applyNumberFormat="1" applyFont="1" applyFill="1" applyBorder="1" applyAlignment="1">
      <alignment horizontal="right" vertical="top"/>
    </xf>
    <xf numFmtId="164" fontId="0" fillId="3" borderId="2" xfId="1" applyNumberFormat="1" applyFont="1" applyFill="1" applyBorder="1" applyAlignment="1">
      <alignment horizontal="right" vertical="top"/>
    </xf>
    <xf numFmtId="2" fontId="0" fillId="3" borderId="2" xfId="1" applyNumberFormat="1" applyFont="1" applyFill="1" applyBorder="1" applyAlignment="1">
      <alignment horizontal="right" vertical="top"/>
    </xf>
    <xf numFmtId="0" fontId="14" fillId="4" borderId="0" xfId="0" applyFont="1" applyFill="1" applyAlignment="1">
      <alignment horizontal="right" vertical="top"/>
    </xf>
    <xf numFmtId="43" fontId="0" fillId="5" borderId="0" xfId="1" applyFont="1" applyFill="1" applyBorder="1" applyAlignment="1">
      <alignment horizontal="right" vertical="top"/>
    </xf>
    <xf numFmtId="43" fontId="0" fillId="5" borderId="0" xfId="1" applyFont="1" applyFill="1" applyAlignment="1">
      <alignment horizontal="right" vertical="top"/>
    </xf>
    <xf numFmtId="0" fontId="14" fillId="4" borderId="0" xfId="0" applyFont="1" applyFill="1" applyAlignment="1">
      <alignment horizontal="right" vertical="center"/>
    </xf>
    <xf numFmtId="43" fontId="0" fillId="5" borderId="0" xfId="1" applyFont="1" applyFill="1" applyAlignment="1">
      <alignment horizontal="right" vertical="center"/>
    </xf>
    <xf numFmtId="43" fontId="0" fillId="3" borderId="0" xfId="1" applyFont="1" applyFill="1" applyAlignment="1">
      <alignment horizontal="right" vertical="center"/>
    </xf>
    <xf numFmtId="43" fontId="0" fillId="3" borderId="0" xfId="1" applyFont="1" applyFill="1" applyAlignment="1">
      <alignment horizontal="right" vertical="top"/>
    </xf>
    <xf numFmtId="43" fontId="0" fillId="5" borderId="1" xfId="1" applyFont="1" applyFill="1" applyBorder="1" applyAlignment="1">
      <alignment horizontal="right" vertical="center"/>
    </xf>
    <xf numFmtId="2" fontId="0" fillId="3" borderId="0" xfId="1" applyNumberFormat="1" applyFont="1" applyFill="1" applyAlignment="1">
      <alignment horizontal="center" vertical="top"/>
    </xf>
    <xf numFmtId="164" fontId="0" fillId="5" borderId="2" xfId="1" applyNumberFormat="1" applyFont="1" applyFill="1" applyBorder="1" applyAlignment="1">
      <alignment vertical="top"/>
    </xf>
    <xf numFmtId="2" fontId="0" fillId="5" borderId="2" xfId="1" applyNumberFormat="1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D6B9B497-A110-4CF7-9688-652876C10B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42125984251968"/>
          <c:y val="0.17403543307086614"/>
          <c:w val="0.4411574803149606"/>
          <c:h val="0.73526246719160104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C0F8-4821-B38B-90F2F6B107A7}"/>
              </c:ext>
            </c:extLst>
          </c:dPt>
          <c:dLbls>
            <c:dLbl>
              <c:idx val="0"/>
              <c:layout>
                <c:manualLayout>
                  <c:x val="0"/>
                  <c:y val="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F8-4821-B38B-90F2F6B107A7}"/>
                </c:ext>
              </c:extLst>
            </c:dLbl>
            <c:dLbl>
              <c:idx val="1"/>
              <c:layout>
                <c:manualLayout>
                  <c:x val="-1.7081503172279251E-2"/>
                  <c:y val="1.1904761904761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F8-4821-B38B-90F2F6B107A7}"/>
                </c:ext>
              </c:extLst>
            </c:dLbl>
            <c:dLbl>
              <c:idx val="2"/>
              <c:layout>
                <c:manualLayout>
                  <c:x val="-9.7608589555881805E-3"/>
                  <c:y val="-1.5873015873015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F8-4821-B38B-90F2F6B107A7}"/>
                </c:ext>
              </c:extLst>
            </c:dLbl>
            <c:dLbl>
              <c:idx val="3"/>
              <c:layout>
                <c:manualLayout>
                  <c:x val="7.320644216691069E-3"/>
                  <c:y val="-3.5714285714285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F8-4821-B38B-90F2F6B107A7}"/>
                </c:ext>
              </c:extLst>
            </c:dLbl>
            <c:dLbl>
              <c:idx val="4"/>
              <c:layout>
                <c:manualLayout>
                  <c:x val="1.9521717911176184E-2"/>
                  <c:y val="7.93650793650786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F8-4821-B38B-90F2F6B107A7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'Porter''s Five Forces'!$C$4:$C$8</c:f>
              <c:strCache>
                <c:ptCount val="5"/>
                <c:pt idx="0">
                  <c:v>Bargaining Power of Supplers</c:v>
                </c:pt>
                <c:pt idx="1">
                  <c:v>Bargaining Power of Buyers</c:v>
                </c:pt>
                <c:pt idx="2">
                  <c:v>Threat of New Entrants</c:v>
                </c:pt>
                <c:pt idx="3">
                  <c:v>Threat of Substitute Products</c:v>
                </c:pt>
                <c:pt idx="4">
                  <c:v>Competitive Rivalry</c:v>
                </c:pt>
              </c:strCache>
            </c:strRef>
          </c:cat>
          <c:val>
            <c:numRef>
              <c:f>'Porter''s Five Forces'!$D$4:$D$8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8-4821-B38B-90F2F6B1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01775"/>
        <c:axId val="1106100943"/>
      </c:radarChart>
      <c:catAx>
        <c:axId val="11061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00943"/>
        <c:crosses val="autoZero"/>
        <c:auto val="1"/>
        <c:lblAlgn val="ctr"/>
        <c:lblOffset val="100"/>
        <c:noMultiLvlLbl val="0"/>
      </c:catAx>
      <c:valAx>
        <c:axId val="1106100943"/>
        <c:scaling>
          <c:orientation val="minMax"/>
          <c:max val="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6101775"/>
        <c:crosses val="autoZero"/>
        <c:crossBetween val="between"/>
      </c:valAx>
      <c:spPr>
        <a:noFill/>
        <a:ln>
          <a:noFill/>
        </a:ln>
        <a:effectLst>
          <a:softEdge rad="889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69816272965882E-2"/>
          <c:y val="5.0925925925925923E-2"/>
          <c:w val="0.85964129483814522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'Revenue Projection'!$P$6</c:f>
              <c:strCache>
                <c:ptCount val="1"/>
                <c:pt idx="0">
                  <c:v>Total Gambling</c:v>
                </c:pt>
              </c:strCache>
            </c:strRef>
          </c:tx>
          <c:spPr>
            <a:ln w="19050" cap="rnd" cmpd="sng" algn="ctr">
              <a:solidFill>
                <a:srgbClr val="FF0000">
                  <a:alpha val="94000"/>
                </a:srgb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989-49B9-A068-944877D4CE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Projection'!$Q$5:$U$5</c:f>
              <c:strCache>
                <c:ptCount val="5"/>
                <c:pt idx="1">
                  <c:v>2020</c:v>
                </c:pt>
                <c:pt idx="2">
                  <c:v>2022E</c:v>
                </c:pt>
                <c:pt idx="3">
                  <c:v>2024E</c:v>
                </c:pt>
                <c:pt idx="4">
                  <c:v>2026E</c:v>
                </c:pt>
              </c:strCache>
            </c:strRef>
          </c:cat>
          <c:val>
            <c:numRef>
              <c:f>'Revenue Projection'!$Q$6:$U$6</c:f>
              <c:numCache>
                <c:formatCode>General</c:formatCode>
                <c:ptCount val="5"/>
                <c:pt idx="0">
                  <c:v>100.6</c:v>
                </c:pt>
                <c:pt idx="1">
                  <c:v>81.099999999999994</c:v>
                </c:pt>
                <c:pt idx="2">
                  <c:v>109.6</c:v>
                </c:pt>
                <c:pt idx="3">
                  <c:v>117.6</c:v>
                </c:pt>
                <c:pt idx="4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8-4124-B522-62525434C3AA}"/>
            </c:ext>
          </c:extLst>
        </c:ser>
        <c:ser>
          <c:idx val="1"/>
          <c:order val="1"/>
          <c:tx>
            <c:strRef>
              <c:f>'Revenue Projection'!$P$7</c:f>
              <c:strCache>
                <c:ptCount val="1"/>
                <c:pt idx="0">
                  <c:v>Land-based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Projection'!$Q$5:$U$5</c:f>
              <c:strCache>
                <c:ptCount val="5"/>
                <c:pt idx="1">
                  <c:v>2020</c:v>
                </c:pt>
                <c:pt idx="2">
                  <c:v>2022E</c:v>
                </c:pt>
                <c:pt idx="3">
                  <c:v>2024E</c:v>
                </c:pt>
                <c:pt idx="4">
                  <c:v>2026E</c:v>
                </c:pt>
              </c:strCache>
            </c:strRef>
          </c:cat>
          <c:val>
            <c:numRef>
              <c:f>'Revenue Projection'!$Q$7:$U$7</c:f>
              <c:numCache>
                <c:formatCode>General</c:formatCode>
                <c:ptCount val="5"/>
                <c:pt idx="0">
                  <c:v>74.5</c:v>
                </c:pt>
                <c:pt idx="1">
                  <c:v>50.6</c:v>
                </c:pt>
                <c:pt idx="2">
                  <c:v>70.5</c:v>
                </c:pt>
                <c:pt idx="3">
                  <c:v>72.2</c:v>
                </c:pt>
                <c:pt idx="4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8-4124-B522-62525434C3AA}"/>
            </c:ext>
          </c:extLst>
        </c:ser>
        <c:ser>
          <c:idx val="2"/>
          <c:order val="2"/>
          <c:tx>
            <c:strRef>
              <c:f>'Revenue Projection'!$P$8</c:f>
              <c:strCache>
                <c:ptCount val="1"/>
                <c:pt idx="0">
                  <c:v>Online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Projection'!$Q$5:$U$5</c:f>
              <c:strCache>
                <c:ptCount val="5"/>
                <c:pt idx="1">
                  <c:v>2020</c:v>
                </c:pt>
                <c:pt idx="2">
                  <c:v>2022E</c:v>
                </c:pt>
                <c:pt idx="3">
                  <c:v>2024E</c:v>
                </c:pt>
                <c:pt idx="4">
                  <c:v>2026E</c:v>
                </c:pt>
              </c:strCache>
            </c:strRef>
          </c:cat>
          <c:val>
            <c:numRef>
              <c:f>'Revenue Projection'!$Q$8:$U$8</c:f>
              <c:numCache>
                <c:formatCode>General</c:formatCode>
                <c:ptCount val="5"/>
                <c:pt idx="0">
                  <c:v>26.1</c:v>
                </c:pt>
                <c:pt idx="1">
                  <c:v>30.5</c:v>
                </c:pt>
                <c:pt idx="2">
                  <c:v>39.1</c:v>
                </c:pt>
                <c:pt idx="3">
                  <c:v>45.5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8-4124-B522-62525434C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887"/>
        <c:axId val="81830639"/>
      </c:lineChart>
      <c:dateAx>
        <c:axId val="81831887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0639"/>
        <c:crosses val="autoZero"/>
        <c:auto val="0"/>
        <c:lblOffset val="100"/>
        <c:baseTimeUnit val="days"/>
        <c:minorUnit val="2"/>
      </c:dateAx>
      <c:valAx>
        <c:axId val="818306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Gaming Revenenue</a:t>
                </a:r>
                <a:r>
                  <a:rPr lang="en-US" baseline="0"/>
                  <a:t> (Bn€)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18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</xdr:colOff>
      <xdr:row>14</xdr:row>
      <xdr:rowOff>45720</xdr:rowOff>
    </xdr:from>
    <xdr:to>
      <xdr:col>12</xdr:col>
      <xdr:colOff>559901</xdr:colOff>
      <xdr:row>23</xdr:row>
      <xdr:rowOff>41185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53BF2-EE3D-42E2-97A8-2FC633FF5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" y="4130040"/>
          <a:ext cx="7871291" cy="3881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9</xdr:row>
      <xdr:rowOff>137160</xdr:rowOff>
    </xdr:from>
    <xdr:to>
      <xdr:col>7</xdr:col>
      <xdr:colOff>571500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EFBBC-7956-44DC-9C4B-B07286F12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365760</xdr:colOff>
      <xdr:row>2</xdr:row>
      <xdr:rowOff>45720</xdr:rowOff>
    </xdr:from>
    <xdr:to>
      <xdr:col>14</xdr:col>
      <xdr:colOff>302149</xdr:colOff>
      <xdr:row>14</xdr:row>
      <xdr:rowOff>11377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98F75-E108-456D-A3EE-FB769F4AB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411480"/>
          <a:ext cx="3593989" cy="2160217"/>
        </a:xfrm>
        <a:prstGeom prst="rect">
          <a:avLst/>
        </a:prstGeom>
      </xdr:spPr>
    </xdr:pic>
    <xdr:clientData/>
  </xdr:twoCellAnchor>
  <xdr:twoCellAnchor>
    <xdr:from>
      <xdr:col>24</xdr:col>
      <xdr:colOff>384313</xdr:colOff>
      <xdr:row>1</xdr:row>
      <xdr:rowOff>139148</xdr:rowOff>
    </xdr:from>
    <xdr:to>
      <xdr:col>32</xdr:col>
      <xdr:colOff>79513</xdr:colOff>
      <xdr:row>16</xdr:row>
      <xdr:rowOff>99391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B2E42-7F5A-9929-E50D-F0B276803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2</xdr:row>
      <xdr:rowOff>22860</xdr:rowOff>
    </xdr:from>
    <xdr:to>
      <xdr:col>17</xdr:col>
      <xdr:colOff>396240</xdr:colOff>
      <xdr:row>7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C4FA0C-642C-4B19-AF45-8D02871D3D5A}"/>
            </a:ext>
          </a:extLst>
        </xdr:cNvPr>
        <xdr:cNvSpPr txBox="1"/>
      </xdr:nvSpPr>
      <xdr:spPr>
        <a:xfrm>
          <a:off x="8602980" y="388620"/>
          <a:ext cx="351282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Forecasts for "Cash</a:t>
          </a:r>
          <a:r>
            <a:rPr lang="en-US" sz="1100" baseline="0"/>
            <a:t> flow from operating activities before changes in working capital" er lavet på baggrund af "Income statement"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B5B0-7D4B-4944-B895-18D820A5E228}">
  <dimension ref="B4:H21"/>
  <sheetViews>
    <sheetView topLeftCell="A3" zoomScale="80" zoomScaleNormal="80" workbookViewId="0">
      <selection activeCell="I5" sqref="I5"/>
    </sheetView>
  </sheetViews>
  <sheetFormatPr defaultRowHeight="14.4" x14ac:dyDescent="0.3"/>
  <cols>
    <col min="1" max="1" width="9.6640625" customWidth="1"/>
    <col min="2" max="2" width="8.33203125" customWidth="1"/>
    <col min="3" max="4" width="10.88671875" customWidth="1"/>
    <col min="5" max="5" width="16" customWidth="1"/>
    <col min="6" max="6" width="8.88671875" customWidth="1"/>
    <col min="7" max="7" width="21.44140625" customWidth="1"/>
    <col min="8" max="8" width="30.44140625" customWidth="1"/>
    <col min="9" max="9" width="16.5546875" customWidth="1"/>
  </cols>
  <sheetData>
    <row r="4" spans="2:8" x14ac:dyDescent="0.3">
      <c r="B4" s="3" t="s">
        <v>0</v>
      </c>
      <c r="C4" s="4" t="s">
        <v>1</v>
      </c>
      <c r="D4" s="3" t="s">
        <v>2</v>
      </c>
      <c r="E4" s="4" t="s">
        <v>3</v>
      </c>
      <c r="F4" s="14" t="s">
        <v>4</v>
      </c>
      <c r="G4" s="4" t="s">
        <v>5</v>
      </c>
      <c r="H4" s="18" t="s">
        <v>6</v>
      </c>
    </row>
    <row r="5" spans="2:8" ht="72" x14ac:dyDescent="0.3">
      <c r="B5" s="8" t="s">
        <v>7</v>
      </c>
      <c r="C5" s="9" t="s">
        <v>8</v>
      </c>
      <c r="D5" s="11">
        <v>2011</v>
      </c>
      <c r="E5" s="21" t="s">
        <v>9</v>
      </c>
      <c r="F5" s="15" t="s">
        <v>10</v>
      </c>
      <c r="G5" s="9" t="s">
        <v>11</v>
      </c>
      <c r="H5" s="19" t="s">
        <v>12</v>
      </c>
    </row>
    <row r="6" spans="2:8" ht="72" x14ac:dyDescent="0.3">
      <c r="B6" s="8" t="s">
        <v>13</v>
      </c>
      <c r="C6" s="7" t="s">
        <v>14</v>
      </c>
      <c r="D6" s="11">
        <v>2018</v>
      </c>
      <c r="E6" s="21" t="s">
        <v>15</v>
      </c>
      <c r="F6" s="15" t="s">
        <v>10</v>
      </c>
      <c r="G6" s="9" t="s">
        <v>16</v>
      </c>
      <c r="H6" s="20" t="s">
        <v>17</v>
      </c>
    </row>
    <row r="7" spans="2:8" ht="86.4" x14ac:dyDescent="0.3">
      <c r="B7" s="8" t="s">
        <v>18</v>
      </c>
      <c r="C7" s="7" t="s">
        <v>19</v>
      </c>
      <c r="D7" s="11">
        <v>2019</v>
      </c>
      <c r="E7" s="21" t="s">
        <v>20</v>
      </c>
      <c r="F7" s="15" t="s">
        <v>10</v>
      </c>
      <c r="G7" s="9" t="s">
        <v>21</v>
      </c>
      <c r="H7" s="19" t="s">
        <v>22</v>
      </c>
    </row>
    <row r="8" spans="2:8" ht="72" x14ac:dyDescent="0.3">
      <c r="B8" s="8" t="s">
        <v>23</v>
      </c>
      <c r="C8" s="7" t="s">
        <v>24</v>
      </c>
      <c r="D8" s="11">
        <v>2018</v>
      </c>
      <c r="E8" s="21" t="s">
        <v>25</v>
      </c>
      <c r="F8" s="15" t="s">
        <v>10</v>
      </c>
      <c r="G8" s="9" t="s">
        <v>26</v>
      </c>
      <c r="H8" s="19" t="s">
        <v>27</v>
      </c>
    </row>
    <row r="9" spans="2:8" ht="57.6" x14ac:dyDescent="0.3">
      <c r="B9" s="8" t="s">
        <v>28</v>
      </c>
      <c r="C9" s="7" t="s">
        <v>29</v>
      </c>
      <c r="D9" s="11">
        <v>2020</v>
      </c>
      <c r="E9" s="21" t="s">
        <v>30</v>
      </c>
      <c r="F9" s="15" t="s">
        <v>10</v>
      </c>
      <c r="G9" s="7" t="s">
        <v>31</v>
      </c>
      <c r="H9" s="19" t="s">
        <v>32</v>
      </c>
    </row>
    <row r="10" spans="2:8" ht="43.2" x14ac:dyDescent="0.3">
      <c r="B10" s="1" t="s">
        <v>33</v>
      </c>
      <c r="C10" s="5" t="s">
        <v>34</v>
      </c>
      <c r="D10" s="12">
        <v>2017</v>
      </c>
      <c r="E10" s="22" t="s">
        <v>35</v>
      </c>
      <c r="F10" s="23" t="s">
        <v>10</v>
      </c>
      <c r="G10" s="13" t="s">
        <v>36</v>
      </c>
      <c r="H10" s="20" t="s">
        <v>37</v>
      </c>
    </row>
    <row r="11" spans="2:8" x14ac:dyDescent="0.3">
      <c r="B11" s="2"/>
      <c r="C11" s="5"/>
      <c r="D11" s="2"/>
      <c r="E11" s="5"/>
      <c r="F11" s="16"/>
      <c r="G11" s="5"/>
    </row>
    <row r="12" spans="2:8" x14ac:dyDescent="0.3">
      <c r="B12" s="2"/>
      <c r="C12" s="5"/>
      <c r="D12" s="2"/>
      <c r="E12" s="2"/>
      <c r="F12" s="16"/>
      <c r="G12" s="5"/>
      <c r="H12" s="16"/>
    </row>
    <row r="13" spans="2:8" x14ac:dyDescent="0.3">
      <c r="B13" s="2"/>
      <c r="C13" s="5"/>
      <c r="D13" s="2"/>
      <c r="E13" s="2"/>
      <c r="F13" s="16"/>
      <c r="G13" s="2"/>
      <c r="H13" s="16"/>
    </row>
    <row r="14" spans="2:8" x14ac:dyDescent="0.3">
      <c r="B14" s="2"/>
      <c r="C14" s="5"/>
      <c r="D14" s="2"/>
      <c r="E14" s="2"/>
      <c r="F14" s="16"/>
      <c r="G14" s="2"/>
      <c r="H14" s="16"/>
    </row>
    <row r="15" spans="2:8" x14ac:dyDescent="0.3">
      <c r="B15" s="2"/>
      <c r="C15" s="5"/>
      <c r="D15" s="2"/>
      <c r="E15" s="2"/>
      <c r="F15" s="16"/>
      <c r="G15" s="2"/>
      <c r="H15" s="16"/>
    </row>
    <row r="16" spans="2:8" x14ac:dyDescent="0.3">
      <c r="B16" s="2"/>
      <c r="C16" s="5"/>
      <c r="D16" s="2"/>
      <c r="E16" s="2"/>
      <c r="F16" s="16"/>
      <c r="G16" s="2"/>
      <c r="H16" s="16"/>
    </row>
    <row r="17" spans="2:8" x14ac:dyDescent="0.3">
      <c r="B17" s="2"/>
      <c r="C17" s="5"/>
      <c r="D17" s="2"/>
      <c r="E17" s="2"/>
      <c r="F17" s="16"/>
      <c r="G17" s="2"/>
      <c r="H17" s="16"/>
    </row>
    <row r="18" spans="2:8" x14ac:dyDescent="0.3">
      <c r="B18" s="2"/>
      <c r="C18" s="5"/>
      <c r="D18" s="2"/>
      <c r="E18" s="2"/>
      <c r="F18" s="16"/>
      <c r="G18" s="2"/>
      <c r="H18" s="16"/>
    </row>
    <row r="19" spans="2:8" x14ac:dyDescent="0.3">
      <c r="B19" s="2"/>
      <c r="C19" s="5"/>
      <c r="D19" s="2"/>
      <c r="E19" s="2"/>
      <c r="F19" s="16"/>
      <c r="G19" s="2"/>
      <c r="H19" s="16"/>
    </row>
    <row r="20" spans="2:8" x14ac:dyDescent="0.3">
      <c r="F20" s="17"/>
      <c r="H20" s="17"/>
    </row>
    <row r="21" spans="2:8" x14ac:dyDescent="0.3">
      <c r="F21" s="1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A9CF-7C4E-4453-9AAC-6B25A956CF70}">
  <dimension ref="B2:N23"/>
  <sheetViews>
    <sheetView tabSelected="1" zoomScale="70" zoomScaleNormal="70" workbookViewId="0">
      <selection activeCell="B24" sqref="B24"/>
    </sheetView>
  </sheetViews>
  <sheetFormatPr defaultRowHeight="14.4" x14ac:dyDescent="0.3"/>
  <cols>
    <col min="2" max="2" width="25.44140625" customWidth="1"/>
    <col min="3" max="3" width="15.77734375" customWidth="1"/>
    <col min="4" max="4" width="13.6640625" customWidth="1"/>
    <col min="5" max="5" width="10.33203125" bestFit="1" customWidth="1"/>
  </cols>
  <sheetData>
    <row r="2" spans="2:14" x14ac:dyDescent="0.3">
      <c r="B2" s="79"/>
      <c r="C2" s="79"/>
      <c r="D2" s="79"/>
    </row>
    <row r="3" spans="2:14" x14ac:dyDescent="0.3">
      <c r="B3" s="183" t="s">
        <v>245</v>
      </c>
      <c r="C3" s="184" t="s">
        <v>246</v>
      </c>
      <c r="D3" s="184" t="s">
        <v>247</v>
      </c>
      <c r="E3" s="289" t="s">
        <v>248</v>
      </c>
      <c r="F3" s="289"/>
      <c r="G3" s="289" t="s">
        <v>249</v>
      </c>
      <c r="H3" s="289"/>
      <c r="I3" s="289" t="s">
        <v>250</v>
      </c>
      <c r="J3" s="289"/>
      <c r="K3" s="289" t="s">
        <v>251</v>
      </c>
      <c r="L3" s="289"/>
      <c r="M3" s="289" t="s">
        <v>252</v>
      </c>
      <c r="N3" s="289"/>
    </row>
    <row r="4" spans="2:14" x14ac:dyDescent="0.3">
      <c r="B4" s="175" t="s">
        <v>253</v>
      </c>
      <c r="C4" s="179">
        <v>20280440</v>
      </c>
      <c r="D4" s="179">
        <v>19083130</v>
      </c>
      <c r="E4" s="290">
        <v>6.7</v>
      </c>
      <c r="F4" s="290"/>
      <c r="G4" s="290">
        <v>8.9</v>
      </c>
      <c r="H4" s="290"/>
      <c r="I4" s="290">
        <v>11.3</v>
      </c>
      <c r="J4" s="290"/>
      <c r="K4" s="290">
        <v>1.2</v>
      </c>
      <c r="L4" s="290"/>
      <c r="M4" s="290">
        <v>1.3</v>
      </c>
      <c r="N4" s="290"/>
    </row>
    <row r="5" spans="2:14" x14ac:dyDescent="0.3">
      <c r="B5" s="17" t="s">
        <v>254</v>
      </c>
      <c r="C5" s="94">
        <v>7764830</v>
      </c>
      <c r="D5" s="94">
        <v>7984730</v>
      </c>
      <c r="E5" s="291">
        <v>5.8</v>
      </c>
      <c r="F5" s="291"/>
      <c r="G5" s="291">
        <v>8.1999999999999993</v>
      </c>
      <c r="H5" s="291"/>
      <c r="I5" s="291">
        <v>9.1999999999999993</v>
      </c>
      <c r="J5" s="291"/>
      <c r="K5" s="291">
        <v>1.1000000000000001</v>
      </c>
      <c r="L5" s="291"/>
      <c r="M5" s="291">
        <v>1.2</v>
      </c>
      <c r="N5" s="291"/>
    </row>
    <row r="6" spans="2:14" x14ac:dyDescent="0.3">
      <c r="B6" s="175" t="s">
        <v>255</v>
      </c>
      <c r="C6" s="179">
        <v>3722530</v>
      </c>
      <c r="D6" s="179">
        <v>3771910</v>
      </c>
      <c r="E6" s="293">
        <v>6.7</v>
      </c>
      <c r="F6" s="293"/>
      <c r="G6" s="293">
        <v>9.5</v>
      </c>
      <c r="H6" s="293"/>
      <c r="I6" s="293">
        <v>10.6</v>
      </c>
      <c r="J6" s="293"/>
      <c r="K6" s="293">
        <v>0.8</v>
      </c>
      <c r="L6" s="293"/>
      <c r="M6" s="293">
        <v>1.1000000000000001</v>
      </c>
      <c r="N6" s="293"/>
    </row>
    <row r="7" spans="2:14" x14ac:dyDescent="0.3">
      <c r="B7" s="93" t="s">
        <v>256</v>
      </c>
      <c r="C7" s="96">
        <f>AVERAGE(C4:C6)</f>
        <v>10589266.666666666</v>
      </c>
      <c r="D7" s="96">
        <f>AVERAGE(D4:D6)</f>
        <v>10279923.333333334</v>
      </c>
      <c r="E7" s="285">
        <f>(E4+E5+E6)/3</f>
        <v>6.3999999999999995</v>
      </c>
      <c r="F7" s="285"/>
      <c r="G7" s="285">
        <f t="shared" ref="G7" si="0">(G4+G5+G6)/3</f>
        <v>8.8666666666666671</v>
      </c>
      <c r="H7" s="285"/>
      <c r="I7" s="285">
        <f t="shared" ref="I7" si="1">(I4+I5+I6)/3</f>
        <v>10.366666666666667</v>
      </c>
      <c r="J7" s="285"/>
      <c r="K7" s="285">
        <f t="shared" ref="K7:M7" si="2">(K4+K5+K6)/3</f>
        <v>1.0333333333333332</v>
      </c>
      <c r="L7" s="285"/>
      <c r="M7" s="285">
        <f t="shared" si="2"/>
        <v>1.2</v>
      </c>
      <c r="N7" s="285"/>
    </row>
    <row r="8" spans="2:14" x14ac:dyDescent="0.3">
      <c r="B8" s="180" t="s">
        <v>257</v>
      </c>
      <c r="C8" s="181">
        <f>MEDIAN(C4:C6)</f>
        <v>7764830</v>
      </c>
      <c r="D8" s="181">
        <f>MEDIAN(D4:D6)</f>
        <v>7984730</v>
      </c>
      <c r="E8" s="295">
        <f>MEDIAN(E4:F6)</f>
        <v>6.7</v>
      </c>
      <c r="F8" s="296"/>
      <c r="G8" s="282">
        <f t="shared" ref="G8" si="3">MEDIAN(G4:H6)</f>
        <v>8.9</v>
      </c>
      <c r="H8" s="283"/>
      <c r="I8" s="282">
        <f t="shared" ref="I8" si="4">MEDIAN(I4:J6)</f>
        <v>10.6</v>
      </c>
      <c r="J8" s="283"/>
      <c r="K8" s="282">
        <f t="shared" ref="K8" si="5">MEDIAN(K4:L6)</f>
        <v>1.1000000000000001</v>
      </c>
      <c r="L8" s="283"/>
      <c r="M8" s="282">
        <f t="shared" ref="M8" si="6">MEDIAN(M4:N6)</f>
        <v>1.2</v>
      </c>
      <c r="N8" s="283"/>
    </row>
    <row r="9" spans="2:14" x14ac:dyDescent="0.3">
      <c r="B9" s="17"/>
      <c r="C9" s="17"/>
      <c r="D9" s="17"/>
      <c r="E9" s="39"/>
      <c r="F9" s="39"/>
      <c r="G9" s="39"/>
      <c r="H9" s="39"/>
      <c r="I9" s="39"/>
      <c r="J9" s="39"/>
      <c r="K9" s="39"/>
      <c r="L9" s="39"/>
      <c r="M9" s="17"/>
      <c r="N9" s="17"/>
    </row>
    <row r="10" spans="2:14" x14ac:dyDescent="0.3">
      <c r="B10" s="183" t="s">
        <v>258</v>
      </c>
      <c r="C10" s="184" t="s">
        <v>259</v>
      </c>
      <c r="D10" s="184" t="s">
        <v>260</v>
      </c>
      <c r="E10" s="286" t="s">
        <v>248</v>
      </c>
      <c r="F10" s="286"/>
      <c r="G10" s="286" t="s">
        <v>249</v>
      </c>
      <c r="H10" s="286"/>
      <c r="I10" s="286" t="s">
        <v>250</v>
      </c>
      <c r="J10" s="286"/>
      <c r="K10" s="286" t="s">
        <v>251</v>
      </c>
      <c r="L10" s="286"/>
      <c r="M10" s="286" t="s">
        <v>252</v>
      </c>
      <c r="N10" s="286"/>
    </row>
    <row r="11" spans="2:14" x14ac:dyDescent="0.3">
      <c r="B11" s="175" t="s">
        <v>261</v>
      </c>
      <c r="C11" s="179">
        <v>9076860</v>
      </c>
      <c r="D11" s="179">
        <v>11167270</v>
      </c>
      <c r="E11" s="288">
        <v>10.7</v>
      </c>
      <c r="F11" s="288"/>
      <c r="G11" s="288">
        <v>15.1</v>
      </c>
      <c r="H11" s="288"/>
      <c r="I11" s="288">
        <v>18.100000000000001</v>
      </c>
      <c r="J11" s="288"/>
      <c r="K11" s="288">
        <v>2.5</v>
      </c>
      <c r="L11" s="288"/>
      <c r="M11" s="288">
        <v>2.9</v>
      </c>
      <c r="N11" s="288"/>
    </row>
    <row r="12" spans="2:14" x14ac:dyDescent="0.3">
      <c r="B12" s="17" t="s">
        <v>262</v>
      </c>
      <c r="C12" s="94">
        <v>19078060</v>
      </c>
      <c r="D12" s="94">
        <v>22005030</v>
      </c>
      <c r="E12" s="292">
        <v>13.5</v>
      </c>
      <c r="F12" s="292"/>
      <c r="G12" s="292">
        <v>17.899999999999999</v>
      </c>
      <c r="H12" s="292"/>
      <c r="I12" s="292">
        <v>22.8</v>
      </c>
      <c r="J12" s="292"/>
      <c r="K12" s="292">
        <v>2.4</v>
      </c>
      <c r="L12" s="292"/>
      <c r="M12" s="292">
        <v>2.6</v>
      </c>
      <c r="N12" s="292"/>
    </row>
    <row r="13" spans="2:14" x14ac:dyDescent="0.3">
      <c r="B13" s="175" t="s">
        <v>263</v>
      </c>
      <c r="C13" s="179">
        <v>781360</v>
      </c>
      <c r="D13" s="179">
        <v>608520</v>
      </c>
      <c r="E13" s="287">
        <v>5.2</v>
      </c>
      <c r="F13" s="287"/>
      <c r="G13" s="287">
        <v>6.7</v>
      </c>
      <c r="H13" s="287"/>
      <c r="I13" s="287">
        <v>10.1</v>
      </c>
      <c r="J13" s="287"/>
      <c r="K13" s="287">
        <v>0.8</v>
      </c>
      <c r="L13" s="287"/>
      <c r="M13" s="287">
        <v>0.8</v>
      </c>
      <c r="N13" s="287"/>
    </row>
    <row r="14" spans="2:14" x14ac:dyDescent="0.3">
      <c r="B14" s="93" t="s">
        <v>256</v>
      </c>
      <c r="C14" s="96">
        <f>AVERAGE(C11:C13)</f>
        <v>9645426.666666666</v>
      </c>
      <c r="D14" s="96">
        <f>AVERAGE(D11:D13)</f>
        <v>11260273.333333334</v>
      </c>
      <c r="E14" s="285">
        <f t="shared" ref="E14:G14" si="7">(E11+E12+E13)/3</f>
        <v>9.7999999999999989</v>
      </c>
      <c r="F14" s="285"/>
      <c r="G14" s="285">
        <f t="shared" si="7"/>
        <v>13.233333333333334</v>
      </c>
      <c r="H14" s="285"/>
      <c r="I14" s="285">
        <f t="shared" ref="I14" si="8">(I11+I12+I13)/3</f>
        <v>17.000000000000004</v>
      </c>
      <c r="J14" s="285"/>
      <c r="K14" s="285">
        <f t="shared" ref="K14:M14" si="9">(K11+K12+K13)/3</f>
        <v>1.9000000000000001</v>
      </c>
      <c r="L14" s="285"/>
      <c r="M14" s="285">
        <f t="shared" si="9"/>
        <v>2.1</v>
      </c>
      <c r="N14" s="285"/>
    </row>
    <row r="15" spans="2:14" x14ac:dyDescent="0.3">
      <c r="B15" s="180" t="s">
        <v>257</v>
      </c>
      <c r="C15" s="181">
        <f>MEDIAN(C11:C13)</f>
        <v>9076860</v>
      </c>
      <c r="D15" s="181">
        <f>MEDIAN(D11:D13)</f>
        <v>11167270</v>
      </c>
      <c r="E15" s="282">
        <f>MEDIAN(E11:F13)</f>
        <v>10.7</v>
      </c>
      <c r="F15" s="283"/>
      <c r="G15" s="282">
        <f t="shared" ref="G15" si="10">MEDIAN(G11:H13)</f>
        <v>15.1</v>
      </c>
      <c r="H15" s="283"/>
      <c r="I15" s="282">
        <f t="shared" ref="I15" si="11">MEDIAN(I11:J13)</f>
        <v>18.100000000000001</v>
      </c>
      <c r="J15" s="283"/>
      <c r="K15" s="282">
        <f t="shared" ref="K15" si="12">MEDIAN(K11:L13)</f>
        <v>2.4</v>
      </c>
      <c r="L15" s="283"/>
      <c r="M15" s="282">
        <f>MEDIAN(M11:N13)</f>
        <v>2.6</v>
      </c>
      <c r="N15" s="283"/>
    </row>
    <row r="16" spans="2:14" x14ac:dyDescent="0.3">
      <c r="B16" s="294"/>
      <c r="C16" s="294"/>
      <c r="D16" s="294"/>
      <c r="E16" s="294"/>
      <c r="F16" s="294"/>
      <c r="G16" s="294"/>
      <c r="H16" s="294"/>
      <c r="I16" s="294"/>
      <c r="J16" s="294"/>
      <c r="K16" s="294"/>
      <c r="L16" s="17"/>
      <c r="M16" s="17"/>
      <c r="N16" s="17"/>
    </row>
    <row r="17" spans="2:14" x14ac:dyDescent="0.3">
      <c r="B17" s="183" t="s">
        <v>264</v>
      </c>
      <c r="C17" s="184" t="s">
        <v>265</v>
      </c>
      <c r="D17" s="184" t="s">
        <v>266</v>
      </c>
      <c r="E17" s="289" t="s">
        <v>248</v>
      </c>
      <c r="F17" s="289"/>
      <c r="G17" s="289" t="s">
        <v>249</v>
      </c>
      <c r="H17" s="289"/>
      <c r="I17" s="289" t="s">
        <v>250</v>
      </c>
      <c r="J17" s="289"/>
      <c r="K17" s="289" t="s">
        <v>251</v>
      </c>
      <c r="L17" s="289"/>
      <c r="M17" s="289" t="s">
        <v>252</v>
      </c>
      <c r="N17" s="289"/>
    </row>
    <row r="18" spans="2:14" x14ac:dyDescent="0.3">
      <c r="B18" s="175" t="s">
        <v>267</v>
      </c>
      <c r="C18" s="179">
        <v>7150610</v>
      </c>
      <c r="D18" s="179">
        <v>6179550</v>
      </c>
      <c r="E18" s="290">
        <v>0</v>
      </c>
      <c r="F18" s="290"/>
      <c r="G18" s="290">
        <v>0</v>
      </c>
      <c r="H18" s="290"/>
      <c r="I18" s="290">
        <v>0</v>
      </c>
      <c r="J18" s="290"/>
      <c r="K18" s="290">
        <v>2.7</v>
      </c>
      <c r="L18" s="290"/>
      <c r="M18" s="290">
        <v>4.5</v>
      </c>
      <c r="N18" s="290"/>
    </row>
    <row r="19" spans="2:14" x14ac:dyDescent="0.3">
      <c r="B19" s="17" t="s">
        <v>268</v>
      </c>
      <c r="C19" s="94">
        <v>6267010</v>
      </c>
      <c r="D19" s="94">
        <v>16018310</v>
      </c>
      <c r="E19" s="291">
        <v>11.2</v>
      </c>
      <c r="F19" s="291"/>
      <c r="G19" s="291">
        <v>15.6</v>
      </c>
      <c r="H19" s="291"/>
      <c r="I19" s="291">
        <v>17.600000000000001</v>
      </c>
      <c r="J19" s="291"/>
      <c r="K19" s="291">
        <v>2.5</v>
      </c>
      <c r="L19" s="291"/>
      <c r="M19" s="291">
        <v>2.7</v>
      </c>
      <c r="N19" s="291"/>
    </row>
    <row r="20" spans="2:14" x14ac:dyDescent="0.3">
      <c r="B20" s="175" t="s">
        <v>269</v>
      </c>
      <c r="C20" s="179">
        <v>432720</v>
      </c>
      <c r="D20" s="179">
        <v>356310</v>
      </c>
      <c r="E20" s="290">
        <v>0</v>
      </c>
      <c r="F20" s="290"/>
      <c r="G20" s="290">
        <v>0</v>
      </c>
      <c r="H20" s="290"/>
      <c r="I20" s="290">
        <v>0</v>
      </c>
      <c r="J20" s="290"/>
      <c r="K20" s="290">
        <v>0.5</v>
      </c>
      <c r="L20" s="290"/>
      <c r="M20" s="290">
        <v>0.7</v>
      </c>
      <c r="N20" s="290"/>
    </row>
    <row r="21" spans="2:14" x14ac:dyDescent="0.3">
      <c r="B21" s="17" t="s">
        <v>270</v>
      </c>
      <c r="C21" s="94">
        <v>280830</v>
      </c>
      <c r="D21" s="94">
        <v>562070</v>
      </c>
      <c r="E21" s="291">
        <v>0</v>
      </c>
      <c r="F21" s="291"/>
      <c r="G21" s="291">
        <v>0</v>
      </c>
      <c r="H21" s="291"/>
      <c r="I21" s="291">
        <v>0</v>
      </c>
      <c r="J21" s="291"/>
      <c r="K21" s="291">
        <v>6.4</v>
      </c>
      <c r="L21" s="291"/>
      <c r="M21" s="291">
        <v>4.4000000000000004</v>
      </c>
      <c r="N21" s="291"/>
    </row>
    <row r="22" spans="2:14" x14ac:dyDescent="0.3">
      <c r="B22" s="180" t="s">
        <v>256</v>
      </c>
      <c r="C22" s="182">
        <f>AVERAGE(C18:C21)</f>
        <v>3532792.5</v>
      </c>
      <c r="D22" s="182">
        <f>AVERAGE(D18:D21)</f>
        <v>5779060</v>
      </c>
      <c r="E22" s="283" t="s">
        <v>271</v>
      </c>
      <c r="F22" s="283"/>
      <c r="G22" s="283" t="s">
        <v>271</v>
      </c>
      <c r="H22" s="283"/>
      <c r="I22" s="283" t="s">
        <v>271</v>
      </c>
      <c r="J22" s="283"/>
      <c r="K22" s="283">
        <f t="shared" ref="K22" si="13">(K18+K19+K20+K21)/4</f>
        <v>3.0250000000000004</v>
      </c>
      <c r="L22" s="283"/>
      <c r="M22" s="283">
        <f t="shared" ref="M22" si="14">(M18+M19+M20+M21)/4</f>
        <v>3.0750000000000002</v>
      </c>
      <c r="N22" s="283"/>
    </row>
    <row r="23" spans="2:14" x14ac:dyDescent="0.3">
      <c r="B23" s="93" t="s">
        <v>257</v>
      </c>
      <c r="C23" s="95">
        <f>MEDIAN(C18:C21)</f>
        <v>3349865</v>
      </c>
      <c r="D23" s="95">
        <f>MEDIAN(D18:D21)</f>
        <v>3370810</v>
      </c>
      <c r="E23" s="284">
        <f>MEDIAN(E18:F21)</f>
        <v>0</v>
      </c>
      <c r="F23" s="285"/>
      <c r="G23" s="284">
        <f>MEDIAN(G18:H21)</f>
        <v>0</v>
      </c>
      <c r="H23" s="285"/>
      <c r="I23" s="284">
        <f>MEDIAN(I18:J21)</f>
        <v>0</v>
      </c>
      <c r="J23" s="285"/>
      <c r="K23" s="284">
        <f>MEDIAN(K18:L21)</f>
        <v>2.6</v>
      </c>
      <c r="L23" s="285"/>
      <c r="M23" s="284">
        <f>MEDIAN(M18:N21)</f>
        <v>3.5500000000000003</v>
      </c>
      <c r="N23" s="285"/>
    </row>
  </sheetData>
  <mergeCells count="99">
    <mergeCell ref="E3:F3"/>
    <mergeCell ref="G3:H3"/>
    <mergeCell ref="I3:J3"/>
    <mergeCell ref="K3:L3"/>
    <mergeCell ref="E4:F4"/>
    <mergeCell ref="G4:H4"/>
    <mergeCell ref="I4:J4"/>
    <mergeCell ref="K4:L4"/>
    <mergeCell ref="E7:F7"/>
    <mergeCell ref="G7:H7"/>
    <mergeCell ref="I7:J7"/>
    <mergeCell ref="K7:L7"/>
    <mergeCell ref="E8:F8"/>
    <mergeCell ref="G8:H8"/>
    <mergeCell ref="I8:J8"/>
    <mergeCell ref="K8:L8"/>
    <mergeCell ref="E5:F5"/>
    <mergeCell ref="G5:H5"/>
    <mergeCell ref="I5:J5"/>
    <mergeCell ref="K5:L5"/>
    <mergeCell ref="E6:F6"/>
    <mergeCell ref="G6:H6"/>
    <mergeCell ref="I6:J6"/>
    <mergeCell ref="K6:L6"/>
    <mergeCell ref="E10:F10"/>
    <mergeCell ref="G10:H10"/>
    <mergeCell ref="I10:J10"/>
    <mergeCell ref="K10:L10"/>
    <mergeCell ref="E11:F11"/>
    <mergeCell ref="G11:H11"/>
    <mergeCell ref="I11:J11"/>
    <mergeCell ref="K11:L11"/>
    <mergeCell ref="K13:L13"/>
    <mergeCell ref="E14:F14"/>
    <mergeCell ref="G14:H14"/>
    <mergeCell ref="I14:J14"/>
    <mergeCell ref="K14:L14"/>
    <mergeCell ref="E13:F13"/>
    <mergeCell ref="G13:H13"/>
    <mergeCell ref="I13:J13"/>
    <mergeCell ref="E12:F12"/>
    <mergeCell ref="G12:H12"/>
    <mergeCell ref="I12:J12"/>
    <mergeCell ref="E23:F23"/>
    <mergeCell ref="G23:H23"/>
    <mergeCell ref="I23:J23"/>
    <mergeCell ref="I21:J21"/>
    <mergeCell ref="B16:E16"/>
    <mergeCell ref="F16:G16"/>
    <mergeCell ref="H16:I16"/>
    <mergeCell ref="J16:K16"/>
    <mergeCell ref="E15:F15"/>
    <mergeCell ref="G15:H15"/>
    <mergeCell ref="I15:J15"/>
    <mergeCell ref="K15:L15"/>
    <mergeCell ref="K12:L12"/>
    <mergeCell ref="K23:L23"/>
    <mergeCell ref="E19:F19"/>
    <mergeCell ref="G19:H19"/>
    <mergeCell ref="I19:J19"/>
    <mergeCell ref="K19:L19"/>
    <mergeCell ref="K20:L20"/>
    <mergeCell ref="K21:L21"/>
    <mergeCell ref="E22:F22"/>
    <mergeCell ref="G22:H22"/>
    <mergeCell ref="I22:J22"/>
    <mergeCell ref="K22:L22"/>
    <mergeCell ref="E20:F20"/>
    <mergeCell ref="E21:F21"/>
    <mergeCell ref="G20:H20"/>
    <mergeCell ref="G21:H21"/>
    <mergeCell ref="I20:J20"/>
    <mergeCell ref="K17:L17"/>
    <mergeCell ref="E18:F18"/>
    <mergeCell ref="G18:H18"/>
    <mergeCell ref="I18:J18"/>
    <mergeCell ref="K18:L18"/>
    <mergeCell ref="E17:F17"/>
    <mergeCell ref="G17:H17"/>
    <mergeCell ref="I17:J17"/>
    <mergeCell ref="M3:N3"/>
    <mergeCell ref="M4:N4"/>
    <mergeCell ref="M5:N5"/>
    <mergeCell ref="M6:N6"/>
    <mergeCell ref="M7:N7"/>
    <mergeCell ref="M8:N8"/>
    <mergeCell ref="M22:N22"/>
    <mergeCell ref="M23:N23"/>
    <mergeCell ref="M10:N10"/>
    <mergeCell ref="M13:N13"/>
    <mergeCell ref="M14:N14"/>
    <mergeCell ref="M15:N15"/>
    <mergeCell ref="M11:N11"/>
    <mergeCell ref="M17:N17"/>
    <mergeCell ref="M18:N18"/>
    <mergeCell ref="M19:N19"/>
    <mergeCell ref="M20:N20"/>
    <mergeCell ref="M21:N21"/>
    <mergeCell ref="M12:N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8064-005D-4BF3-A001-0FE8A129710B}">
  <dimension ref="A1"/>
  <sheetViews>
    <sheetView workbookViewId="0">
      <selection activeCell="L20" sqref="L2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07F8-99DD-4EB9-880C-70002FEB4F02}">
  <dimension ref="B3:J19"/>
  <sheetViews>
    <sheetView workbookViewId="0">
      <selection activeCell="B3" sqref="B3:J10"/>
    </sheetView>
  </sheetViews>
  <sheetFormatPr defaultRowHeight="14.4" x14ac:dyDescent="0.3"/>
  <cols>
    <col min="2" max="2" width="11.109375" customWidth="1"/>
    <col min="5" max="5" width="10.88671875" customWidth="1"/>
    <col min="6" max="6" width="11.5546875" customWidth="1"/>
    <col min="8" max="8" width="18.5546875" customWidth="1"/>
    <col min="9" max="9" width="20.6640625" customWidth="1"/>
    <col min="10" max="10" width="27.33203125" customWidth="1"/>
  </cols>
  <sheetData>
    <row r="3" spans="2:10" s="10" customFormat="1" ht="27.6" x14ac:dyDescent="0.3">
      <c r="B3" s="185" t="s">
        <v>0</v>
      </c>
      <c r="C3" s="186" t="s">
        <v>1</v>
      </c>
      <c r="D3" s="187" t="s">
        <v>38</v>
      </c>
      <c r="E3" s="188" t="s">
        <v>39</v>
      </c>
      <c r="F3" s="185" t="s">
        <v>40</v>
      </c>
      <c r="G3" s="186" t="s">
        <v>4</v>
      </c>
      <c r="H3" s="185" t="s">
        <v>5</v>
      </c>
      <c r="I3" s="188" t="s">
        <v>41</v>
      </c>
      <c r="J3" s="185" t="s">
        <v>42</v>
      </c>
    </row>
    <row r="4" spans="2:10" ht="55.2" x14ac:dyDescent="0.3">
      <c r="B4" s="189" t="s">
        <v>43</v>
      </c>
      <c r="C4" s="190" t="s">
        <v>44</v>
      </c>
      <c r="D4" s="191">
        <v>2020</v>
      </c>
      <c r="E4" s="192">
        <v>70600</v>
      </c>
      <c r="F4" s="191" t="s">
        <v>45</v>
      </c>
      <c r="G4" s="193" t="s">
        <v>10</v>
      </c>
      <c r="H4" s="194" t="s">
        <v>46</v>
      </c>
      <c r="I4" s="195" t="s">
        <v>47</v>
      </c>
      <c r="J4" s="196" t="s">
        <v>48</v>
      </c>
    </row>
    <row r="5" spans="2:10" ht="96.6" x14ac:dyDescent="0.3">
      <c r="B5" s="194" t="s">
        <v>49</v>
      </c>
      <c r="C5" s="190" t="s">
        <v>50</v>
      </c>
      <c r="D5" s="191">
        <v>2020</v>
      </c>
      <c r="E5" s="192">
        <v>2500</v>
      </c>
      <c r="F5" s="191" t="s">
        <v>45</v>
      </c>
      <c r="G5" s="193" t="s">
        <v>10</v>
      </c>
      <c r="H5" s="189" t="s">
        <v>51</v>
      </c>
      <c r="I5" s="195" t="s">
        <v>52</v>
      </c>
      <c r="J5" s="196" t="s">
        <v>53</v>
      </c>
    </row>
    <row r="6" spans="2:10" ht="55.2" x14ac:dyDescent="0.3">
      <c r="B6" s="194" t="s">
        <v>54</v>
      </c>
      <c r="C6" s="190" t="s">
        <v>50</v>
      </c>
      <c r="D6" s="191">
        <v>2019</v>
      </c>
      <c r="E6" s="192">
        <v>20000</v>
      </c>
      <c r="F6" s="191" t="s">
        <v>45</v>
      </c>
      <c r="G6" s="193" t="s">
        <v>10</v>
      </c>
      <c r="H6" s="194" t="s">
        <v>55</v>
      </c>
      <c r="I6" s="195" t="s">
        <v>56</v>
      </c>
      <c r="J6" s="196" t="s">
        <v>57</v>
      </c>
    </row>
    <row r="7" spans="2:10" ht="69" x14ac:dyDescent="0.3">
      <c r="B7" s="194" t="s">
        <v>58</v>
      </c>
      <c r="C7" s="190" t="s">
        <v>50</v>
      </c>
      <c r="D7" s="191">
        <v>2020</v>
      </c>
      <c r="E7" s="192">
        <v>4533861</v>
      </c>
      <c r="F7" s="191" t="s">
        <v>45</v>
      </c>
      <c r="G7" s="193" t="s">
        <v>10</v>
      </c>
      <c r="H7" s="194" t="s">
        <v>59</v>
      </c>
      <c r="I7" s="195" t="s">
        <v>60</v>
      </c>
      <c r="J7" s="196" t="s">
        <v>61</v>
      </c>
    </row>
    <row r="8" spans="2:10" ht="69" x14ac:dyDescent="0.3">
      <c r="B8" s="194" t="s">
        <v>62</v>
      </c>
      <c r="C8" s="190" t="s">
        <v>50</v>
      </c>
      <c r="D8" s="191">
        <v>2015</v>
      </c>
      <c r="E8" s="192">
        <v>3700</v>
      </c>
      <c r="F8" s="191" t="s">
        <v>45</v>
      </c>
      <c r="G8" s="193" t="s">
        <v>10</v>
      </c>
      <c r="H8" s="194" t="s">
        <v>63</v>
      </c>
      <c r="I8" s="195" t="s">
        <v>64</v>
      </c>
      <c r="J8" s="196" t="s">
        <v>65</v>
      </c>
    </row>
    <row r="9" spans="2:10" ht="27.6" x14ac:dyDescent="0.3">
      <c r="B9" s="194" t="s">
        <v>66</v>
      </c>
      <c r="C9" s="190" t="s">
        <v>50</v>
      </c>
      <c r="D9" s="191">
        <v>2020</v>
      </c>
      <c r="E9" s="192">
        <v>10000</v>
      </c>
      <c r="F9" s="191" t="s">
        <v>45</v>
      </c>
      <c r="G9" s="193" t="s">
        <v>10</v>
      </c>
      <c r="H9" s="194" t="s">
        <v>67</v>
      </c>
      <c r="I9" s="197" t="s">
        <v>68</v>
      </c>
      <c r="J9" s="198" t="s">
        <v>69</v>
      </c>
    </row>
    <row r="10" spans="2:10" ht="41.4" x14ac:dyDescent="0.3">
      <c r="B10" s="194" t="s">
        <v>70</v>
      </c>
      <c r="C10" s="190" t="s">
        <v>50</v>
      </c>
      <c r="D10" s="191">
        <v>2020</v>
      </c>
      <c r="E10" s="199">
        <v>0</v>
      </c>
      <c r="F10" s="191" t="s">
        <v>45</v>
      </c>
      <c r="G10" s="193" t="s">
        <v>10</v>
      </c>
      <c r="H10" s="194" t="s">
        <v>71</v>
      </c>
      <c r="I10" s="195" t="s">
        <v>72</v>
      </c>
      <c r="J10" s="196" t="s">
        <v>73</v>
      </c>
    </row>
    <row r="11" spans="2:10" x14ac:dyDescent="0.3">
      <c r="C11" s="6"/>
      <c r="E11" s="6"/>
      <c r="G11" s="6"/>
      <c r="I11" s="6"/>
    </row>
    <row r="12" spans="2:10" x14ac:dyDescent="0.3">
      <c r="C12" s="6"/>
      <c r="E12" s="24"/>
      <c r="G12" s="6"/>
      <c r="I12" s="6"/>
    </row>
    <row r="13" spans="2:10" x14ac:dyDescent="0.3">
      <c r="C13" s="6"/>
      <c r="E13" s="6"/>
      <c r="G13" s="6"/>
      <c r="I13" s="6"/>
    </row>
    <row r="14" spans="2:10" x14ac:dyDescent="0.3">
      <c r="C14" s="6"/>
      <c r="E14" s="6"/>
      <c r="G14" s="6"/>
      <c r="I14" s="6"/>
    </row>
    <row r="15" spans="2:10" x14ac:dyDescent="0.3">
      <c r="C15" s="6"/>
      <c r="E15" s="6"/>
      <c r="G15" s="6"/>
      <c r="I15" s="6"/>
    </row>
    <row r="16" spans="2:10" x14ac:dyDescent="0.3">
      <c r="C16" s="6"/>
      <c r="E16" s="6"/>
      <c r="G16" s="6"/>
      <c r="I16" s="6"/>
    </row>
    <row r="17" spans="3:9" x14ac:dyDescent="0.3">
      <c r="C17" s="6"/>
      <c r="E17" s="6"/>
      <c r="G17" s="6"/>
      <c r="I17" s="6"/>
    </row>
    <row r="18" spans="3:9" x14ac:dyDescent="0.3">
      <c r="C18" s="6"/>
      <c r="E18" s="6"/>
      <c r="G18" s="6"/>
      <c r="I18" s="6"/>
    </row>
    <row r="19" spans="3:9" x14ac:dyDescent="0.3">
      <c r="C19" s="6"/>
      <c r="E19" s="6"/>
      <c r="G19" s="6"/>
      <c r="I1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1B1F-1E91-45DD-A116-549719515AE2}">
  <dimension ref="B3:V51"/>
  <sheetViews>
    <sheetView topLeftCell="E34" workbookViewId="0">
      <selection activeCell="O38" sqref="O38"/>
    </sheetView>
  </sheetViews>
  <sheetFormatPr defaultRowHeight="14.4" x14ac:dyDescent="0.3"/>
  <cols>
    <col min="2" max="2" width="7.6640625" customWidth="1"/>
    <col min="3" max="3" width="7.44140625" customWidth="1"/>
    <col min="4" max="4" width="13.33203125" customWidth="1"/>
    <col min="7" max="7" width="9.109375" customWidth="1"/>
    <col min="8" max="9" width="9.88671875" bestFit="1" customWidth="1"/>
    <col min="10" max="10" width="6.6640625" customWidth="1"/>
    <col min="11" max="11" width="8.33203125" customWidth="1"/>
    <col min="12" max="12" width="10.33203125" customWidth="1"/>
    <col min="13" max="13" width="11.6640625" customWidth="1"/>
    <col min="16" max="16" width="10.109375" customWidth="1"/>
    <col min="17" max="17" width="9.33203125" customWidth="1"/>
    <col min="18" max="18" width="14.33203125" customWidth="1"/>
    <col min="19" max="19" width="13.33203125" customWidth="1"/>
    <col min="20" max="20" width="14.44140625" customWidth="1"/>
    <col min="21" max="21" width="11.88671875" customWidth="1"/>
    <col min="22" max="22" width="11.6640625" customWidth="1"/>
  </cols>
  <sheetData>
    <row r="3" spans="2:13" x14ac:dyDescent="0.3">
      <c r="B3" s="39" t="s">
        <v>74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2:13" ht="29.4" customHeight="1" x14ac:dyDescent="0.3">
      <c r="B4" s="17"/>
      <c r="C4" s="17"/>
      <c r="D4" s="30" t="s">
        <v>75</v>
      </c>
      <c r="E4" s="17"/>
      <c r="F4" s="17"/>
      <c r="G4" s="17"/>
      <c r="H4" s="30" t="s">
        <v>76</v>
      </c>
      <c r="I4" s="40"/>
      <c r="J4" s="17"/>
      <c r="K4" s="17"/>
      <c r="L4" s="17"/>
      <c r="M4" s="17"/>
    </row>
    <row r="5" spans="2:13" ht="30" customHeight="1" x14ac:dyDescent="0.3">
      <c r="B5" s="43" t="s">
        <v>0</v>
      </c>
      <c r="C5" s="29" t="s">
        <v>1</v>
      </c>
      <c r="D5" s="30" t="s">
        <v>77</v>
      </c>
      <c r="E5" s="31" t="s">
        <v>78</v>
      </c>
      <c r="F5" s="30" t="s">
        <v>79</v>
      </c>
      <c r="G5" s="31" t="s">
        <v>80</v>
      </c>
      <c r="H5" s="30" t="s">
        <v>81</v>
      </c>
      <c r="I5" s="31" t="s">
        <v>82</v>
      </c>
      <c r="J5" s="30" t="s">
        <v>83</v>
      </c>
      <c r="K5" s="31" t="s">
        <v>84</v>
      </c>
      <c r="L5" s="30" t="s">
        <v>85</v>
      </c>
      <c r="M5" s="31" t="s">
        <v>86</v>
      </c>
    </row>
    <row r="6" spans="2:13" ht="30.6" customHeight="1" x14ac:dyDescent="0.3">
      <c r="B6" s="36" t="s">
        <v>7</v>
      </c>
      <c r="C6" s="26" t="s">
        <v>87</v>
      </c>
      <c r="D6" s="34">
        <f>8400000+95000</f>
        <v>8495000</v>
      </c>
      <c r="E6" s="35">
        <v>0</v>
      </c>
      <c r="F6" s="34">
        <f>220000-95000</f>
        <v>125000</v>
      </c>
      <c r="G6" s="35">
        <f>8400000-8050000</f>
        <v>350000</v>
      </c>
      <c r="H6" s="34">
        <f>8050000+220000</f>
        <v>8270000</v>
      </c>
      <c r="I6" s="35">
        <f>D6-H6</f>
        <v>225000</v>
      </c>
      <c r="J6" s="37">
        <v>38.119999999999997</v>
      </c>
      <c r="K6" s="35">
        <f>J6*H6/1000</f>
        <v>315252.40000000002</v>
      </c>
      <c r="L6" s="38">
        <f>(K6*1000)/(420000*10.3)</f>
        <v>72.873878871937123</v>
      </c>
      <c r="M6" s="26" t="s">
        <v>88</v>
      </c>
    </row>
    <row r="7" spans="2:13" ht="28.95" customHeight="1" x14ac:dyDescent="0.3">
      <c r="B7" s="36" t="s">
        <v>89</v>
      </c>
      <c r="C7" s="26" t="s">
        <v>14</v>
      </c>
      <c r="D7" s="34">
        <f>40000+255000</f>
        <v>295000</v>
      </c>
      <c r="E7" s="35">
        <v>5000</v>
      </c>
      <c r="F7" s="34">
        <f>320000-255000</f>
        <v>65000</v>
      </c>
      <c r="G7" s="35">
        <v>0</v>
      </c>
      <c r="H7" s="34">
        <f>45000+320000</f>
        <v>365000</v>
      </c>
      <c r="I7" s="35">
        <f>H7-D7</f>
        <v>70000</v>
      </c>
      <c r="J7" s="37">
        <v>38.119999999999997</v>
      </c>
      <c r="K7" s="35">
        <f>J7*H7/1000</f>
        <v>13913.799999999997</v>
      </c>
      <c r="L7" s="38">
        <f>(K7*1000)/((1423000/4)*10.3)</f>
        <v>3.7972013181504947</v>
      </c>
      <c r="M7" s="26" t="s">
        <v>88</v>
      </c>
    </row>
    <row r="8" spans="2:13" ht="28.95" customHeight="1" x14ac:dyDescent="0.3">
      <c r="B8" s="25" t="s">
        <v>18</v>
      </c>
      <c r="C8" s="26" t="s">
        <v>19</v>
      </c>
      <c r="D8" s="34">
        <f>21200+175000</f>
        <v>196200</v>
      </c>
      <c r="E8" s="35"/>
      <c r="F8" s="34">
        <f>300000-175000</f>
        <v>125000</v>
      </c>
      <c r="G8" s="6"/>
      <c r="H8" s="34">
        <f>21200+300000</f>
        <v>321200</v>
      </c>
      <c r="I8" s="35">
        <f t="shared" ref="I8:I9" si="0">H8-D8</f>
        <v>125000</v>
      </c>
      <c r="J8" s="37">
        <v>38.119999999999997</v>
      </c>
      <c r="K8" s="35">
        <f t="shared" ref="K8:K11" si="1">J8*H8/1000</f>
        <v>12244.144</v>
      </c>
      <c r="L8" s="38">
        <f t="shared" ref="L8:L11" si="2">(K8*1000)/((1423000/4)*10.3)</f>
        <v>3.3415371599724359</v>
      </c>
      <c r="M8" s="26" t="s">
        <v>88</v>
      </c>
    </row>
    <row r="9" spans="2:13" ht="28.95" customHeight="1" x14ac:dyDescent="0.3">
      <c r="B9" s="36" t="s">
        <v>90</v>
      </c>
      <c r="C9" s="26" t="s">
        <v>29</v>
      </c>
      <c r="D9" s="34">
        <f>265000+95000</f>
        <v>360000</v>
      </c>
      <c r="E9" s="35"/>
      <c r="F9" s="34">
        <f>185000-95000</f>
        <v>90000</v>
      </c>
      <c r="G9" s="6"/>
      <c r="H9" s="34">
        <f>265000+185000</f>
        <v>450000</v>
      </c>
      <c r="I9" s="35">
        <f t="shared" si="0"/>
        <v>90000</v>
      </c>
      <c r="J9" s="37">
        <v>38.119999999999997</v>
      </c>
      <c r="K9" s="35">
        <f t="shared" si="1"/>
        <v>17154</v>
      </c>
      <c r="L9" s="38">
        <f t="shared" si="2"/>
        <v>4.6814810771718438</v>
      </c>
      <c r="M9" s="26" t="s">
        <v>88</v>
      </c>
    </row>
    <row r="10" spans="2:13" ht="28.95" customHeight="1" x14ac:dyDescent="0.3">
      <c r="B10" s="36" t="s">
        <v>91</v>
      </c>
      <c r="C10" s="26" t="s">
        <v>24</v>
      </c>
      <c r="D10" s="34" t="s">
        <v>92</v>
      </c>
      <c r="E10" s="35">
        <v>0</v>
      </c>
      <c r="F10" s="34">
        <v>0</v>
      </c>
      <c r="G10" s="35">
        <v>0</v>
      </c>
      <c r="H10" s="34">
        <f>23000+24000</f>
        <v>47000</v>
      </c>
      <c r="I10" s="35">
        <v>0</v>
      </c>
      <c r="J10" s="37">
        <v>38.119999999999997</v>
      </c>
      <c r="K10" s="35">
        <f t="shared" si="1"/>
        <v>1791.6399999999999</v>
      </c>
      <c r="L10" s="38">
        <f t="shared" si="2"/>
        <v>0.48895469028239247</v>
      </c>
      <c r="M10" s="26" t="s">
        <v>88</v>
      </c>
    </row>
    <row r="11" spans="2:13" ht="28.95" customHeight="1" x14ac:dyDescent="0.3">
      <c r="B11" s="36" t="s">
        <v>93</v>
      </c>
      <c r="C11" s="27" t="s">
        <v>94</v>
      </c>
      <c r="D11" s="34" t="s">
        <v>92</v>
      </c>
      <c r="E11" s="35">
        <v>0</v>
      </c>
      <c r="F11" s="34">
        <v>0</v>
      </c>
      <c r="G11" s="35">
        <v>0</v>
      </c>
      <c r="H11" s="34">
        <f>8791+55000</f>
        <v>63791</v>
      </c>
      <c r="I11" s="35">
        <v>0</v>
      </c>
      <c r="J11" s="37">
        <v>38.119999999999997</v>
      </c>
      <c r="K11" s="35">
        <f t="shared" si="1"/>
        <v>2431.7129199999999</v>
      </c>
      <c r="L11" s="38">
        <f t="shared" si="2"/>
        <v>0.6636363542085979</v>
      </c>
      <c r="M11" s="26" t="s">
        <v>88</v>
      </c>
    </row>
    <row r="12" spans="2:13" x14ac:dyDescent="0.3">
      <c r="B12" s="17" t="s">
        <v>95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2:13" ht="15.6" customHeight="1" x14ac:dyDescent="0.3">
      <c r="B13" s="17" t="s">
        <v>96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2:13" x14ac:dyDescent="0.3">
      <c r="B14" s="17" t="s">
        <v>97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6" spans="2:13" x14ac:dyDescent="0.3">
      <c r="B16" s="41"/>
    </row>
    <row r="17" spans="2:2" x14ac:dyDescent="0.3">
      <c r="B17" s="41"/>
    </row>
    <row r="18" spans="2:2" ht="79.8" x14ac:dyDescent="0.3">
      <c r="B18" s="41" t="s">
        <v>98</v>
      </c>
    </row>
    <row r="19" spans="2:2" x14ac:dyDescent="0.3">
      <c r="B19" s="41"/>
    </row>
    <row r="20" spans="2:2" ht="125.4" x14ac:dyDescent="0.3">
      <c r="B20" s="42" t="s">
        <v>99</v>
      </c>
    </row>
    <row r="21" spans="2:2" x14ac:dyDescent="0.3">
      <c r="B21" s="42"/>
    </row>
    <row r="22" spans="2:2" x14ac:dyDescent="0.3">
      <c r="B22" s="42"/>
    </row>
    <row r="23" spans="2:2" x14ac:dyDescent="0.3">
      <c r="B23" s="41"/>
    </row>
    <row r="24" spans="2:2" x14ac:dyDescent="0.3">
      <c r="B24" s="41"/>
    </row>
    <row r="42" spans="17:22" x14ac:dyDescent="0.3">
      <c r="Q42" s="39" t="s">
        <v>100</v>
      </c>
      <c r="R42" s="17"/>
      <c r="S42" s="17"/>
      <c r="T42" s="17"/>
      <c r="U42" s="17"/>
      <c r="V42" s="17"/>
    </row>
    <row r="43" spans="17:22" ht="34.950000000000003" customHeight="1" x14ac:dyDescent="0.3">
      <c r="Q43" s="46" t="s">
        <v>0</v>
      </c>
      <c r="R43" s="32" t="s">
        <v>101</v>
      </c>
      <c r="S43" s="33" t="s">
        <v>102</v>
      </c>
      <c r="T43" s="53" t="s">
        <v>103</v>
      </c>
      <c r="U43" s="33" t="s">
        <v>104</v>
      </c>
      <c r="V43" s="32" t="s">
        <v>105</v>
      </c>
    </row>
    <row r="44" spans="17:22" ht="28.8" x14ac:dyDescent="0.3">
      <c r="Q44" s="28" t="s">
        <v>106</v>
      </c>
      <c r="R44" s="26">
        <v>2020</v>
      </c>
      <c r="S44" s="45">
        <v>60600</v>
      </c>
      <c r="T44" s="54">
        <f t="shared" ref="T44:T50" si="3">U44-S44</f>
        <v>10000</v>
      </c>
      <c r="U44" s="45">
        <v>70600</v>
      </c>
      <c r="V44" s="6" t="s">
        <v>88</v>
      </c>
    </row>
    <row r="45" spans="17:22" ht="28.8" x14ac:dyDescent="0.3">
      <c r="Q45" s="28" t="s">
        <v>49</v>
      </c>
      <c r="R45" s="26">
        <v>2020</v>
      </c>
      <c r="S45" s="44">
        <v>0</v>
      </c>
      <c r="T45" s="55">
        <f t="shared" si="3"/>
        <v>2500</v>
      </c>
      <c r="U45" s="45">
        <v>2500</v>
      </c>
      <c r="V45" s="6" t="s">
        <v>88</v>
      </c>
    </row>
    <row r="46" spans="17:22" ht="28.8" x14ac:dyDescent="0.3">
      <c r="Q46" s="28" t="s">
        <v>54</v>
      </c>
      <c r="R46" s="26">
        <v>2019</v>
      </c>
      <c r="S46" s="45">
        <v>20000</v>
      </c>
      <c r="T46" s="55">
        <f t="shared" si="3"/>
        <v>0</v>
      </c>
      <c r="U46" s="45">
        <v>20000</v>
      </c>
      <c r="V46" s="6" t="s">
        <v>88</v>
      </c>
    </row>
    <row r="47" spans="17:22" ht="28.8" x14ac:dyDescent="0.3">
      <c r="Q47" s="28" t="s">
        <v>58</v>
      </c>
      <c r="R47" s="26">
        <v>2020</v>
      </c>
      <c r="S47" s="45">
        <v>4507253</v>
      </c>
      <c r="T47" s="54">
        <f t="shared" si="3"/>
        <v>26608</v>
      </c>
      <c r="U47" s="45">
        <v>4533861</v>
      </c>
      <c r="V47" s="6" t="s">
        <v>88</v>
      </c>
    </row>
    <row r="48" spans="17:22" ht="28.8" x14ac:dyDescent="0.3">
      <c r="Q48" s="28" t="s">
        <v>107</v>
      </c>
      <c r="R48" s="26">
        <v>2015</v>
      </c>
      <c r="S48" s="45">
        <v>3700</v>
      </c>
      <c r="T48" s="55">
        <f t="shared" si="3"/>
        <v>0</v>
      </c>
      <c r="U48" s="45">
        <v>3700</v>
      </c>
      <c r="V48" s="6" t="s">
        <v>88</v>
      </c>
    </row>
    <row r="49" spans="17:22" ht="28.8" x14ac:dyDescent="0.3">
      <c r="Q49" s="28" t="s">
        <v>108</v>
      </c>
      <c r="R49" s="26">
        <v>2020</v>
      </c>
      <c r="S49" s="45">
        <v>6800</v>
      </c>
      <c r="T49" s="54">
        <f t="shared" si="3"/>
        <v>3200</v>
      </c>
      <c r="U49" s="45">
        <v>10000</v>
      </c>
      <c r="V49" s="6" t="s">
        <v>88</v>
      </c>
    </row>
    <row r="50" spans="17:22" ht="28.8" x14ac:dyDescent="0.3">
      <c r="Q50" s="47" t="s">
        <v>70</v>
      </c>
      <c r="R50" s="29">
        <v>2020</v>
      </c>
      <c r="S50" s="48">
        <v>0</v>
      </c>
      <c r="T50" s="56">
        <f t="shared" si="3"/>
        <v>0</v>
      </c>
      <c r="U50" s="48">
        <v>0</v>
      </c>
      <c r="V50" s="51" t="s">
        <v>109</v>
      </c>
    </row>
    <row r="51" spans="17:22" x14ac:dyDescent="0.3">
      <c r="Q51" s="49" t="s">
        <v>110</v>
      </c>
      <c r="R51" s="52"/>
      <c r="S51" s="50">
        <f>SUM(S44:S50)</f>
        <v>4598353</v>
      </c>
      <c r="T51" s="52">
        <f t="shared" ref="T51:U51" si="4">SUM(T44:T50)</f>
        <v>42308</v>
      </c>
      <c r="U51" s="50">
        <f t="shared" si="4"/>
        <v>4640661</v>
      </c>
      <c r="V51" s="6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C9E5-8CFB-48C0-B6D2-B96036AE594E}">
  <dimension ref="C4:D8"/>
  <sheetViews>
    <sheetView topLeftCell="A10" workbookViewId="0">
      <selection activeCell="G6" sqref="G6"/>
    </sheetView>
  </sheetViews>
  <sheetFormatPr defaultRowHeight="14.4" x14ac:dyDescent="0.3"/>
  <cols>
    <col min="3" max="3" width="27.5546875" customWidth="1"/>
  </cols>
  <sheetData>
    <row r="4" spans="3:4" x14ac:dyDescent="0.3">
      <c r="C4" t="s">
        <v>111</v>
      </c>
      <c r="D4">
        <v>4</v>
      </c>
    </row>
    <row r="5" spans="3:4" x14ac:dyDescent="0.3">
      <c r="C5" t="s">
        <v>112</v>
      </c>
      <c r="D5">
        <v>3</v>
      </c>
    </row>
    <row r="6" spans="3:4" x14ac:dyDescent="0.3">
      <c r="C6" t="s">
        <v>113</v>
      </c>
      <c r="D6">
        <v>3</v>
      </c>
    </row>
    <row r="7" spans="3:4" x14ac:dyDescent="0.3">
      <c r="C7" t="s">
        <v>114</v>
      </c>
      <c r="D7">
        <v>1</v>
      </c>
    </row>
    <row r="8" spans="3:4" x14ac:dyDescent="0.3">
      <c r="C8" t="s">
        <v>115</v>
      </c>
      <c r="D8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18CC-0D5A-4BE2-A08F-6D081AD1F541}">
  <dimension ref="A1:G32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4.4" x14ac:dyDescent="0.3"/>
  <cols>
    <col min="1" max="1" width="18.6640625" style="17" customWidth="1"/>
    <col min="2" max="2" width="8.88671875" style="6"/>
    <col min="3" max="3" width="8.88671875" style="17"/>
    <col min="4" max="4" width="8.88671875" style="6"/>
    <col min="5" max="5" width="8.88671875" style="17"/>
    <col min="6" max="6" width="8.88671875" style="6"/>
    <col min="7" max="7" width="8.88671875" style="71"/>
  </cols>
  <sheetData>
    <row r="1" spans="1:7" s="58" customFormat="1" ht="15" thickBot="1" x14ac:dyDescent="0.35">
      <c r="A1" s="60"/>
      <c r="B1" s="72">
        <v>2017</v>
      </c>
      <c r="C1" s="73">
        <v>2018</v>
      </c>
      <c r="D1" s="72">
        <v>2019</v>
      </c>
      <c r="E1" s="73">
        <v>2020</v>
      </c>
      <c r="F1" s="72">
        <v>2021</v>
      </c>
      <c r="G1" s="74" t="s">
        <v>116</v>
      </c>
    </row>
    <row r="2" spans="1:7" x14ac:dyDescent="0.3">
      <c r="A2" s="62" t="s">
        <v>117</v>
      </c>
      <c r="B2" s="68"/>
      <c r="C2" s="64"/>
      <c r="D2" s="68"/>
      <c r="E2" s="64"/>
      <c r="F2" s="68"/>
      <c r="G2" s="69"/>
    </row>
    <row r="3" spans="1:7" x14ac:dyDescent="0.3">
      <c r="A3" s="17" t="s">
        <v>118</v>
      </c>
      <c r="B3" s="68">
        <v>0.09</v>
      </c>
      <c r="C3" s="64">
        <v>0.14499999999999999</v>
      </c>
      <c r="D3" s="68">
        <v>3.4000000000000002E-2</v>
      </c>
      <c r="E3" s="64">
        <v>5.6000000000000001E-2</v>
      </c>
      <c r="F3" s="68">
        <v>3.4000000000000002E-2</v>
      </c>
      <c r="G3" s="69">
        <v>7.1999999999999995E-2</v>
      </c>
    </row>
    <row r="4" spans="1:7" x14ac:dyDescent="0.3">
      <c r="A4" s="17" t="s">
        <v>119</v>
      </c>
      <c r="B4" s="63">
        <v>0.156</v>
      </c>
      <c r="C4" s="64">
        <v>0.14499999999999999</v>
      </c>
      <c r="D4" s="63">
        <v>6.2E-2</v>
      </c>
      <c r="E4" s="65">
        <v>0.14599999999999999</v>
      </c>
      <c r="F4" s="63">
        <v>0.23400000000000001</v>
      </c>
      <c r="G4" s="69">
        <v>0.14899999999999999</v>
      </c>
    </row>
    <row r="5" spans="1:7" x14ac:dyDescent="0.3">
      <c r="A5" s="17" t="s">
        <v>120</v>
      </c>
      <c r="B5" s="63">
        <v>0.16700000000000001</v>
      </c>
      <c r="C5" s="64">
        <v>0.19900000000000001</v>
      </c>
      <c r="D5" s="63">
        <v>0.152</v>
      </c>
      <c r="E5" s="65">
        <v>0.158</v>
      </c>
      <c r="F5" s="63">
        <v>0.16200000000000001</v>
      </c>
      <c r="G5" s="69">
        <v>0.16700000000000001</v>
      </c>
    </row>
    <row r="6" spans="1:7" s="59" customFormat="1" x14ac:dyDescent="0.3">
      <c r="A6" s="61" t="s">
        <v>121</v>
      </c>
      <c r="B6" s="66">
        <f>AVERAGE(B3:B5)</f>
        <v>0.13766666666666669</v>
      </c>
      <c r="C6" s="67">
        <f t="shared" ref="C6:G6" si="0">AVERAGE(C3:C5)</f>
        <v>0.16300000000000001</v>
      </c>
      <c r="D6" s="66">
        <f t="shared" si="0"/>
        <v>8.2666666666666666E-2</v>
      </c>
      <c r="E6" s="67">
        <f t="shared" si="0"/>
        <v>0.12</v>
      </c>
      <c r="F6" s="66">
        <f t="shared" si="0"/>
        <v>0.14333333333333334</v>
      </c>
      <c r="G6" s="70">
        <f t="shared" si="0"/>
        <v>0.12933333333333333</v>
      </c>
    </row>
    <row r="7" spans="1:7" x14ac:dyDescent="0.3">
      <c r="A7" s="62" t="s">
        <v>122</v>
      </c>
      <c r="B7" s="63"/>
      <c r="C7" s="64"/>
      <c r="D7" s="63"/>
      <c r="E7" s="65"/>
      <c r="F7" s="63"/>
      <c r="G7" s="69"/>
    </row>
    <row r="8" spans="1:7" x14ac:dyDescent="0.3">
      <c r="A8" s="17" t="s">
        <v>118</v>
      </c>
      <c r="B8" s="63">
        <v>9.6000000000000002E-2</v>
      </c>
      <c r="C8" s="64">
        <v>5.8000000000000003E-2</v>
      </c>
      <c r="D8" s="63">
        <v>2.1000000000000001E-2</v>
      </c>
      <c r="E8" s="65">
        <v>8.2000000000000003E-2</v>
      </c>
      <c r="F8" s="63">
        <v>5.3999999999999999E-2</v>
      </c>
      <c r="G8" s="69">
        <v>6.2E-2</v>
      </c>
    </row>
    <row r="9" spans="1:7" x14ac:dyDescent="0.3">
      <c r="A9" s="17" t="s">
        <v>119</v>
      </c>
      <c r="B9" s="63">
        <v>0.21</v>
      </c>
      <c r="C9" s="64">
        <v>0.18</v>
      </c>
      <c r="D9" s="63">
        <v>0.08</v>
      </c>
      <c r="E9" s="65">
        <v>0.20799999999999999</v>
      </c>
      <c r="F9" s="63">
        <v>0.22800000000000001</v>
      </c>
      <c r="G9" s="69">
        <v>0.18099999999999999</v>
      </c>
    </row>
    <row r="10" spans="1:7" x14ac:dyDescent="0.3">
      <c r="A10" s="17" t="s">
        <v>120</v>
      </c>
      <c r="B10" s="63">
        <v>0.189</v>
      </c>
      <c r="C10" s="64">
        <v>3.7999999999999999E-2</v>
      </c>
      <c r="D10" s="63">
        <v>0.16900000000000001</v>
      </c>
      <c r="E10" s="65">
        <v>0.18099999999999999</v>
      </c>
      <c r="F10" s="63">
        <v>0.18</v>
      </c>
      <c r="G10" s="69">
        <v>0.151</v>
      </c>
    </row>
    <row r="11" spans="1:7" s="59" customFormat="1" x14ac:dyDescent="0.3">
      <c r="A11" s="61" t="s">
        <v>121</v>
      </c>
      <c r="B11" s="66">
        <f>AVERAGE(B8:B10)</f>
        <v>0.16500000000000001</v>
      </c>
      <c r="C11" s="67">
        <f t="shared" ref="C11:G11" si="1">AVERAGE(C8:C10)</f>
        <v>9.1999999999999985E-2</v>
      </c>
      <c r="D11" s="66">
        <f t="shared" si="1"/>
        <v>9.0000000000000011E-2</v>
      </c>
      <c r="E11" s="67">
        <f t="shared" si="1"/>
        <v>0.157</v>
      </c>
      <c r="F11" s="66">
        <f t="shared" si="1"/>
        <v>0.154</v>
      </c>
      <c r="G11" s="70">
        <f t="shared" si="1"/>
        <v>0.13133333333333333</v>
      </c>
    </row>
    <row r="12" spans="1:7" x14ac:dyDescent="0.3">
      <c r="A12" s="62" t="s">
        <v>123</v>
      </c>
      <c r="B12" s="63"/>
      <c r="C12" s="64"/>
      <c r="D12" s="63"/>
      <c r="E12" s="65"/>
      <c r="F12" s="63"/>
      <c r="G12" s="69"/>
    </row>
    <row r="13" spans="1:7" x14ac:dyDescent="0.3">
      <c r="A13" s="17" t="s">
        <v>118</v>
      </c>
      <c r="B13" s="63">
        <v>0.32800000000000001</v>
      </c>
      <c r="C13" s="64">
        <v>0.57699999999999996</v>
      </c>
      <c r="D13" s="63">
        <v>1.1399999999999999</v>
      </c>
      <c r="E13" s="65">
        <v>0.20300000000000001</v>
      </c>
      <c r="F13" s="63">
        <v>0.129</v>
      </c>
      <c r="G13" s="69">
        <v>0.29599999999999999</v>
      </c>
    </row>
    <row r="14" spans="1:7" x14ac:dyDescent="0.3">
      <c r="A14" s="17" t="s">
        <v>119</v>
      </c>
      <c r="B14" s="63">
        <v>0.42799999999999999</v>
      </c>
      <c r="C14" s="64">
        <v>0.46300000000000002</v>
      </c>
      <c r="D14" s="63">
        <v>0.22</v>
      </c>
      <c r="E14" s="65">
        <v>0.51800000000000002</v>
      </c>
      <c r="F14" s="63">
        <v>0.60699999999999998</v>
      </c>
      <c r="G14" s="69">
        <v>0.44700000000000001</v>
      </c>
    </row>
    <row r="15" spans="1:7" x14ac:dyDescent="0.3">
      <c r="A15" s="17" t="s">
        <v>120</v>
      </c>
      <c r="B15" s="63">
        <v>0.219</v>
      </c>
      <c r="C15" s="64">
        <v>0.26100000000000001</v>
      </c>
      <c r="D15" s="63">
        <v>0.16600000000000001</v>
      </c>
      <c r="E15" s="65">
        <v>0.20300000000000001</v>
      </c>
      <c r="F15" s="63">
        <v>0.19900000000000001</v>
      </c>
      <c r="G15" s="69">
        <v>0.21</v>
      </c>
    </row>
    <row r="16" spans="1:7" s="59" customFormat="1" x14ac:dyDescent="0.3">
      <c r="A16" s="61" t="s">
        <v>121</v>
      </c>
      <c r="B16" s="66">
        <f>AVERAGE(B13:B15)</f>
        <v>0.32500000000000001</v>
      </c>
      <c r="C16" s="67">
        <f t="shared" ref="C16:G16" si="2">AVERAGE(C13:C15)</f>
        <v>0.4336666666666667</v>
      </c>
      <c r="D16" s="66">
        <f t="shared" si="2"/>
        <v>0.5086666666666666</v>
      </c>
      <c r="E16" s="67">
        <f t="shared" si="2"/>
        <v>0.30800000000000005</v>
      </c>
      <c r="F16" s="66">
        <f t="shared" si="2"/>
        <v>0.3116666666666667</v>
      </c>
      <c r="G16" s="70">
        <f t="shared" si="2"/>
        <v>0.31766666666666665</v>
      </c>
    </row>
    <row r="17" spans="1:7" x14ac:dyDescent="0.3">
      <c r="A17" s="62" t="s">
        <v>124</v>
      </c>
      <c r="B17" s="63"/>
      <c r="C17" s="64"/>
      <c r="D17" s="63"/>
      <c r="E17" s="65"/>
      <c r="F17" s="63"/>
      <c r="G17" s="69"/>
    </row>
    <row r="18" spans="1:7" x14ac:dyDescent="0.3">
      <c r="A18" s="17" t="s">
        <v>118</v>
      </c>
      <c r="B18" s="63">
        <v>0.27700000000000002</v>
      </c>
      <c r="C18" s="64">
        <v>0.36399999999999999</v>
      </c>
      <c r="D18" s="63">
        <v>7.0999999999999994E-2</v>
      </c>
      <c r="E18" s="65">
        <v>0.13300000000000001</v>
      </c>
      <c r="F18" s="63">
        <v>7.3999999999999996E-2</v>
      </c>
      <c r="G18" s="69">
        <v>0.224</v>
      </c>
    </row>
    <row r="19" spans="1:7" x14ac:dyDescent="0.3">
      <c r="A19" s="17" t="s">
        <v>119</v>
      </c>
      <c r="B19" s="63">
        <v>0.34399999999999997</v>
      </c>
      <c r="C19" s="64">
        <v>0.313</v>
      </c>
      <c r="D19" s="63">
        <v>0.12</v>
      </c>
      <c r="E19" s="65">
        <v>0.30299999999999999</v>
      </c>
      <c r="F19" s="63">
        <v>0.45600000000000002</v>
      </c>
      <c r="G19" s="69">
        <v>0.307</v>
      </c>
    </row>
    <row r="20" spans="1:7" x14ac:dyDescent="0.3">
      <c r="A20" s="17" t="s">
        <v>120</v>
      </c>
      <c r="B20" s="63">
        <v>0.16600000000000001</v>
      </c>
      <c r="C20" s="64">
        <v>0.23100000000000001</v>
      </c>
      <c r="D20" s="63">
        <v>0.14899999999999999</v>
      </c>
      <c r="E20" s="65">
        <v>0.16700000000000001</v>
      </c>
      <c r="F20" s="63">
        <v>0.17799999999999999</v>
      </c>
      <c r="G20" s="69">
        <v>0.17799999999999999</v>
      </c>
    </row>
    <row r="21" spans="1:7" s="59" customFormat="1" x14ac:dyDescent="0.3">
      <c r="A21" s="61" t="s">
        <v>121</v>
      </c>
      <c r="B21" s="66">
        <f>AVERAGE(B18:B20)</f>
        <v>0.26233333333333336</v>
      </c>
      <c r="C21" s="67">
        <f t="shared" ref="C21:G21" si="3">AVERAGE(C18:C20)</f>
        <v>0.30266666666666669</v>
      </c>
      <c r="D21" s="66">
        <f t="shared" si="3"/>
        <v>0.11333333333333333</v>
      </c>
      <c r="E21" s="67">
        <f t="shared" si="3"/>
        <v>0.20099999999999998</v>
      </c>
      <c r="F21" s="66">
        <f t="shared" si="3"/>
        <v>0.23599999999999999</v>
      </c>
      <c r="G21" s="70">
        <f t="shared" si="3"/>
        <v>0.23633333333333337</v>
      </c>
    </row>
    <row r="22" spans="1:7" x14ac:dyDescent="0.3">
      <c r="A22" s="62" t="s">
        <v>125</v>
      </c>
      <c r="B22" s="63"/>
      <c r="C22" s="64"/>
      <c r="D22" s="63"/>
      <c r="E22" s="65"/>
      <c r="F22" s="63"/>
      <c r="G22" s="69"/>
    </row>
    <row r="23" spans="1:7" x14ac:dyDescent="0.3">
      <c r="A23" s="17" t="s">
        <v>118</v>
      </c>
      <c r="B23" s="63">
        <v>-0.55600000000000005</v>
      </c>
      <c r="C23" s="64">
        <v>0.45500000000000002</v>
      </c>
      <c r="D23" s="63">
        <v>0.28699999999999998</v>
      </c>
      <c r="E23" s="65">
        <v>-6.6000000000000003E-2</v>
      </c>
      <c r="F23" s="63">
        <v>-1.7999999999999999E-2</v>
      </c>
      <c r="G23" s="69">
        <v>2.1000000000000001E-2</v>
      </c>
    </row>
    <row r="24" spans="1:7" x14ac:dyDescent="0.3">
      <c r="A24" s="17" t="s">
        <v>119</v>
      </c>
      <c r="B24" s="63">
        <v>0.65600000000000003</v>
      </c>
      <c r="C24" s="64">
        <v>0.66500000000000004</v>
      </c>
      <c r="D24" s="63">
        <v>1.2410000000000001</v>
      </c>
      <c r="E24" s="65">
        <v>0.438</v>
      </c>
      <c r="F24" s="63">
        <v>0.29899999999999999</v>
      </c>
      <c r="G24" s="69">
        <v>0.66</v>
      </c>
    </row>
    <row r="25" spans="1:7" x14ac:dyDescent="0.3">
      <c r="A25" s="17" t="s">
        <v>120</v>
      </c>
      <c r="B25" s="63">
        <v>0.45200000000000001</v>
      </c>
      <c r="C25" s="64">
        <v>0.23799999999999999</v>
      </c>
      <c r="D25" s="63">
        <v>0.219</v>
      </c>
      <c r="E25" s="65">
        <v>0.248</v>
      </c>
      <c r="F25" s="63">
        <v>0.20599999999999999</v>
      </c>
      <c r="G25" s="69">
        <v>0.27300000000000002</v>
      </c>
    </row>
    <row r="26" spans="1:7" s="57" customFormat="1" x14ac:dyDescent="0.3">
      <c r="A26" s="61" t="s">
        <v>121</v>
      </c>
      <c r="B26" s="66">
        <f>AVERAGE(B23:B25)</f>
        <v>0.18400000000000002</v>
      </c>
      <c r="C26" s="67">
        <f t="shared" ref="C26:G26" si="4">AVERAGE(C23:C25)</f>
        <v>0.45266666666666672</v>
      </c>
      <c r="D26" s="66">
        <f t="shared" si="4"/>
        <v>0.58233333333333337</v>
      </c>
      <c r="E26" s="67">
        <f t="shared" si="4"/>
        <v>0.20666666666666667</v>
      </c>
      <c r="F26" s="66">
        <f t="shared" si="4"/>
        <v>0.16233333333333333</v>
      </c>
      <c r="G26" s="70">
        <f t="shared" si="4"/>
        <v>0.318</v>
      </c>
    </row>
    <row r="27" spans="1:7" x14ac:dyDescent="0.3">
      <c r="A27" s="39"/>
    </row>
    <row r="28" spans="1:7" x14ac:dyDescent="0.3">
      <c r="A28" s="39"/>
    </row>
    <row r="29" spans="1:7" x14ac:dyDescent="0.3">
      <c r="A29" s="39"/>
    </row>
    <row r="30" spans="1:7" x14ac:dyDescent="0.3">
      <c r="A30" s="39" t="s">
        <v>126</v>
      </c>
    </row>
    <row r="31" spans="1:7" x14ac:dyDescent="0.3">
      <c r="A31" s="39"/>
    </row>
    <row r="32" spans="1:7" x14ac:dyDescent="0.3">
      <c r="A32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5E6A-9B9F-4BF7-8F74-063FA499DDBB}">
  <dimension ref="A2:U77"/>
  <sheetViews>
    <sheetView zoomScale="85" zoomScaleNormal="85" workbookViewId="0">
      <selection activeCell="L23" sqref="L23"/>
    </sheetView>
  </sheetViews>
  <sheetFormatPr defaultRowHeight="14.4" x14ac:dyDescent="0.3"/>
  <cols>
    <col min="2" max="2" width="13.77734375" customWidth="1"/>
    <col min="3" max="3" width="7.21875" customWidth="1"/>
    <col min="4" max="4" width="6.109375" customWidth="1"/>
  </cols>
  <sheetData>
    <row r="2" spans="1:21" x14ac:dyDescent="0.3">
      <c r="B2" t="s">
        <v>274</v>
      </c>
      <c r="C2" s="112">
        <f>36.4/81.1</f>
        <v>0.44882860665844637</v>
      </c>
      <c r="D2" s="112">
        <f>39.1/113.4</f>
        <v>0.34479717813051147</v>
      </c>
      <c r="E2" s="112">
        <f>42.2/109.6</f>
        <v>0.38503649635036502</v>
      </c>
      <c r="F2" s="112">
        <f>45.5/117.6</f>
        <v>0.38690476190476192</v>
      </c>
      <c r="G2" s="112">
        <f>48.5/121.8</f>
        <v>0.39819376026272579</v>
      </c>
      <c r="H2" s="112">
        <f>52/126.8</f>
        <v>0.41009463722397477</v>
      </c>
      <c r="J2" t="s">
        <v>127</v>
      </c>
    </row>
    <row r="3" spans="1:21" x14ac:dyDescent="0.3">
      <c r="Q3" t="s">
        <v>286</v>
      </c>
    </row>
    <row r="4" spans="1:21" x14ac:dyDescent="0.3">
      <c r="B4" s="100" t="s">
        <v>128</v>
      </c>
      <c r="C4" s="98">
        <v>2021</v>
      </c>
      <c r="D4" s="106" t="s">
        <v>129</v>
      </c>
      <c r="E4" s="110" t="s">
        <v>130</v>
      </c>
      <c r="F4" s="106" t="s">
        <v>131</v>
      </c>
      <c r="G4" s="110" t="s">
        <v>132</v>
      </c>
      <c r="H4" s="108" t="s">
        <v>133</v>
      </c>
    </row>
    <row r="5" spans="1:21" x14ac:dyDescent="0.3">
      <c r="B5" s="101" t="s">
        <v>127</v>
      </c>
      <c r="C5" s="111"/>
      <c r="D5" s="100"/>
      <c r="E5" s="111"/>
      <c r="F5" s="107"/>
      <c r="G5" s="111"/>
      <c r="H5" s="109"/>
      <c r="Q5" s="162"/>
      <c r="R5" s="162">
        <v>2020</v>
      </c>
      <c r="S5" t="s">
        <v>129</v>
      </c>
      <c r="T5" t="s">
        <v>131</v>
      </c>
      <c r="U5" t="s">
        <v>133</v>
      </c>
    </row>
    <row r="6" spans="1:21" x14ac:dyDescent="0.3">
      <c r="B6" s="71" t="s">
        <v>272</v>
      </c>
      <c r="C6" s="133">
        <v>36.4</v>
      </c>
      <c r="D6" s="134">
        <v>39.1</v>
      </c>
      <c r="E6" s="133">
        <v>42.2</v>
      </c>
      <c r="F6" s="135">
        <v>45.5</v>
      </c>
      <c r="G6" s="133">
        <v>48.5</v>
      </c>
      <c r="H6" s="136">
        <v>52</v>
      </c>
      <c r="P6" s="149" t="s">
        <v>287</v>
      </c>
      <c r="Q6" s="149">
        <v>100.6</v>
      </c>
      <c r="R6" s="149">
        <v>81.099999999999994</v>
      </c>
      <c r="S6" s="149">
        <v>109.6</v>
      </c>
      <c r="T6" s="149">
        <v>117.6</v>
      </c>
      <c r="U6" s="149">
        <v>126.3</v>
      </c>
    </row>
    <row r="7" spans="1:21" s="97" customFormat="1" x14ac:dyDescent="0.3">
      <c r="B7" s="102" t="s">
        <v>135</v>
      </c>
      <c r="C7" s="122">
        <f>C8/C6</f>
        <v>8.4897002747252748E-3</v>
      </c>
      <c r="D7" s="124">
        <v>8.5000000000000006E-3</v>
      </c>
      <c r="E7" s="122">
        <v>8.5000000000000006E-3</v>
      </c>
      <c r="F7" s="121">
        <v>8.5000000000000006E-3</v>
      </c>
      <c r="G7" s="122">
        <v>8.5000000000000006E-3</v>
      </c>
      <c r="H7" s="123">
        <v>8.5000000000000006E-3</v>
      </c>
      <c r="P7" s="159" t="s">
        <v>288</v>
      </c>
      <c r="Q7" s="160">
        <v>74.5</v>
      </c>
      <c r="R7" s="160">
        <v>50.6</v>
      </c>
      <c r="S7" s="160">
        <v>70.5</v>
      </c>
      <c r="T7" s="160">
        <v>72.2</v>
      </c>
      <c r="U7" s="160">
        <v>74.3</v>
      </c>
    </row>
    <row r="8" spans="1:21" x14ac:dyDescent="0.3">
      <c r="B8" s="88" t="s">
        <v>136</v>
      </c>
      <c r="C8" s="125">
        <f>0.391171*0.79</f>
        <v>0.30902509</v>
      </c>
      <c r="D8" s="137">
        <f>D6*D7</f>
        <v>0.33235000000000003</v>
      </c>
      <c r="E8" s="125">
        <f>E6*E7</f>
        <v>0.35870000000000007</v>
      </c>
      <c r="F8" s="138">
        <f>F6*F7</f>
        <v>0.38675000000000004</v>
      </c>
      <c r="G8" s="125">
        <f>G6*G7</f>
        <v>0.41225000000000001</v>
      </c>
      <c r="H8" s="139">
        <f>H6*H7</f>
        <v>0.44200000000000006</v>
      </c>
      <c r="P8" s="158" t="s">
        <v>289</v>
      </c>
      <c r="Q8" s="161">
        <v>26.1</v>
      </c>
      <c r="R8" s="161">
        <v>30.5</v>
      </c>
      <c r="S8" s="161">
        <v>39.1</v>
      </c>
      <c r="T8" s="161">
        <v>45.5</v>
      </c>
      <c r="U8" s="161">
        <v>52</v>
      </c>
    </row>
    <row r="9" spans="1:21" x14ac:dyDescent="0.3">
      <c r="B9" s="103" t="s">
        <v>137</v>
      </c>
      <c r="C9" s="133"/>
      <c r="D9" s="134"/>
      <c r="E9" s="133"/>
      <c r="F9" s="140"/>
      <c r="G9" s="133"/>
      <c r="H9" s="136"/>
      <c r="R9">
        <v>36.4</v>
      </c>
    </row>
    <row r="10" spans="1:21" x14ac:dyDescent="0.3">
      <c r="A10" s="133">
        <f>2.4*0.95</f>
        <v>2.2799999999999998</v>
      </c>
      <c r="B10" s="119" t="s">
        <v>275</v>
      </c>
      <c r="C10" s="133">
        <f>2.4*0.95*C2</f>
        <v>1.0233292231812576</v>
      </c>
      <c r="D10" s="134">
        <f>A10*(1+0.02)*D2</f>
        <v>0.80186031746031738</v>
      </c>
      <c r="E10" s="133">
        <f>A10*(1+0.02)^2*E2</f>
        <v>0.91334969343065708</v>
      </c>
      <c r="F10" s="135">
        <f>A10*(1+0.02)^3*F2</f>
        <v>0.936137057142857</v>
      </c>
      <c r="G10" s="133">
        <f>A10*(1+0.02)^4*G2</f>
        <v>0.98272042900492595</v>
      </c>
      <c r="H10" s="136">
        <f>A10*(1+0.02)^5*H2</f>
        <v>1.0323329655157099</v>
      </c>
    </row>
    <row r="11" spans="1:21" x14ac:dyDescent="0.3">
      <c r="A11" s="133">
        <f>0.95*53</f>
        <v>50.349999999999994</v>
      </c>
      <c r="B11" s="119" t="s">
        <v>276</v>
      </c>
      <c r="C11" s="133">
        <f>0.95*53*C2</f>
        <v>22.598520345252773</v>
      </c>
      <c r="D11" s="134">
        <f>A11*(1+0.1247)*D2</f>
        <v>19.525396997354498</v>
      </c>
      <c r="E11" s="133">
        <f>A11*(1+0.1247)^2*E2</f>
        <v>24.523065718333033</v>
      </c>
      <c r="F11" s="135">
        <f>A11*(1+0.1247)^3*F2</f>
        <v>27.714920376823354</v>
      </c>
      <c r="G11" s="133">
        <f>A11*(1+0.1247)^4*G2</f>
        <v>32.080468773876746</v>
      </c>
      <c r="H11" s="136">
        <f>A11*(1+0.1247)^5*H2</f>
        <v>37.159258625873377</v>
      </c>
      <c r="S11" t="s">
        <v>294</v>
      </c>
      <c r="U11">
        <f>(U8/R9)^(1/5)-1</f>
        <v>7.3940923785779322E-2</v>
      </c>
    </row>
    <row r="12" spans="1:21" x14ac:dyDescent="0.3">
      <c r="B12" s="71" t="s">
        <v>134</v>
      </c>
      <c r="C12" s="133">
        <f t="shared" ref="C12:G12" si="0">SUM(C10:C11)</f>
        <v>23.62184956843403</v>
      </c>
      <c r="D12" s="134">
        <f t="shared" si="0"/>
        <v>20.327257314814815</v>
      </c>
      <c r="E12" s="133">
        <f t="shared" si="0"/>
        <v>25.43641541176369</v>
      </c>
      <c r="F12" s="135">
        <f t="shared" si="0"/>
        <v>28.651057433966212</v>
      </c>
      <c r="G12" s="133">
        <f t="shared" si="0"/>
        <v>33.063189202881674</v>
      </c>
      <c r="H12" s="136">
        <f>SUM(H10:H11)</f>
        <v>38.191591591389084</v>
      </c>
    </row>
    <row r="13" spans="1:21" x14ac:dyDescent="0.3">
      <c r="B13" s="71" t="s">
        <v>138</v>
      </c>
      <c r="C13" s="122">
        <v>0</v>
      </c>
      <c r="D13" s="124">
        <v>1E-4</v>
      </c>
      <c r="E13" s="122">
        <v>5.0000000000000001E-4</v>
      </c>
      <c r="F13" s="121">
        <v>1E-3</v>
      </c>
      <c r="G13" s="122">
        <v>2E-3</v>
      </c>
      <c r="H13" s="123">
        <v>3.0000000000000001E-3</v>
      </c>
    </row>
    <row r="14" spans="1:21" x14ac:dyDescent="0.3">
      <c r="B14" s="71" t="s">
        <v>136</v>
      </c>
      <c r="C14" s="133">
        <v>0</v>
      </c>
      <c r="D14" s="137">
        <f>D13*D12</f>
        <v>2.0327257314814817E-3</v>
      </c>
      <c r="E14" s="125">
        <f>E13*E12</f>
        <v>1.2718207705881845E-2</v>
      </c>
      <c r="F14" s="138">
        <f>F13*F12</f>
        <v>2.8651057433966214E-2</v>
      </c>
      <c r="G14" s="125">
        <f>G13*G12</f>
        <v>6.6126378405763353E-2</v>
      </c>
      <c r="H14" s="139">
        <f>H13*H12</f>
        <v>0.11457477477416725</v>
      </c>
    </row>
    <row r="15" spans="1:21" x14ac:dyDescent="0.3">
      <c r="B15" s="101" t="s">
        <v>139</v>
      </c>
      <c r="C15" s="141"/>
      <c r="D15" s="142"/>
      <c r="E15" s="141"/>
      <c r="F15" s="140"/>
      <c r="G15" s="141"/>
      <c r="H15" s="143"/>
    </row>
    <row r="16" spans="1:21" x14ac:dyDescent="0.3">
      <c r="B16" s="71" t="s">
        <v>272</v>
      </c>
      <c r="C16" s="133">
        <f>0.95*0.5</f>
        <v>0.47499999999999998</v>
      </c>
      <c r="D16" s="134">
        <f>0.95*0.85</f>
        <v>0.8075</v>
      </c>
      <c r="E16" s="133">
        <f>0.95*1.4</f>
        <v>1.3299999999999998</v>
      </c>
      <c r="F16" s="135">
        <f>0.95*2</f>
        <v>1.9</v>
      </c>
      <c r="G16" s="133">
        <f>0.95*2.6</f>
        <v>2.4699999999999998</v>
      </c>
      <c r="H16" s="136">
        <f>0.95*4.4</f>
        <v>4.18</v>
      </c>
    </row>
    <row r="17" spans="2:20" x14ac:dyDescent="0.3">
      <c r="B17" s="71" t="s">
        <v>140</v>
      </c>
      <c r="C17" s="122">
        <f>C18/C16</f>
        <v>4.5293484210526321E-2</v>
      </c>
      <c r="D17" s="124">
        <f>C17-0.008</f>
        <v>3.729348421052632E-2</v>
      </c>
      <c r="E17" s="122">
        <f>D17-0.004</f>
        <v>3.3293484210526317E-2</v>
      </c>
      <c r="F17" s="120">
        <f>E17-0.004</f>
        <v>2.9293484210526317E-2</v>
      </c>
      <c r="G17" s="122">
        <f>F17-0.004</f>
        <v>2.5293484210526317E-2</v>
      </c>
      <c r="H17" s="123">
        <f>G17-0.004</f>
        <v>2.1293484210526317E-2</v>
      </c>
      <c r="J17" t="s">
        <v>137</v>
      </c>
    </row>
    <row r="18" spans="2:20" x14ac:dyDescent="0.3">
      <c r="B18" s="88" t="s">
        <v>136</v>
      </c>
      <c r="C18" s="125">
        <f>0.391171*0.055</f>
        <v>2.1514405E-2</v>
      </c>
      <c r="D18" s="134">
        <f>D16*D17</f>
        <v>3.0114488500000005E-2</v>
      </c>
      <c r="E18" s="133">
        <f>E16*E17</f>
        <v>4.4280333999999998E-2</v>
      </c>
      <c r="F18" s="135">
        <f>F16*F17</f>
        <v>5.5657619999999998E-2</v>
      </c>
      <c r="G18" s="133">
        <f>G16*G17</f>
        <v>6.2474905999999997E-2</v>
      </c>
      <c r="H18" s="136">
        <f>H16*H17</f>
        <v>8.9006764000000002E-2</v>
      </c>
      <c r="J18" t="s">
        <v>141</v>
      </c>
    </row>
    <row r="19" spans="2:20" x14ac:dyDescent="0.3">
      <c r="B19" s="103" t="s">
        <v>142</v>
      </c>
      <c r="C19" s="133"/>
      <c r="D19" s="142"/>
      <c r="E19" s="141"/>
      <c r="F19" s="140"/>
      <c r="G19" s="141"/>
      <c r="H19" s="143"/>
      <c r="J19" t="s">
        <v>143</v>
      </c>
      <c r="M19" t="s">
        <v>144</v>
      </c>
    </row>
    <row r="20" spans="2:20" x14ac:dyDescent="0.3">
      <c r="B20" s="71" t="s">
        <v>272</v>
      </c>
      <c r="C20" s="133">
        <f>0.95*N32</f>
        <v>19.841699999999999</v>
      </c>
      <c r="D20" s="134">
        <f>C20*(1+0.18)</f>
        <v>23.413205999999999</v>
      </c>
      <c r="E20" s="133">
        <f>D20*(1+0.18)</f>
        <v>27.627583079999997</v>
      </c>
      <c r="F20" s="135">
        <f>E20*(1+0.18)</f>
        <v>32.600548034399992</v>
      </c>
      <c r="G20" s="133">
        <f>F20*(1+0.18)</f>
        <v>38.468646680591988</v>
      </c>
      <c r="H20" s="136">
        <f>G20*(1+0.18)</f>
        <v>45.393003083098542</v>
      </c>
      <c r="J20" t="s">
        <v>145</v>
      </c>
      <c r="M20" t="s">
        <v>146</v>
      </c>
    </row>
    <row r="21" spans="2:20" x14ac:dyDescent="0.3">
      <c r="B21" s="71" t="s">
        <v>135</v>
      </c>
      <c r="C21" s="122">
        <f>C22/C20</f>
        <v>3.0557616030884448E-3</v>
      </c>
      <c r="D21" s="124">
        <v>3.0999999999999999E-3</v>
      </c>
      <c r="E21" s="122">
        <v>3.0999999999999999E-3</v>
      </c>
      <c r="F21" s="120">
        <v>3.0999999999999999E-3</v>
      </c>
      <c r="G21" s="122">
        <v>3.0999999999999999E-3</v>
      </c>
      <c r="H21" s="123">
        <v>3.0999999999999999E-3</v>
      </c>
      <c r="K21">
        <f>(H11/C11)^(1/5)-1</f>
        <v>0.10458058964700601</v>
      </c>
    </row>
    <row r="22" spans="2:20" x14ac:dyDescent="0.3">
      <c r="B22" s="71" t="s">
        <v>136</v>
      </c>
      <c r="C22" s="133">
        <f>0.391171*0.155</f>
        <v>6.0631504999999995E-2</v>
      </c>
      <c r="D22" s="137">
        <f>D21*D20</f>
        <v>7.2580938599999992E-2</v>
      </c>
      <c r="E22" s="125">
        <f>E21*E20</f>
        <v>8.5645507547999988E-2</v>
      </c>
      <c r="F22" s="138">
        <f>F21*F20</f>
        <v>0.10106169890663998</v>
      </c>
      <c r="G22" s="125">
        <f>G21*G20</f>
        <v>0.11925280470983515</v>
      </c>
      <c r="H22" s="139">
        <f>H21*H20</f>
        <v>0.14071830955760548</v>
      </c>
      <c r="J22" t="s">
        <v>147</v>
      </c>
    </row>
    <row r="23" spans="2:20" x14ac:dyDescent="0.3">
      <c r="B23" s="101" t="s">
        <v>148</v>
      </c>
      <c r="C23" s="141"/>
      <c r="D23" s="134"/>
      <c r="E23" s="133"/>
      <c r="F23" s="135"/>
      <c r="G23" s="133"/>
      <c r="H23" s="136"/>
      <c r="J23" t="s">
        <v>149</v>
      </c>
      <c r="M23" t="s">
        <v>150</v>
      </c>
    </row>
    <row r="24" spans="2:20" x14ac:dyDescent="0.3">
      <c r="B24" s="71" t="s">
        <v>272</v>
      </c>
      <c r="C24" s="133">
        <f>0.95*3.0485*0.1</f>
        <v>0.28960750000000002</v>
      </c>
      <c r="D24" s="134">
        <f>C24*(1+0.0859)</f>
        <v>0.31448478425000004</v>
      </c>
      <c r="E24" s="133">
        <f>D24*(1+0.0859)</f>
        <v>0.34149902721707509</v>
      </c>
      <c r="F24" s="135">
        <f>E24*(1+0.0859)</f>
        <v>0.37083379365502189</v>
      </c>
      <c r="G24" s="133">
        <f>F24*(1+0.0859)</f>
        <v>0.40268841652998832</v>
      </c>
      <c r="H24" s="136">
        <f>G24*(1+0.0859)</f>
        <v>0.43727935150991437</v>
      </c>
      <c r="J24" t="s">
        <v>151</v>
      </c>
    </row>
    <row r="25" spans="2:20" x14ac:dyDescent="0.3">
      <c r="B25" s="71" t="s">
        <v>135</v>
      </c>
      <c r="C25" s="122">
        <f>C26/C24</f>
        <v>0</v>
      </c>
      <c r="D25" s="124">
        <v>0</v>
      </c>
      <c r="E25" s="122">
        <v>0</v>
      </c>
      <c r="F25" s="121">
        <v>0</v>
      </c>
      <c r="G25" s="122">
        <v>0</v>
      </c>
      <c r="H25" s="123">
        <v>0</v>
      </c>
      <c r="J25" t="s">
        <v>152</v>
      </c>
    </row>
    <row r="26" spans="2:20" x14ac:dyDescent="0.3">
      <c r="B26" s="88" t="s">
        <v>136</v>
      </c>
      <c r="C26" s="125">
        <v>0</v>
      </c>
      <c r="D26" s="134">
        <v>0</v>
      </c>
      <c r="E26" s="133">
        <v>0</v>
      </c>
      <c r="F26" s="135">
        <v>0</v>
      </c>
      <c r="G26" s="133">
        <v>0</v>
      </c>
      <c r="H26" s="136">
        <v>0</v>
      </c>
    </row>
    <row r="27" spans="2:20" x14ac:dyDescent="0.3">
      <c r="B27" s="104" t="s">
        <v>153</v>
      </c>
      <c r="C27" s="126">
        <f t="shared" ref="C27:G27" si="1">C8+C14+C18+C22+C26</f>
        <v>0.39117099999999999</v>
      </c>
      <c r="D27" s="127">
        <f t="shared" si="1"/>
        <v>0.43707815283148149</v>
      </c>
      <c r="E27" s="126">
        <f t="shared" si="1"/>
        <v>0.50134404925388187</v>
      </c>
      <c r="F27" s="128">
        <f t="shared" si="1"/>
        <v>0.57212037634060631</v>
      </c>
      <c r="G27" s="126">
        <f t="shared" si="1"/>
        <v>0.66010408911559848</v>
      </c>
      <c r="H27" s="129">
        <f>H8+H14+H18+H22+H26</f>
        <v>0.78629984833177269</v>
      </c>
      <c r="J27" t="s">
        <v>139</v>
      </c>
      <c r="L27">
        <v>2021</v>
      </c>
      <c r="M27">
        <v>2022</v>
      </c>
      <c r="N27">
        <v>2023</v>
      </c>
      <c r="O27">
        <v>2024</v>
      </c>
      <c r="P27">
        <v>2025</v>
      </c>
      <c r="Q27">
        <v>2026</v>
      </c>
      <c r="R27" t="s">
        <v>154</v>
      </c>
    </row>
    <row r="28" spans="2:20" x14ac:dyDescent="0.3">
      <c r="B28" s="105" t="s">
        <v>155</v>
      </c>
      <c r="C28" s="131">
        <v>9.5999999999999992E-3</v>
      </c>
      <c r="D28" s="144">
        <f>D27/C27-1</f>
        <v>0.11735827254955389</v>
      </c>
      <c r="E28" s="131">
        <f>E27/D27-1</f>
        <v>0.14703525217646507</v>
      </c>
      <c r="F28" s="145">
        <f>F27/E27-1</f>
        <v>0.14117316679445246</v>
      </c>
      <c r="G28" s="131">
        <f>G27/F27-1</f>
        <v>0.15378531584166466</v>
      </c>
      <c r="H28" s="146">
        <f>H27/G27-1</f>
        <v>0.19117554533747882</v>
      </c>
      <c r="J28" t="s">
        <v>156</v>
      </c>
      <c r="L28">
        <v>0.5</v>
      </c>
      <c r="M28">
        <v>0.85</v>
      </c>
      <c r="N28">
        <v>1.4</v>
      </c>
      <c r="O28">
        <v>2</v>
      </c>
      <c r="P28">
        <v>2.6</v>
      </c>
      <c r="Q28">
        <v>4.4000000000000004</v>
      </c>
      <c r="R28" t="s">
        <v>157</v>
      </c>
    </row>
    <row r="29" spans="2:20" x14ac:dyDescent="0.3">
      <c r="B29" s="105" t="s">
        <v>284</v>
      </c>
      <c r="C29" s="131">
        <f>(H27/C27)^(1/5)-1</f>
        <v>0.14985825736684832</v>
      </c>
      <c r="D29" s="127"/>
      <c r="E29" s="126"/>
      <c r="F29" s="128"/>
      <c r="G29" s="126"/>
      <c r="H29" s="129"/>
      <c r="J29" t="s">
        <v>158</v>
      </c>
      <c r="K29" s="147">
        <f>(Q28/L28)^(1/5)-1</f>
        <v>0.54488634462894558</v>
      </c>
    </row>
    <row r="30" spans="2:20" x14ac:dyDescent="0.3">
      <c r="B30" s="17" t="s">
        <v>273</v>
      </c>
      <c r="C30" s="17"/>
      <c r="D30" s="17"/>
      <c r="E30" s="17"/>
      <c r="F30" s="17"/>
      <c r="G30" s="17"/>
      <c r="H30" s="17"/>
    </row>
    <row r="31" spans="2:20" ht="30" customHeight="1" x14ac:dyDescent="0.3">
      <c r="B31" s="281" t="s">
        <v>277</v>
      </c>
      <c r="C31" s="281"/>
      <c r="D31" s="281"/>
      <c r="E31" s="281"/>
      <c r="F31" s="281"/>
      <c r="G31" s="281"/>
      <c r="H31" s="281"/>
      <c r="J31" t="s">
        <v>142</v>
      </c>
      <c r="L31">
        <v>2019</v>
      </c>
      <c r="M31">
        <v>2020</v>
      </c>
      <c r="N31">
        <v>2021</v>
      </c>
      <c r="O31">
        <v>2022</v>
      </c>
      <c r="P31">
        <v>2023</v>
      </c>
      <c r="Q31">
        <v>2024</v>
      </c>
      <c r="R31">
        <v>2025</v>
      </c>
      <c r="S31">
        <v>2026</v>
      </c>
    </row>
    <row r="32" spans="2:20" x14ac:dyDescent="0.3">
      <c r="J32" t="s">
        <v>159</v>
      </c>
      <c r="L32">
        <v>15</v>
      </c>
      <c r="M32">
        <f t="shared" ref="M32:S32" si="2">L32*1.18</f>
        <v>17.7</v>
      </c>
      <c r="N32">
        <f t="shared" si="2"/>
        <v>20.885999999999999</v>
      </c>
      <c r="O32">
        <f t="shared" si="2"/>
        <v>24.645479999999999</v>
      </c>
      <c r="P32">
        <f t="shared" si="2"/>
        <v>29.081666399999996</v>
      </c>
      <c r="Q32">
        <f t="shared" si="2"/>
        <v>34.316366351999996</v>
      </c>
      <c r="R32">
        <f t="shared" si="2"/>
        <v>40.493312295359992</v>
      </c>
      <c r="S32">
        <f t="shared" si="2"/>
        <v>47.782108508524786</v>
      </c>
      <c r="T32" t="s">
        <v>160</v>
      </c>
    </row>
    <row r="33" spans="2:19" x14ac:dyDescent="0.3">
      <c r="J33" t="s">
        <v>161</v>
      </c>
      <c r="K33" s="117">
        <f>(S32/N32)^(1/5)-1</f>
        <v>0.17999999999999994</v>
      </c>
      <c r="Q33">
        <f>(Q28/M28)^(1/4)-1</f>
        <v>0.50837191566870676</v>
      </c>
    </row>
    <row r="35" spans="2:19" x14ac:dyDescent="0.3">
      <c r="J35" t="s">
        <v>162</v>
      </c>
      <c r="L35">
        <v>2021</v>
      </c>
      <c r="M35">
        <v>2022</v>
      </c>
      <c r="N35">
        <v>2023</v>
      </c>
      <c r="O35">
        <v>2024</v>
      </c>
      <c r="P35">
        <v>2025</v>
      </c>
      <c r="Q35">
        <v>2026</v>
      </c>
    </row>
    <row r="36" spans="2:19" x14ac:dyDescent="0.3">
      <c r="B36" s="169" t="s">
        <v>128</v>
      </c>
      <c r="C36" s="170">
        <v>2021</v>
      </c>
      <c r="D36" s="171" t="s">
        <v>133</v>
      </c>
      <c r="J36" t="s">
        <v>163</v>
      </c>
      <c r="L36">
        <v>3.0485000000000002</v>
      </c>
      <c r="M36">
        <f>L36*(1+$L$37)</f>
        <v>3.3103661500000006</v>
      </c>
      <c r="N36">
        <f>M36*(1+$L$37)</f>
        <v>3.5947266022850011</v>
      </c>
      <c r="O36">
        <f>N36*(1+$L$37)</f>
        <v>3.9035136174212828</v>
      </c>
      <c r="P36">
        <f>O36*(1+$L$37)</f>
        <v>4.2388254371577716</v>
      </c>
      <c r="Q36">
        <f>P36*(1+$L$37)</f>
        <v>4.6029405422096241</v>
      </c>
      <c r="S36" t="s">
        <v>164</v>
      </c>
    </row>
    <row r="37" spans="2:19" x14ac:dyDescent="0.3">
      <c r="B37" s="39" t="s">
        <v>127</v>
      </c>
      <c r="C37" s="164"/>
      <c r="D37" s="164"/>
      <c r="J37" t="s">
        <v>165</v>
      </c>
      <c r="L37" s="118">
        <v>8.5900000000000004E-2</v>
      </c>
    </row>
    <row r="38" spans="2:19" x14ac:dyDescent="0.3">
      <c r="B38" s="17" t="s">
        <v>291</v>
      </c>
      <c r="C38" s="163">
        <v>36.4</v>
      </c>
      <c r="D38" s="163">
        <v>52</v>
      </c>
    </row>
    <row r="39" spans="2:19" x14ac:dyDescent="0.3">
      <c r="B39" s="17" t="s">
        <v>324</v>
      </c>
      <c r="C39" s="165">
        <v>8.4897002747252696E-3</v>
      </c>
      <c r="D39" s="165">
        <v>8.5000000000000006E-3</v>
      </c>
    </row>
    <row r="40" spans="2:19" x14ac:dyDescent="0.3">
      <c r="B40" s="40" t="s">
        <v>326</v>
      </c>
      <c r="C40" s="168">
        <v>0.30902509</v>
      </c>
      <c r="D40" s="168">
        <v>0.44200000000000006</v>
      </c>
    </row>
    <row r="41" spans="2:19" x14ac:dyDescent="0.3">
      <c r="B41" s="172" t="s">
        <v>137</v>
      </c>
      <c r="C41" s="173"/>
      <c r="D41" s="173"/>
    </row>
    <row r="42" spans="2:19" x14ac:dyDescent="0.3">
      <c r="B42" s="174" t="s">
        <v>293</v>
      </c>
      <c r="C42" s="173">
        <v>1.0233292231812576</v>
      </c>
      <c r="D42" s="173">
        <v>1.0323329655157099</v>
      </c>
    </row>
    <row r="43" spans="2:19" x14ac:dyDescent="0.3">
      <c r="B43" s="174" t="s">
        <v>292</v>
      </c>
      <c r="C43" s="173">
        <v>22.598520345252773</v>
      </c>
      <c r="D43" s="173">
        <v>37.159258625873377</v>
      </c>
    </row>
    <row r="44" spans="2:19" x14ac:dyDescent="0.3">
      <c r="B44" s="175" t="s">
        <v>290</v>
      </c>
      <c r="C44" s="173">
        <v>23.62184956843403</v>
      </c>
      <c r="D44" s="173">
        <v>38.191591591389084</v>
      </c>
    </row>
    <row r="45" spans="2:19" x14ac:dyDescent="0.3">
      <c r="B45" s="175" t="s">
        <v>323</v>
      </c>
      <c r="C45" s="176">
        <v>0</v>
      </c>
      <c r="D45" s="176">
        <v>3.0000000000000001E-3</v>
      </c>
    </row>
    <row r="46" spans="2:19" x14ac:dyDescent="0.3">
      <c r="B46" s="177" t="s">
        <v>326</v>
      </c>
      <c r="C46" s="178">
        <v>0</v>
      </c>
      <c r="D46" s="178">
        <v>0.11457477477416725</v>
      </c>
    </row>
    <row r="47" spans="2:19" x14ac:dyDescent="0.3">
      <c r="B47" s="39" t="s">
        <v>139</v>
      </c>
      <c r="C47" s="163"/>
      <c r="D47" s="163"/>
    </row>
    <row r="48" spans="2:19" x14ac:dyDescent="0.3">
      <c r="B48" s="17" t="s">
        <v>290</v>
      </c>
      <c r="C48" s="163">
        <v>0.47499999999999998</v>
      </c>
      <c r="D48" s="163">
        <v>4.18</v>
      </c>
    </row>
    <row r="49" spans="2:4" x14ac:dyDescent="0.3">
      <c r="B49" s="17" t="s">
        <v>325</v>
      </c>
      <c r="C49" s="165">
        <v>4.5293484210526321E-2</v>
      </c>
      <c r="D49" s="165">
        <v>2.1293484210526317E-2</v>
      </c>
    </row>
    <row r="50" spans="2:4" x14ac:dyDescent="0.3">
      <c r="B50" s="40" t="s">
        <v>326</v>
      </c>
      <c r="C50" s="168">
        <v>2.1514405E-2</v>
      </c>
      <c r="D50" s="168">
        <v>8.9006764000000002E-2</v>
      </c>
    </row>
    <row r="51" spans="2:4" x14ac:dyDescent="0.3">
      <c r="B51" s="172" t="s">
        <v>142</v>
      </c>
      <c r="C51" s="173"/>
      <c r="D51" s="173"/>
    </row>
    <row r="52" spans="2:4" x14ac:dyDescent="0.3">
      <c r="B52" s="175" t="s">
        <v>290</v>
      </c>
      <c r="C52" s="173">
        <v>19.841699999999999</v>
      </c>
      <c r="D52" s="173">
        <v>45.393003083098542</v>
      </c>
    </row>
    <row r="53" spans="2:4" x14ac:dyDescent="0.3">
      <c r="B53" s="175" t="s">
        <v>324</v>
      </c>
      <c r="C53" s="176">
        <v>3.0557616030884448E-3</v>
      </c>
      <c r="D53" s="176">
        <v>3.0999999999999999E-3</v>
      </c>
    </row>
    <row r="54" spans="2:4" x14ac:dyDescent="0.3">
      <c r="B54" s="175" t="s">
        <v>326</v>
      </c>
      <c r="C54" s="173">
        <v>6.0631504999999995E-2</v>
      </c>
      <c r="D54" s="173">
        <v>0.14071830955760548</v>
      </c>
    </row>
    <row r="55" spans="2:4" x14ac:dyDescent="0.3">
      <c r="B55" s="175"/>
      <c r="C55" s="173"/>
      <c r="D55" s="173"/>
    </row>
    <row r="56" spans="2:4" x14ac:dyDescent="0.3">
      <c r="B56" s="93" t="s">
        <v>284</v>
      </c>
      <c r="C56" s="166">
        <v>0.14985825736684832</v>
      </c>
      <c r="D56" s="167"/>
    </row>
    <row r="60" spans="2:4" x14ac:dyDescent="0.3">
      <c r="B60" s="169" t="s">
        <v>128</v>
      </c>
      <c r="C60" s="274" t="s">
        <v>318</v>
      </c>
    </row>
    <row r="61" spans="2:4" x14ac:dyDescent="0.3">
      <c r="B61" s="39" t="s">
        <v>127</v>
      </c>
      <c r="C61" s="164"/>
    </row>
    <row r="62" spans="2:4" x14ac:dyDescent="0.3">
      <c r="B62" s="17" t="s">
        <v>319</v>
      </c>
      <c r="C62" s="163">
        <f>C6</f>
        <v>36.4</v>
      </c>
    </row>
    <row r="63" spans="2:4" x14ac:dyDescent="0.3">
      <c r="B63" s="17" t="s">
        <v>320</v>
      </c>
      <c r="C63" s="163">
        <f>H6</f>
        <v>52</v>
      </c>
    </row>
    <row r="64" spans="2:4" x14ac:dyDescent="0.3">
      <c r="B64" s="40" t="s">
        <v>158</v>
      </c>
      <c r="C64" s="279">
        <f>(H6/C6)^(1/5)-1</f>
        <v>7.3940923785779322E-2</v>
      </c>
    </row>
    <row r="65" spans="2:3" x14ac:dyDescent="0.3">
      <c r="B65" s="172" t="s">
        <v>321</v>
      </c>
      <c r="C65" s="173"/>
    </row>
    <row r="66" spans="2:3" x14ac:dyDescent="0.3">
      <c r="B66" s="278" t="s">
        <v>319</v>
      </c>
      <c r="C66" s="173">
        <f>C12</f>
        <v>23.62184956843403</v>
      </c>
    </row>
    <row r="67" spans="2:3" x14ac:dyDescent="0.3">
      <c r="B67" s="175" t="s">
        <v>320</v>
      </c>
      <c r="C67" s="173">
        <f>H12</f>
        <v>38.191591591389084</v>
      </c>
    </row>
    <row r="68" spans="2:3" x14ac:dyDescent="0.3">
      <c r="B68" s="177" t="s">
        <v>158</v>
      </c>
      <c r="C68" s="276">
        <v>0.1009</v>
      </c>
    </row>
    <row r="69" spans="2:3" x14ac:dyDescent="0.3">
      <c r="B69" s="39" t="s">
        <v>139</v>
      </c>
      <c r="C69" s="163"/>
    </row>
    <row r="70" spans="2:3" x14ac:dyDescent="0.3">
      <c r="B70" s="17" t="s">
        <v>290</v>
      </c>
      <c r="C70" s="163">
        <f>C16</f>
        <v>0.47499999999999998</v>
      </c>
    </row>
    <row r="71" spans="2:3" x14ac:dyDescent="0.3">
      <c r="B71" s="17" t="s">
        <v>320</v>
      </c>
      <c r="C71" s="163">
        <f>H16</f>
        <v>4.18</v>
      </c>
    </row>
    <row r="72" spans="2:3" x14ac:dyDescent="0.3">
      <c r="B72" s="40" t="s">
        <v>158</v>
      </c>
      <c r="C72" s="275">
        <f>(H16/C16)^(1/5)-1</f>
        <v>0.54488634462894536</v>
      </c>
    </row>
    <row r="73" spans="2:3" x14ac:dyDescent="0.3">
      <c r="B73" s="172" t="s">
        <v>142</v>
      </c>
      <c r="C73" s="173"/>
    </row>
    <row r="74" spans="2:3" x14ac:dyDescent="0.3">
      <c r="B74" s="175" t="s">
        <v>319</v>
      </c>
      <c r="C74" s="173">
        <f>C20</f>
        <v>19.841699999999999</v>
      </c>
    </row>
    <row r="75" spans="2:3" x14ac:dyDescent="0.3">
      <c r="B75" s="175" t="s">
        <v>320</v>
      </c>
      <c r="C75" s="173">
        <f>S32</f>
        <v>47.782108508524786</v>
      </c>
    </row>
    <row r="76" spans="2:3" x14ac:dyDescent="0.3">
      <c r="B76" s="175" t="s">
        <v>158</v>
      </c>
      <c r="C76" s="176">
        <f>K33</f>
        <v>0.17999999999999994</v>
      </c>
    </row>
    <row r="77" spans="2:3" x14ac:dyDescent="0.3">
      <c r="B77" s="280" t="s">
        <v>322</v>
      </c>
      <c r="C77" s="277"/>
    </row>
  </sheetData>
  <mergeCells count="1">
    <mergeCell ref="B31:H3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8514-BF8E-4A16-8DFF-FFE587CFCFA1}">
  <dimension ref="A1:S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3" sqref="M13"/>
    </sheetView>
  </sheetViews>
  <sheetFormatPr defaultRowHeight="14.4" x14ac:dyDescent="0.3"/>
  <cols>
    <col min="1" max="1" width="27.21875" style="17" customWidth="1"/>
    <col min="2" max="2" width="8.88671875" style="6"/>
    <col min="3" max="3" width="8.88671875" style="17"/>
    <col min="4" max="4" width="8.88671875" style="6"/>
    <col min="5" max="5" width="8.88671875" style="17"/>
    <col min="6" max="6" width="11.6640625" style="6" bestFit="1" customWidth="1"/>
    <col min="7" max="7" width="9.6640625" style="71" bestFit="1" customWidth="1"/>
    <col min="8" max="8" width="8.88671875" style="6"/>
    <col min="9" max="9" width="8.88671875" style="17"/>
    <col min="10" max="10" width="8.88671875" style="6"/>
    <col min="11" max="11" width="8.88671875" style="17"/>
    <col min="14" max="14" width="9.33203125" bestFit="1" customWidth="1"/>
  </cols>
  <sheetData>
    <row r="1" spans="1:19" s="59" customFormat="1" ht="15" thickBot="1" x14ac:dyDescent="0.35">
      <c r="A1" s="200" t="s">
        <v>166</v>
      </c>
      <c r="B1" s="201">
        <v>2017</v>
      </c>
      <c r="C1" s="200">
        <v>2018</v>
      </c>
      <c r="D1" s="201">
        <v>2019</v>
      </c>
      <c r="E1" s="200">
        <v>2020</v>
      </c>
      <c r="F1" s="201">
        <v>2021</v>
      </c>
      <c r="G1" s="202" t="s">
        <v>129</v>
      </c>
      <c r="H1" s="203" t="s">
        <v>130</v>
      </c>
      <c r="I1" s="204" t="s">
        <v>131</v>
      </c>
      <c r="J1" s="203" t="s">
        <v>132</v>
      </c>
      <c r="K1" s="204" t="s">
        <v>133</v>
      </c>
    </row>
    <row r="2" spans="1:19" x14ac:dyDescent="0.3">
      <c r="A2" s="17" t="s">
        <v>167</v>
      </c>
      <c r="B2" s="252">
        <v>217014</v>
      </c>
      <c r="C2" s="253">
        <v>327817</v>
      </c>
      <c r="D2" s="252">
        <v>356039</v>
      </c>
      <c r="E2" s="253">
        <v>387464</v>
      </c>
      <c r="F2" s="252">
        <v>391171</v>
      </c>
      <c r="G2" s="254">
        <f>F2*(1+'Revenue Projection'!$C$29)</f>
        <v>449791.20439244743</v>
      </c>
      <c r="H2" s="255">
        <f>G2*(1+'Revenue Projection'!$C$29)</f>
        <v>517196.13046163548</v>
      </c>
      <c r="I2" s="256">
        <f>H2*(1+'Revenue Projection'!$C$29)</f>
        <v>594702.24128949328</v>
      </c>
      <c r="J2" s="255">
        <f>I2*(1+'Revenue Projection'!$C$29)</f>
        <v>683823.28282129567</v>
      </c>
      <c r="K2" s="256">
        <f>J2*(1+'Revenue Projection'!$C$29)</f>
        <v>786299.84833177249</v>
      </c>
      <c r="P2" t="s">
        <v>279</v>
      </c>
    </row>
    <row r="3" spans="1:19" x14ac:dyDescent="0.3">
      <c r="A3" s="17" t="s">
        <v>168</v>
      </c>
      <c r="B3" s="252">
        <v>39195</v>
      </c>
      <c r="C3" s="253">
        <v>62588</v>
      </c>
      <c r="D3" s="252">
        <v>69225</v>
      </c>
      <c r="E3" s="253">
        <v>67871</v>
      </c>
      <c r="F3" s="252">
        <v>65719</v>
      </c>
      <c r="G3" s="254">
        <f>G2*G4</f>
        <v>81784.460486293407</v>
      </c>
      <c r="H3" s="255">
        <f t="shared" ref="H3:J3" si="0">H2*H4</f>
        <v>94040.537214457203</v>
      </c>
      <c r="I3" s="256">
        <f t="shared" si="0"/>
        <v>108133.28824325801</v>
      </c>
      <c r="J3" s="255">
        <f t="shared" si="0"/>
        <v>124337.95438273976</v>
      </c>
      <c r="K3" s="253">
        <f>K2*K4</f>
        <v>142971.0235510958</v>
      </c>
      <c r="M3" s="112">
        <f>F2/E2-1</f>
        <v>9.5673404496934289E-3</v>
      </c>
      <c r="P3" s="112">
        <f>(F2/B2)^(1/5)-1</f>
        <v>0.1250602473123692</v>
      </c>
    </row>
    <row r="4" spans="1:19" s="75" customFormat="1" x14ac:dyDescent="0.3">
      <c r="A4" s="82" t="s">
        <v>169</v>
      </c>
      <c r="B4" s="80">
        <f t="shared" ref="B4:E4" si="1">B3/B2</f>
        <v>0.18061046752744062</v>
      </c>
      <c r="C4" s="82">
        <f t="shared" si="1"/>
        <v>0.1909235945664807</v>
      </c>
      <c r="D4" s="80">
        <f t="shared" si="1"/>
        <v>0.19443094717151774</v>
      </c>
      <c r="E4" s="82">
        <f t="shared" si="1"/>
        <v>0.17516724134371192</v>
      </c>
      <c r="F4" s="80">
        <f>F3/F2</f>
        <v>0.16800580820152825</v>
      </c>
      <c r="G4" s="87">
        <f>AVERAGE(B4:F4)</f>
        <v>0.18182761176213583</v>
      </c>
      <c r="H4" s="81">
        <f t="shared" ref="H4:K4" si="2">G4</f>
        <v>0.18182761176213583</v>
      </c>
      <c r="I4" s="89">
        <f t="shared" si="2"/>
        <v>0.18182761176213583</v>
      </c>
      <c r="J4" s="81">
        <f t="shared" si="2"/>
        <v>0.18182761176213583</v>
      </c>
      <c r="K4" s="89">
        <f t="shared" si="2"/>
        <v>0.18182761176213583</v>
      </c>
      <c r="M4" s="97"/>
      <c r="N4" s="113" t="s">
        <v>158</v>
      </c>
    </row>
    <row r="5" spans="1:19" x14ac:dyDescent="0.3">
      <c r="A5" s="17" t="s">
        <v>170</v>
      </c>
      <c r="B5" s="252">
        <v>15144</v>
      </c>
      <c r="C5" s="253">
        <v>29686</v>
      </c>
      <c r="D5" s="252">
        <v>49700</v>
      </c>
      <c r="E5" s="253">
        <v>57282</v>
      </c>
      <c r="F5" s="252">
        <v>64001</v>
      </c>
      <c r="G5" s="254">
        <f>G2*G6</f>
        <v>73585.841038604398</v>
      </c>
      <c r="H5" s="252">
        <f t="shared" ref="H5:K5" si="3">H2*H6</f>
        <v>84613.286943523563</v>
      </c>
      <c r="I5" s="253">
        <f t="shared" si="3"/>
        <v>97293.286674961098</v>
      </c>
      <c r="J5" s="252">
        <f t="shared" si="3"/>
        <v>111873.48906956396</v>
      </c>
      <c r="K5" s="253">
        <f t="shared" si="3"/>
        <v>128638.65518707798</v>
      </c>
      <c r="M5" s="112"/>
      <c r="N5">
        <f>((16.8/18.06)^(1/5))-1</f>
        <v>-1.4360029278537079E-2</v>
      </c>
      <c r="P5" t="s">
        <v>280</v>
      </c>
    </row>
    <row r="6" spans="1:19" s="75" customFormat="1" x14ac:dyDescent="0.3">
      <c r="A6" s="82" t="s">
        <v>169</v>
      </c>
      <c r="B6" s="80">
        <f t="shared" ref="B6:E6" si="4">B5/B2</f>
        <v>6.9783516270839674E-2</v>
      </c>
      <c r="C6" s="82">
        <f t="shared" si="4"/>
        <v>9.0556621529694917E-2</v>
      </c>
      <c r="D6" s="80">
        <f t="shared" si="4"/>
        <v>0.13959144925134606</v>
      </c>
      <c r="E6" s="82">
        <f t="shared" si="4"/>
        <v>0.14783825077942725</v>
      </c>
      <c r="F6" s="80">
        <f>F5/F2</f>
        <v>0.16361386708114867</v>
      </c>
      <c r="G6" s="87">
        <v>0.1636</v>
      </c>
      <c r="H6" s="80">
        <v>0.1636</v>
      </c>
      <c r="I6" s="82">
        <v>0.1636</v>
      </c>
      <c r="J6" s="80">
        <v>0.1636</v>
      </c>
      <c r="K6" s="82">
        <v>0.1636</v>
      </c>
      <c r="P6" s="75">
        <f>C2/B2-1</f>
        <v>0.51057996258305915</v>
      </c>
      <c r="Q6" s="75">
        <f>D2/C2-1</f>
        <v>8.6090715246616156E-2</v>
      </c>
      <c r="R6" s="75">
        <f>E2/D2-1</f>
        <v>8.8262802670493912E-2</v>
      </c>
      <c r="S6" s="75">
        <f>F2/E2-1</f>
        <v>9.5673404496934289E-3</v>
      </c>
    </row>
    <row r="7" spans="1:19" s="76" customFormat="1" x14ac:dyDescent="0.3">
      <c r="A7" s="83"/>
      <c r="B7" s="51"/>
      <c r="C7" s="40"/>
      <c r="D7" s="51"/>
      <c r="E7" s="40"/>
      <c r="F7" s="51"/>
      <c r="G7" s="88"/>
      <c r="H7" s="51"/>
      <c r="I7" s="40"/>
      <c r="J7" s="51"/>
      <c r="K7" s="40"/>
      <c r="M7" s="154"/>
      <c r="P7" s="76" t="s">
        <v>281</v>
      </c>
      <c r="Q7" s="76">
        <f>_xlfn.STDEV.S(P6:S6)</f>
        <v>0.22759797758805225</v>
      </c>
    </row>
    <row r="8" spans="1:19" x14ac:dyDescent="0.3">
      <c r="A8" s="17" t="s">
        <v>171</v>
      </c>
      <c r="B8" s="252">
        <v>162675</v>
      </c>
      <c r="C8" s="253">
        <v>235543</v>
      </c>
      <c r="D8" s="252">
        <v>237114</v>
      </c>
      <c r="E8" s="253">
        <v>262311</v>
      </c>
      <c r="F8" s="252">
        <v>261451</v>
      </c>
      <c r="G8" s="254">
        <f>G2-G3-G5</f>
        <v>294420.90286754962</v>
      </c>
      <c r="H8" s="252">
        <f>H2-H3-H5</f>
        <v>338542.30630365468</v>
      </c>
      <c r="I8" s="253">
        <f t="shared" ref="I8:K8" si="5">I2-I3-I5</f>
        <v>389275.66637127416</v>
      </c>
      <c r="J8" s="252">
        <f t="shared" si="5"/>
        <v>447611.83936899196</v>
      </c>
      <c r="K8" s="253">
        <f t="shared" si="5"/>
        <v>514690.16959359875</v>
      </c>
    </row>
    <row r="9" spans="1:19" s="75" customFormat="1" x14ac:dyDescent="0.3">
      <c r="A9" s="82" t="s">
        <v>172</v>
      </c>
      <c r="B9" s="80">
        <f t="shared" ref="B9:E9" si="6">B8/B2</f>
        <v>0.74960601620171974</v>
      </c>
      <c r="C9" s="82">
        <f t="shared" si="6"/>
        <v>0.71851978390382443</v>
      </c>
      <c r="D9" s="80">
        <f t="shared" si="6"/>
        <v>0.6659776035771362</v>
      </c>
      <c r="E9" s="82">
        <f t="shared" si="6"/>
        <v>0.67699450787686077</v>
      </c>
      <c r="F9" s="80">
        <f>F8/F2</f>
        <v>0.66838032471732312</v>
      </c>
      <c r="G9" s="87">
        <f>G8/G2</f>
        <v>0.65457238823786423</v>
      </c>
      <c r="H9" s="80">
        <f>H8/H2</f>
        <v>0.65457238823786412</v>
      </c>
      <c r="I9" s="82">
        <f t="shared" ref="I9:K9" si="7">I8/I2</f>
        <v>0.65457238823786412</v>
      </c>
      <c r="J9" s="80">
        <f t="shared" si="7"/>
        <v>0.65457238823786423</v>
      </c>
      <c r="K9" s="82">
        <f t="shared" si="7"/>
        <v>0.65457238823786423</v>
      </c>
      <c r="M9" s="113"/>
    </row>
    <row r="11" spans="1:19" x14ac:dyDescent="0.3">
      <c r="A11" s="17" t="s">
        <v>173</v>
      </c>
      <c r="B11" s="252">
        <v>26402</v>
      </c>
      <c r="C11" s="253">
        <v>40980</v>
      </c>
      <c r="D11" s="252">
        <v>49359</v>
      </c>
      <c r="E11" s="253">
        <v>50548</v>
      </c>
      <c r="F11" s="252">
        <v>53184</v>
      </c>
      <c r="G11" s="254">
        <f>G12*G2</f>
        <v>58607.793932335902</v>
      </c>
      <c r="H11" s="252">
        <f>H12*H2</f>
        <v>67390.655799151107</v>
      </c>
      <c r="I11" s="253">
        <f t="shared" ref="I11:K11" si="8">I12*I2</f>
        <v>77489.702040020973</v>
      </c>
      <c r="J11" s="252">
        <f t="shared" si="8"/>
        <v>89102.173751614828</v>
      </c>
      <c r="K11" s="253">
        <f t="shared" si="8"/>
        <v>102454.87023762995</v>
      </c>
    </row>
    <row r="12" spans="1:19" s="75" customFormat="1" x14ac:dyDescent="0.3">
      <c r="A12" s="82" t="s">
        <v>169</v>
      </c>
      <c r="B12" s="80">
        <f t="shared" ref="B12:E12" si="9">B11/B2</f>
        <v>0.1216603537098989</v>
      </c>
      <c r="C12" s="82">
        <f t="shared" si="9"/>
        <v>0.12500877013699715</v>
      </c>
      <c r="D12" s="80">
        <f t="shared" si="9"/>
        <v>0.13863368900597969</v>
      </c>
      <c r="E12" s="82">
        <f t="shared" si="9"/>
        <v>0.13045857163504224</v>
      </c>
      <c r="F12" s="80">
        <f>F11/F2</f>
        <v>0.13596099915382276</v>
      </c>
      <c r="G12" s="87">
        <v>0.1303</v>
      </c>
      <c r="H12" s="80">
        <f>G12</f>
        <v>0.1303</v>
      </c>
      <c r="I12" s="82">
        <f>H12</f>
        <v>0.1303</v>
      </c>
      <c r="J12" s="80">
        <f>I12</f>
        <v>0.1303</v>
      </c>
      <c r="K12" s="82">
        <f>J12</f>
        <v>0.1303</v>
      </c>
      <c r="L12" s="75" t="s">
        <v>285</v>
      </c>
    </row>
    <row r="13" spans="1:19" x14ac:dyDescent="0.3">
      <c r="A13" s="17" t="s">
        <v>174</v>
      </c>
      <c r="B13" s="252">
        <v>22878</v>
      </c>
      <c r="C13" s="253">
        <v>41204</v>
      </c>
      <c r="D13" s="252">
        <v>34496</v>
      </c>
      <c r="E13" s="253">
        <v>35441</v>
      </c>
      <c r="F13" s="252">
        <v>36739</v>
      </c>
      <c r="G13" s="254">
        <f>G14*G2</f>
        <v>41830.582008497608</v>
      </c>
      <c r="H13" s="252">
        <f>H14*H2</f>
        <v>47582.044002470466</v>
      </c>
      <c r="I13" s="253">
        <f t="shared" ref="I13:K13" si="10">I14*I2</f>
        <v>54117.903957343886</v>
      </c>
      <c r="J13" s="252">
        <f t="shared" si="10"/>
        <v>61544.095453916605</v>
      </c>
      <c r="K13" s="253">
        <f t="shared" si="10"/>
        <v>69980.686501527744</v>
      </c>
    </row>
    <row r="14" spans="1:19" s="75" customFormat="1" x14ac:dyDescent="0.3">
      <c r="A14" s="82" t="s">
        <v>169</v>
      </c>
      <c r="B14" s="80">
        <f t="shared" ref="B14:E14" si="11">B13/B2</f>
        <v>0.10542177002405374</v>
      </c>
      <c r="C14" s="82">
        <f>C13/C2</f>
        <v>0.12569207820216768</v>
      </c>
      <c r="D14" s="80">
        <f>D13/D2</f>
        <v>9.6888262240934275E-2</v>
      </c>
      <c r="E14" s="82">
        <f t="shared" si="11"/>
        <v>9.1469142939731171E-2</v>
      </c>
      <c r="F14" s="80">
        <f>F13/F2</f>
        <v>9.392056159582382E-2</v>
      </c>
      <c r="G14" s="87">
        <v>9.2999999999999999E-2</v>
      </c>
      <c r="H14" s="80">
        <v>9.1999999999999998E-2</v>
      </c>
      <c r="I14" s="82">
        <v>9.0999999999999998E-2</v>
      </c>
      <c r="J14" s="80">
        <v>0.09</v>
      </c>
      <c r="K14" s="82">
        <v>8.8999999999999996E-2</v>
      </c>
    </row>
    <row r="15" spans="1:19" x14ac:dyDescent="0.3">
      <c r="A15" s="17" t="s">
        <v>175</v>
      </c>
      <c r="B15" s="252">
        <v>91727</v>
      </c>
      <c r="C15" s="253">
        <v>120752</v>
      </c>
      <c r="D15" s="252">
        <v>118517</v>
      </c>
      <c r="E15" s="253">
        <v>132552</v>
      </c>
      <c r="F15" s="252">
        <v>143763</v>
      </c>
      <c r="G15" s="254">
        <f>G16*G2</f>
        <v>152929.00949343212</v>
      </c>
      <c r="H15" s="252">
        <f>H16*H2</f>
        <v>175846.68435695607</v>
      </c>
      <c r="I15" s="253">
        <f t="shared" ref="I15:K15" si="12">I16*I2</f>
        <v>202198.76203842773</v>
      </c>
      <c r="J15" s="252">
        <f t="shared" si="12"/>
        <v>232499.91615924053</v>
      </c>
      <c r="K15" s="253">
        <f t="shared" si="12"/>
        <v>267341.94843280269</v>
      </c>
    </row>
    <row r="16" spans="1:19" s="75" customFormat="1" x14ac:dyDescent="0.3">
      <c r="A16" s="82" t="s">
        <v>169</v>
      </c>
      <c r="B16" s="80">
        <f t="shared" ref="B16:E16" si="13">B15/B2</f>
        <v>0.42267779958896662</v>
      </c>
      <c r="C16" s="82">
        <f t="shared" si="13"/>
        <v>0.36835185484584387</v>
      </c>
      <c r="D16" s="80">
        <f t="shared" si="13"/>
        <v>0.33287645454570985</v>
      </c>
      <c r="E16" s="82">
        <f t="shared" si="13"/>
        <v>0.34210145974851858</v>
      </c>
      <c r="F16" s="80">
        <f>F15/F2</f>
        <v>0.36751957583767714</v>
      </c>
      <c r="G16" s="87">
        <v>0.34</v>
      </c>
      <c r="H16" s="80">
        <v>0.34</v>
      </c>
      <c r="I16" s="82">
        <v>0.34</v>
      </c>
      <c r="J16" s="80">
        <v>0.34</v>
      </c>
      <c r="K16" s="82">
        <v>0.34</v>
      </c>
    </row>
    <row r="17" spans="1:12" s="78" customFormat="1" x14ac:dyDescent="0.3">
      <c r="A17" s="84" t="s">
        <v>176</v>
      </c>
      <c r="B17" s="257">
        <v>566</v>
      </c>
      <c r="C17" s="258">
        <v>1806</v>
      </c>
      <c r="D17" s="257">
        <v>6135</v>
      </c>
      <c r="E17" s="258">
        <v>-2409</v>
      </c>
      <c r="F17" s="257">
        <v>318</v>
      </c>
      <c r="G17" s="259">
        <f>G18*G2</f>
        <v>1794.1404885831182</v>
      </c>
      <c r="H17" s="257">
        <f>H18*H2</f>
        <v>2063.0072556734899</v>
      </c>
      <c r="I17" s="258">
        <f t="shared" ref="I17:K17" si="14">I18*I2</f>
        <v>2372.1659279438832</v>
      </c>
      <c r="J17" s="257">
        <f t="shared" si="14"/>
        <v>2727.654580090566</v>
      </c>
      <c r="K17" s="258">
        <f t="shared" si="14"/>
        <v>3136.4161421616409</v>
      </c>
    </row>
    <row r="18" spans="1:12" s="75" customFormat="1" x14ac:dyDescent="0.3">
      <c r="A18" s="82" t="s">
        <v>169</v>
      </c>
      <c r="B18" s="80">
        <f>B17/B2</f>
        <v>2.6081266646391476E-3</v>
      </c>
      <c r="C18" s="82">
        <f t="shared" ref="C18:F18" si="15">C17/C2</f>
        <v>5.5091712754372106E-3</v>
      </c>
      <c r="D18" s="80">
        <f t="shared" si="15"/>
        <v>1.7231258373380444E-2</v>
      </c>
      <c r="E18" s="82">
        <f t="shared" si="15"/>
        <v>-6.2173518055870999E-3</v>
      </c>
      <c r="F18" s="80">
        <f t="shared" si="15"/>
        <v>8.1294369981414782E-4</v>
      </c>
      <c r="G18" s="87">
        <f>AVERAGE(B18:F18)</f>
        <v>3.98882964153677E-3</v>
      </c>
      <c r="H18" s="80">
        <f>G18</f>
        <v>3.98882964153677E-3</v>
      </c>
      <c r="I18" s="82">
        <f t="shared" ref="I18:K18" si="16">H18</f>
        <v>3.98882964153677E-3</v>
      </c>
      <c r="J18" s="80">
        <f t="shared" si="16"/>
        <v>3.98882964153677E-3</v>
      </c>
      <c r="K18" s="82">
        <f t="shared" si="16"/>
        <v>3.98882964153677E-3</v>
      </c>
    </row>
    <row r="19" spans="1:12" s="76" customFormat="1" x14ac:dyDescent="0.3">
      <c r="A19" s="40"/>
      <c r="B19" s="6"/>
      <c r="C19" s="17"/>
      <c r="D19" s="6"/>
      <c r="E19" s="17"/>
      <c r="F19" s="6"/>
      <c r="G19" s="88"/>
      <c r="H19" s="51"/>
      <c r="I19" s="40"/>
      <c r="J19" s="51"/>
      <c r="K19" s="40"/>
    </row>
    <row r="20" spans="1:12" x14ac:dyDescent="0.3">
      <c r="A20" s="17" t="s">
        <v>177</v>
      </c>
      <c r="B20" s="260">
        <v>25947</v>
      </c>
      <c r="C20" s="261">
        <v>41605</v>
      </c>
      <c r="D20" s="260">
        <v>49531</v>
      </c>
      <c r="E20" s="261">
        <v>51865</v>
      </c>
      <c r="F20" s="262">
        <v>43351</v>
      </c>
      <c r="G20" s="253">
        <f>G8-G11-G13-G15+G17</f>
        <v>42847.657921867089</v>
      </c>
      <c r="H20" s="252">
        <f>H8-H11-H13-H15+H17</f>
        <v>49785.929400750516</v>
      </c>
      <c r="I20" s="253">
        <f t="shared" ref="I20:J20" si="17">I8-I11-I13-I15+I17</f>
        <v>57841.464263425463</v>
      </c>
      <c r="J20" s="252">
        <f t="shared" si="17"/>
        <v>67193.308584310609</v>
      </c>
      <c r="K20" s="253">
        <f>K8-K11-K13-K15+K17</f>
        <v>78049.08056380006</v>
      </c>
    </row>
    <row r="21" spans="1:12" s="75" customFormat="1" x14ac:dyDescent="0.3">
      <c r="A21" s="82" t="s">
        <v>169</v>
      </c>
      <c r="B21" s="81">
        <f t="shared" ref="B21:E21" si="18">B20/B2</f>
        <v>0.11956371478337803</v>
      </c>
      <c r="C21" s="89">
        <f t="shared" si="18"/>
        <v>0.12691532165812022</v>
      </c>
      <c r="D21" s="81">
        <f t="shared" si="18"/>
        <v>0.13911678215027007</v>
      </c>
      <c r="E21" s="89">
        <f t="shared" si="18"/>
        <v>0.13385759709289122</v>
      </c>
      <c r="F21" s="132">
        <f>F20/F2</f>
        <v>0.11082365512780855</v>
      </c>
      <c r="G21" s="89">
        <f>G20/G2</f>
        <v>9.5261217879400922E-2</v>
      </c>
      <c r="H21" s="80">
        <f>H20/H2</f>
        <v>9.626121787940084E-2</v>
      </c>
      <c r="I21" s="82">
        <f t="shared" ref="I21:K21" si="19">I20/I2</f>
        <v>9.7261217879400924E-2</v>
      </c>
      <c r="J21" s="80">
        <f t="shared" si="19"/>
        <v>9.8261217879401036E-2</v>
      </c>
      <c r="K21" s="82">
        <f t="shared" si="19"/>
        <v>9.9261217879401037E-2</v>
      </c>
      <c r="L21" s="75" t="s">
        <v>282</v>
      </c>
    </row>
    <row r="22" spans="1:12" x14ac:dyDescent="0.3">
      <c r="B22" s="205"/>
      <c r="F22" s="92"/>
      <c r="G22" s="17"/>
    </row>
    <row r="23" spans="1:12" x14ac:dyDescent="0.3">
      <c r="A23" s="17" t="s">
        <v>178</v>
      </c>
      <c r="B23" s="255">
        <v>6033</v>
      </c>
      <c r="C23" s="253">
        <v>4925</v>
      </c>
      <c r="D23" s="252">
        <v>10152</v>
      </c>
      <c r="E23" s="253">
        <v>10789</v>
      </c>
      <c r="F23" s="263">
        <v>11746</v>
      </c>
      <c r="G23" s="253">
        <f>G24*G2</f>
        <v>13493.736131773423</v>
      </c>
      <c r="H23" s="252">
        <f>H24*H2</f>
        <v>15515.883913849064</v>
      </c>
      <c r="I23" s="253">
        <f t="shared" ref="I23:K23" si="20">I24*I2</f>
        <v>17841.067238684798</v>
      </c>
      <c r="J23" s="252">
        <f t="shared" si="20"/>
        <v>20514.69848463887</v>
      </c>
      <c r="K23" s="253">
        <f t="shared" si="20"/>
        <v>23588.995449953174</v>
      </c>
    </row>
    <row r="24" spans="1:12" s="75" customFormat="1" x14ac:dyDescent="0.3">
      <c r="A24" s="82" t="s">
        <v>169</v>
      </c>
      <c r="B24" s="81">
        <f t="shared" ref="B24:E24" si="21">B23/B2</f>
        <v>2.780004976637452E-2</v>
      </c>
      <c r="C24" s="89">
        <f t="shared" si="21"/>
        <v>1.5023625986449757E-2</v>
      </c>
      <c r="D24" s="81">
        <f t="shared" si="21"/>
        <v>2.8513730237417812E-2</v>
      </c>
      <c r="E24" s="89">
        <f t="shared" si="21"/>
        <v>2.7845167551049904E-2</v>
      </c>
      <c r="F24" s="132">
        <f>F23/F2</f>
        <v>3.0027788358543962E-2</v>
      </c>
      <c r="G24" s="89">
        <v>0.03</v>
      </c>
      <c r="H24" s="80">
        <f>G24</f>
        <v>0.03</v>
      </c>
      <c r="I24" s="82">
        <f t="shared" ref="I24:K24" si="22">H24</f>
        <v>0.03</v>
      </c>
      <c r="J24" s="80">
        <f t="shared" si="22"/>
        <v>0.03</v>
      </c>
      <c r="K24" s="82">
        <f t="shared" si="22"/>
        <v>0.03</v>
      </c>
      <c r="L24" s="75" t="s">
        <v>285</v>
      </c>
    </row>
    <row r="25" spans="1:12" ht="28.8" x14ac:dyDescent="0.3">
      <c r="A25" s="28" t="s">
        <v>295</v>
      </c>
      <c r="B25" s="264">
        <v>0</v>
      </c>
      <c r="C25" s="265">
        <v>17505</v>
      </c>
      <c r="D25" s="266">
        <v>26707</v>
      </c>
      <c r="E25" s="265">
        <v>18300</v>
      </c>
      <c r="F25" s="267">
        <v>13562</v>
      </c>
      <c r="G25" s="265">
        <f>G26*G2</f>
        <v>13493.736131773423</v>
      </c>
      <c r="H25" s="266">
        <f>H26*H2</f>
        <v>15515.883913849064</v>
      </c>
      <c r="I25" s="265">
        <f t="shared" ref="I25:K25" si="23">I26*I2</f>
        <v>17841.067238684798</v>
      </c>
      <c r="J25" s="266">
        <f t="shared" si="23"/>
        <v>17095.582070532393</v>
      </c>
      <c r="K25" s="265">
        <f t="shared" si="23"/>
        <v>19657.496208294313</v>
      </c>
    </row>
    <row r="26" spans="1:12" s="75" customFormat="1" x14ac:dyDescent="0.3">
      <c r="A26" s="82" t="s">
        <v>169</v>
      </c>
      <c r="B26" s="81">
        <f t="shared" ref="B26:E26" si="24">B25/B2</f>
        <v>0</v>
      </c>
      <c r="C26" s="89">
        <f t="shared" si="24"/>
        <v>5.339869500361482E-2</v>
      </c>
      <c r="D26" s="81">
        <f t="shared" si="24"/>
        <v>7.5011445375366179E-2</v>
      </c>
      <c r="E26" s="89">
        <f t="shared" si="24"/>
        <v>4.723019428901782E-2</v>
      </c>
      <c r="F26" s="132">
        <f>F25/F2</f>
        <v>3.4670259298363121E-2</v>
      </c>
      <c r="G26" s="155">
        <v>0.03</v>
      </c>
      <c r="H26" s="156">
        <f>G26</f>
        <v>0.03</v>
      </c>
      <c r="I26" s="157">
        <v>0.03</v>
      </c>
      <c r="J26" s="156">
        <v>2.5000000000000001E-2</v>
      </c>
      <c r="K26" s="157">
        <v>2.5000000000000001E-2</v>
      </c>
    </row>
    <row r="27" spans="1:12" s="75" customFormat="1" x14ac:dyDescent="0.3">
      <c r="A27" s="82" t="s">
        <v>179</v>
      </c>
      <c r="B27" s="268">
        <f t="shared" ref="B27:K27" si="25">B23+B25</f>
        <v>6033</v>
      </c>
      <c r="C27" s="253">
        <f t="shared" si="25"/>
        <v>22430</v>
      </c>
      <c r="D27" s="268">
        <f t="shared" si="25"/>
        <v>36859</v>
      </c>
      <c r="E27" s="253">
        <f t="shared" si="25"/>
        <v>29089</v>
      </c>
      <c r="F27" s="269">
        <f t="shared" si="25"/>
        <v>25308</v>
      </c>
      <c r="G27" s="253">
        <f t="shared" si="25"/>
        <v>26987.472263546846</v>
      </c>
      <c r="H27" s="270">
        <f t="shared" si="25"/>
        <v>31031.767827698128</v>
      </c>
      <c r="I27" s="253">
        <f t="shared" si="25"/>
        <v>35682.134477369596</v>
      </c>
      <c r="J27" s="270">
        <f t="shared" si="25"/>
        <v>37610.280555171266</v>
      </c>
      <c r="K27" s="253">
        <f t="shared" si="25"/>
        <v>43246.491658247483</v>
      </c>
    </row>
    <row r="28" spans="1:12" s="76" customFormat="1" x14ac:dyDescent="0.3">
      <c r="A28" s="40"/>
      <c r="B28" s="51"/>
      <c r="C28" s="40"/>
      <c r="D28" s="51"/>
      <c r="E28" s="40"/>
      <c r="F28" s="99"/>
      <c r="G28" s="40"/>
      <c r="H28" s="51"/>
      <c r="I28" s="40"/>
      <c r="J28" s="51"/>
      <c r="K28" s="40"/>
    </row>
    <row r="29" spans="1:12" x14ac:dyDescent="0.3">
      <c r="A29" s="85" t="s">
        <v>180</v>
      </c>
      <c r="B29" s="252">
        <v>19914</v>
      </c>
      <c r="C29" s="253">
        <v>19175</v>
      </c>
      <c r="D29" s="252">
        <v>12672</v>
      </c>
      <c r="E29" s="253">
        <v>22776</v>
      </c>
      <c r="F29" s="252">
        <v>18043</v>
      </c>
      <c r="G29" s="254">
        <f>G20-G23-G25</f>
        <v>15860.185658320241</v>
      </c>
      <c r="H29" s="252">
        <f>H20-H23-H25</f>
        <v>18754.161573052384</v>
      </c>
      <c r="I29" s="253">
        <f t="shared" ref="I29:K29" si="26">I20-I23-I25</f>
        <v>22159.32978605587</v>
      </c>
      <c r="J29" s="252">
        <f t="shared" si="26"/>
        <v>29583.02802913935</v>
      </c>
      <c r="K29" s="253">
        <f t="shared" si="26"/>
        <v>34802.588905552577</v>
      </c>
    </row>
    <row r="30" spans="1:12" s="75" customFormat="1" x14ac:dyDescent="0.3">
      <c r="A30" s="82" t="s">
        <v>169</v>
      </c>
      <c r="B30" s="80">
        <f t="shared" ref="B30:E30" si="27">B29/B2</f>
        <v>9.1763665017003518E-2</v>
      </c>
      <c r="C30" s="82">
        <f t="shared" si="27"/>
        <v>5.8493000668055656E-2</v>
      </c>
      <c r="D30" s="80">
        <f t="shared" si="27"/>
        <v>3.559160653748606E-2</v>
      </c>
      <c r="E30" s="82">
        <f t="shared" si="27"/>
        <v>5.8782235252823486E-2</v>
      </c>
      <c r="F30" s="80">
        <f>F29/F2</f>
        <v>4.612560747090147E-2</v>
      </c>
      <c r="G30" s="87">
        <f>G29/G2</f>
        <v>3.5261217879400918E-2</v>
      </c>
      <c r="H30" s="81">
        <f t="shared" ref="H30:K30" si="28">H29/H2</f>
        <v>3.6261217879400835E-2</v>
      </c>
      <c r="I30" s="89">
        <f t="shared" si="28"/>
        <v>3.7261217879400926E-2</v>
      </c>
      <c r="J30" s="81">
        <f t="shared" si="28"/>
        <v>4.3261217879401043E-2</v>
      </c>
      <c r="K30" s="89">
        <f t="shared" si="28"/>
        <v>4.4261217879401044E-2</v>
      </c>
    </row>
    <row r="32" spans="1:12" x14ac:dyDescent="0.3">
      <c r="A32" s="17" t="s">
        <v>181</v>
      </c>
      <c r="B32" s="252">
        <v>1110</v>
      </c>
      <c r="C32" s="253">
        <v>25286</v>
      </c>
      <c r="D32" s="252">
        <v>2399</v>
      </c>
      <c r="E32" s="253">
        <v>1228</v>
      </c>
      <c r="F32" s="252">
        <v>3921</v>
      </c>
      <c r="G32" s="254">
        <f>G33*G2</f>
        <v>4497.9120439244743</v>
      </c>
      <c r="H32" s="252">
        <f>H33*H2</f>
        <v>5171.9613046163549</v>
      </c>
      <c r="I32" s="253">
        <f t="shared" ref="I32:K32" si="29">I33*I2</f>
        <v>5947.022412894933</v>
      </c>
      <c r="J32" s="252">
        <f t="shared" si="29"/>
        <v>6838.2328282129565</v>
      </c>
      <c r="K32" s="253">
        <f t="shared" si="29"/>
        <v>7862.998483317725</v>
      </c>
    </row>
    <row r="33" spans="1:11" s="75" customFormat="1" x14ac:dyDescent="0.3">
      <c r="A33" s="82" t="s">
        <v>169</v>
      </c>
      <c r="B33" s="80">
        <f t="shared" ref="B33:E33" si="30">B32/B2</f>
        <v>5.114877381182781E-3</v>
      </c>
      <c r="C33" s="82">
        <f t="shared" si="30"/>
        <v>7.7134498820988537E-2</v>
      </c>
      <c r="D33" s="80">
        <f t="shared" si="30"/>
        <v>6.738025890422117E-3</v>
      </c>
      <c r="E33" s="82">
        <f t="shared" si="30"/>
        <v>3.1693266987384634E-3</v>
      </c>
      <c r="F33" s="80">
        <f>F32/F2</f>
        <v>1.002374920431218E-2</v>
      </c>
      <c r="G33" s="87">
        <v>0.01</v>
      </c>
      <c r="H33" s="80">
        <v>0.01</v>
      </c>
      <c r="I33" s="82">
        <f t="shared" ref="I33:K33" si="31">H33</f>
        <v>0.01</v>
      </c>
      <c r="J33" s="80">
        <f t="shared" si="31"/>
        <v>0.01</v>
      </c>
      <c r="K33" s="82">
        <f t="shared" si="31"/>
        <v>0.01</v>
      </c>
    </row>
    <row r="34" spans="1:11" s="76" customFormat="1" x14ac:dyDescent="0.3">
      <c r="A34" s="40"/>
      <c r="B34" s="51"/>
      <c r="C34" s="40"/>
      <c r="D34" s="51"/>
      <c r="E34" s="40"/>
      <c r="F34" s="51"/>
      <c r="G34" s="88"/>
      <c r="H34" s="51"/>
      <c r="I34" s="40"/>
      <c r="J34" s="51"/>
      <c r="K34" s="40"/>
    </row>
    <row r="35" spans="1:11" x14ac:dyDescent="0.3">
      <c r="A35" s="17" t="s">
        <v>182</v>
      </c>
      <c r="B35" s="252">
        <f>B41+676</f>
        <v>18804</v>
      </c>
      <c r="C35" s="253">
        <v>44461</v>
      </c>
      <c r="D35" s="252">
        <v>10273</v>
      </c>
      <c r="E35" s="253">
        <v>21548</v>
      </c>
      <c r="F35" s="252">
        <v>14123</v>
      </c>
      <c r="G35" s="254">
        <f>G29-G32</f>
        <v>11362.273614395766</v>
      </c>
      <c r="H35" s="252">
        <f>H29-H32</f>
        <v>13582.20026843603</v>
      </c>
      <c r="I35" s="253">
        <f t="shared" ref="I35:K35" si="32">I29-I32</f>
        <v>16212.307373160937</v>
      </c>
      <c r="J35" s="252">
        <f t="shared" si="32"/>
        <v>22744.795200926394</v>
      </c>
      <c r="K35" s="253">
        <f t="shared" si="32"/>
        <v>26939.590422234851</v>
      </c>
    </row>
    <row r="36" spans="1:11" s="75" customFormat="1" x14ac:dyDescent="0.3">
      <c r="A36" s="82" t="s">
        <v>169</v>
      </c>
      <c r="B36" s="80">
        <f t="shared" ref="B36:E36" si="33">B35/B2</f>
        <v>8.6648787635820734E-2</v>
      </c>
      <c r="C36" s="82">
        <f t="shared" si="33"/>
        <v>0.13562749948904418</v>
      </c>
      <c r="D36" s="80">
        <f t="shared" si="33"/>
        <v>2.8853580647063944E-2</v>
      </c>
      <c r="E36" s="82">
        <f t="shared" si="33"/>
        <v>5.5612908554085023E-2</v>
      </c>
      <c r="F36" s="80">
        <f>F35/F2</f>
        <v>3.6104414693318265E-2</v>
      </c>
      <c r="G36" s="87">
        <f>G35/G2</f>
        <v>2.5261217879400919E-2</v>
      </c>
      <c r="H36" s="80">
        <f>H35/H2</f>
        <v>2.626121787940084E-2</v>
      </c>
      <c r="I36" s="82">
        <f t="shared" ref="I36:K36" si="34">I35/I2</f>
        <v>2.7261217879400924E-2</v>
      </c>
      <c r="J36" s="80">
        <f t="shared" si="34"/>
        <v>3.3261217879401041E-2</v>
      </c>
      <c r="K36" s="82">
        <f t="shared" si="34"/>
        <v>3.4261217879401042E-2</v>
      </c>
    </row>
    <row r="37" spans="1:11" s="75" customFormat="1" x14ac:dyDescent="0.3">
      <c r="A37" s="82"/>
      <c r="B37" s="80"/>
      <c r="C37" s="82"/>
      <c r="D37" s="80"/>
      <c r="E37" s="82"/>
      <c r="F37" s="80"/>
      <c r="G37" s="87"/>
      <c r="H37" s="80"/>
      <c r="I37" s="82"/>
      <c r="J37" s="80"/>
      <c r="K37" s="82"/>
    </row>
    <row r="38" spans="1:11" s="77" customFormat="1" x14ac:dyDescent="0.3">
      <c r="A38" s="86" t="s">
        <v>183</v>
      </c>
      <c r="B38" s="270">
        <f>B35-B41</f>
        <v>676</v>
      </c>
      <c r="C38" s="271">
        <f>C35-C41</f>
        <v>1221</v>
      </c>
      <c r="D38" s="270">
        <f>D35-D41</f>
        <v>730</v>
      </c>
      <c r="E38" s="271">
        <f t="shared" ref="E38" si="35">E35-E41</f>
        <v>2215</v>
      </c>
      <c r="F38" s="270">
        <f>F35-F41</f>
        <v>2310</v>
      </c>
      <c r="G38" s="272">
        <f>G39*G2</f>
        <v>1845.222403396619</v>
      </c>
      <c r="H38" s="268">
        <f t="shared" ref="H38:K38" si="36">H39*H2</f>
        <v>2121.7442172239039</v>
      </c>
      <c r="I38" s="273">
        <f t="shared" si="36"/>
        <v>2439.7051081952659</v>
      </c>
      <c r="J38" s="268">
        <f t="shared" si="36"/>
        <v>2805.3150641984066</v>
      </c>
      <c r="K38" s="273">
        <f t="shared" si="36"/>
        <v>3225.7146910841479</v>
      </c>
    </row>
    <row r="39" spans="1:11" s="75" customFormat="1" x14ac:dyDescent="0.3">
      <c r="A39" s="82" t="s">
        <v>169</v>
      </c>
      <c r="B39" s="80">
        <f t="shared" ref="B39:E39" si="37">B38/B2</f>
        <v>3.1150064051167206E-3</v>
      </c>
      <c r="C39" s="82">
        <f t="shared" si="37"/>
        <v>3.7246390516660209E-3</v>
      </c>
      <c r="D39" s="80">
        <f t="shared" si="37"/>
        <v>2.0503371821626285E-3</v>
      </c>
      <c r="E39" s="82">
        <f t="shared" si="37"/>
        <v>5.7166601284248343E-3</v>
      </c>
      <c r="F39" s="80">
        <f>F38/F2</f>
        <v>5.9053457439329606E-3</v>
      </c>
      <c r="G39" s="87">
        <f>AVERAGE(B39:F39)</f>
        <v>4.1023977022606331E-3</v>
      </c>
      <c r="H39" s="80">
        <f>G39</f>
        <v>4.1023977022606331E-3</v>
      </c>
      <c r="I39" s="82">
        <f t="shared" ref="I39:K39" si="38">H39</f>
        <v>4.1023977022606331E-3</v>
      </c>
      <c r="J39" s="80">
        <f t="shared" si="38"/>
        <v>4.1023977022606331E-3</v>
      </c>
      <c r="K39" s="82">
        <f t="shared" si="38"/>
        <v>4.1023977022606331E-3</v>
      </c>
    </row>
    <row r="40" spans="1:11" s="76" customFormat="1" x14ac:dyDescent="0.3">
      <c r="A40" s="40"/>
      <c r="B40" s="51"/>
      <c r="C40" s="40"/>
      <c r="D40" s="51"/>
      <c r="E40" s="40"/>
      <c r="F40" s="51"/>
      <c r="G40" s="88"/>
      <c r="H40" s="51"/>
      <c r="I40" s="40"/>
      <c r="J40" s="51"/>
      <c r="K40" s="40"/>
    </row>
    <row r="41" spans="1:11" x14ac:dyDescent="0.3">
      <c r="A41" s="17" t="s">
        <v>184</v>
      </c>
      <c r="B41" s="252">
        <v>18128</v>
      </c>
      <c r="C41" s="253">
        <v>43240</v>
      </c>
      <c r="D41" s="252">
        <v>9543</v>
      </c>
      <c r="E41" s="253">
        <v>19333</v>
      </c>
      <c r="F41" s="252">
        <v>11813</v>
      </c>
      <c r="G41" s="254">
        <f>G35-G38</f>
        <v>9517.0512109991469</v>
      </c>
      <c r="H41" s="252">
        <f>H35-H38</f>
        <v>11460.456051212126</v>
      </c>
      <c r="I41" s="253">
        <f t="shared" ref="I41:K41" si="39">I35-I38</f>
        <v>13772.60226496567</v>
      </c>
      <c r="J41" s="252">
        <f t="shared" si="39"/>
        <v>19939.480136727987</v>
      </c>
      <c r="K41" s="253">
        <f t="shared" si="39"/>
        <v>23713.875731150703</v>
      </c>
    </row>
    <row r="42" spans="1:11" s="75" customFormat="1" x14ac:dyDescent="0.3">
      <c r="A42" s="82" t="s">
        <v>169</v>
      </c>
      <c r="B42" s="80">
        <f t="shared" ref="B42:E42" si="40">B41/B2</f>
        <v>8.3533781230704013E-2</v>
      </c>
      <c r="C42" s="82">
        <f t="shared" si="40"/>
        <v>0.13190286043737817</v>
      </c>
      <c r="D42" s="80">
        <f t="shared" si="40"/>
        <v>2.6803243464901316E-2</v>
      </c>
      <c r="E42" s="82">
        <f t="shared" si="40"/>
        <v>4.9896248425660192E-2</v>
      </c>
      <c r="F42" s="80">
        <f>F41/F2</f>
        <v>3.0199068949385306E-2</v>
      </c>
      <c r="G42" s="87">
        <f>G41/G2</f>
        <v>2.1158820177140287E-2</v>
      </c>
      <c r="H42" s="80">
        <f>H41/H2</f>
        <v>2.2158820177140204E-2</v>
      </c>
      <c r="I42" s="82">
        <f t="shared" ref="I42:K42" si="41">I41/I2</f>
        <v>2.3158820177140289E-2</v>
      </c>
      <c r="J42" s="80">
        <f t="shared" si="41"/>
        <v>2.9158820177140408E-2</v>
      </c>
      <c r="K42" s="82">
        <f t="shared" si="41"/>
        <v>3.0158820177140409E-2</v>
      </c>
    </row>
  </sheetData>
  <pageMargins left="0.7" right="0.7" top="0.75" bottom="0.75" header="0.3" footer="0.3"/>
  <ignoredErrors>
    <ignoredError sqref="H25:K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7C3B-219C-4015-943D-2CB3790A5A8B}">
  <dimension ref="A1:P73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N8" sqref="N8"/>
    </sheetView>
  </sheetViews>
  <sheetFormatPr defaultRowHeight="14.4" x14ac:dyDescent="0.3"/>
  <cols>
    <col min="1" max="1" width="23.6640625" style="17" customWidth="1"/>
    <col min="2" max="2" width="11" style="6" bestFit="1" customWidth="1"/>
    <col min="3" max="3" width="11" style="17" bestFit="1" customWidth="1"/>
    <col min="4" max="4" width="11" style="6" bestFit="1" customWidth="1"/>
    <col min="5" max="5" width="11" style="17" bestFit="1" customWidth="1"/>
    <col min="6" max="6" width="11" style="92" bestFit="1" customWidth="1"/>
    <col min="7" max="7" width="11" style="17" bestFit="1" customWidth="1"/>
    <col min="8" max="8" width="11" style="6" bestFit="1" customWidth="1"/>
    <col min="9" max="9" width="11" style="17" bestFit="1" customWidth="1"/>
    <col min="10" max="10" width="11" style="6" bestFit="1" customWidth="1"/>
    <col min="11" max="11" width="11" style="17" bestFit="1" customWidth="1"/>
    <col min="16" max="16" width="10.44140625" bestFit="1" customWidth="1"/>
  </cols>
  <sheetData>
    <row r="1" spans="1:12" s="59" customFormat="1" ht="15" thickBot="1" x14ac:dyDescent="0.35">
      <c r="A1" s="200" t="s">
        <v>166</v>
      </c>
      <c r="B1" s="201">
        <v>2017</v>
      </c>
      <c r="C1" s="200">
        <v>2018</v>
      </c>
      <c r="D1" s="201">
        <v>2019</v>
      </c>
      <c r="E1" s="200">
        <v>2020</v>
      </c>
      <c r="F1" s="206">
        <v>2021</v>
      </c>
      <c r="G1" s="204" t="s">
        <v>129</v>
      </c>
      <c r="H1" s="203" t="s">
        <v>130</v>
      </c>
      <c r="I1" s="204" t="s">
        <v>131</v>
      </c>
      <c r="J1" s="203" t="s">
        <v>132</v>
      </c>
      <c r="K1" s="204" t="s">
        <v>133</v>
      </c>
    </row>
    <row r="2" spans="1:12" s="79" customFormat="1" x14ac:dyDescent="0.3">
      <c r="A2" s="39" t="s">
        <v>185</v>
      </c>
      <c r="B2" s="90"/>
      <c r="C2" s="17"/>
      <c r="D2" s="90"/>
      <c r="E2" s="39"/>
      <c r="F2" s="91"/>
      <c r="G2" s="39"/>
      <c r="H2" s="90"/>
      <c r="I2" s="39"/>
      <c r="J2" s="90"/>
      <c r="K2" s="39"/>
    </row>
    <row r="3" spans="1:12" s="79" customFormat="1" x14ac:dyDescent="0.3">
      <c r="A3" s="39" t="s">
        <v>186</v>
      </c>
      <c r="B3" s="207"/>
      <c r="C3" s="208"/>
      <c r="D3" s="207"/>
      <c r="E3" s="209"/>
      <c r="F3" s="210"/>
      <c r="G3" s="209"/>
      <c r="H3" s="207"/>
      <c r="I3" s="209"/>
      <c r="J3" s="207"/>
      <c r="K3" s="209"/>
    </row>
    <row r="4" spans="1:12" x14ac:dyDescent="0.3">
      <c r="A4" s="17" t="s">
        <v>187</v>
      </c>
      <c r="B4" s="211">
        <v>2870</v>
      </c>
      <c r="C4" s="212">
        <v>4141</v>
      </c>
      <c r="D4" s="211">
        <v>3347</v>
      </c>
      <c r="E4" s="212">
        <v>2393</v>
      </c>
      <c r="F4" s="213">
        <v>2157</v>
      </c>
      <c r="G4" s="212">
        <f>$F$4*(1+'Revenue Projection'!$C$29)</f>
        <v>2480.2442611402917</v>
      </c>
      <c r="H4" s="211">
        <f>G4*(1+'Revenue Projection'!$C$29)</f>
        <v>2851.9293439589019</v>
      </c>
      <c r="I4" s="212">
        <f>H4*(1+'Revenue Projection'!$C$29)</f>
        <v>3279.3145055779619</v>
      </c>
      <c r="J4" s="211">
        <f>I4*(1+'Revenue Projection'!$C$29)</f>
        <v>3770.7468627417029</v>
      </c>
      <c r="K4" s="212">
        <f>J4*(1+'Revenue Projection'!$C$29)</f>
        <v>4335.8244165636852</v>
      </c>
    </row>
    <row r="5" spans="1:12" ht="28.8" x14ac:dyDescent="0.3">
      <c r="A5" s="28" t="s">
        <v>296</v>
      </c>
      <c r="B5" s="211">
        <v>0</v>
      </c>
      <c r="C5" s="212">
        <v>0</v>
      </c>
      <c r="D5" s="211">
        <v>8222</v>
      </c>
      <c r="E5" s="212">
        <v>8878</v>
      </c>
      <c r="F5" s="213">
        <v>5836</v>
      </c>
      <c r="G5" s="212">
        <f>F5*(1+'Revenue Projection'!$C$29)</f>
        <v>6710.572789992927</v>
      </c>
      <c r="H5" s="211">
        <f>G5*(1+'Revenue Projection'!$C$29)</f>
        <v>7716.2075342346561</v>
      </c>
      <c r="I5" s="212">
        <f>H5*(1+'Revenue Projection'!$C$29)</f>
        <v>8872.5449487960068</v>
      </c>
      <c r="J5" s="211">
        <f>I5*(1+'Revenue Projection'!$C$29)</f>
        <v>10202.169073231609</v>
      </c>
      <c r="K5" s="212">
        <f>J5*(1+'Revenue Projection'!$C$29)</f>
        <v>11731.048351908052</v>
      </c>
    </row>
    <row r="6" spans="1:12" x14ac:dyDescent="0.3">
      <c r="A6" s="17" t="s">
        <v>188</v>
      </c>
      <c r="B6" s="211">
        <v>105570</v>
      </c>
      <c r="C6" s="212">
        <v>14032</v>
      </c>
      <c r="D6" s="211">
        <v>16943</v>
      </c>
      <c r="E6" s="212">
        <v>19494</v>
      </c>
      <c r="F6" s="213">
        <v>28449</v>
      </c>
      <c r="G6" s="212">
        <f>F6*(1+'Revenue Projection'!$C$29)</f>
        <v>32712.317563829467</v>
      </c>
      <c r="H6" s="211">
        <f>G6*(1+'Revenue Projection'!$C$29)</f>
        <v>37614.528468375895</v>
      </c>
      <c r="I6" s="212">
        <f>H6*(1+'Revenue Projection'!$C$29)</f>
        <v>43251.376156322411</v>
      </c>
      <c r="J6" s="211">
        <f>I6*(1+'Revenue Projection'!$C$29)</f>
        <v>49732.952015826944</v>
      </c>
      <c r="K6" s="212">
        <f>J6*(1+'Revenue Projection'!$C$29)</f>
        <v>57185.845538627858</v>
      </c>
    </row>
    <row r="7" spans="1:12" ht="43.2" x14ac:dyDescent="0.3">
      <c r="A7" s="28" t="s">
        <v>304</v>
      </c>
      <c r="B7" s="211">
        <v>0</v>
      </c>
      <c r="C7" s="212">
        <v>61467</v>
      </c>
      <c r="D7" s="211">
        <v>45018</v>
      </c>
      <c r="E7" s="212">
        <v>28694</v>
      </c>
      <c r="F7" s="213">
        <v>19493</v>
      </c>
      <c r="G7" s="212">
        <f>F7*(1+'Revenue Projection'!$C$29)</f>
        <v>22414.187010851976</v>
      </c>
      <c r="H7" s="211">
        <f>G7*(1+'Revenue Projection'!$C$29)</f>
        <v>25773.1380165929</v>
      </c>
      <c r="I7" s="212">
        <f>H7*(1+'Revenue Projection'!$C$29)</f>
        <v>29635.455566634781</v>
      </c>
      <c r="J7" s="211">
        <f>I7*(1+'Revenue Projection'!$C$29)</f>
        <v>34076.573294123336</v>
      </c>
      <c r="K7" s="212">
        <f>J7*(1+'Revenue Projection'!$C$29)</f>
        <v>39183.229185014345</v>
      </c>
    </row>
    <row r="8" spans="1:12" x14ac:dyDescent="0.3">
      <c r="A8" s="17" t="s">
        <v>189</v>
      </c>
      <c r="B8" s="211">
        <v>0</v>
      </c>
      <c r="C8" s="212">
        <v>102958</v>
      </c>
      <c r="D8" s="211">
        <v>94657</v>
      </c>
      <c r="E8" s="212">
        <v>94657</v>
      </c>
      <c r="F8" s="213">
        <v>95734</v>
      </c>
      <c r="G8" s="212">
        <f>F8*(1+'Revenue Projection'!$C$29)</f>
        <v>110080.53041075786</v>
      </c>
      <c r="H8" s="211">
        <f>G8*(1+'Revenue Projection'!$C$29)</f>
        <v>126577.00686813238</v>
      </c>
      <c r="I8" s="212">
        <f>H8*(1+'Revenue Projection'!$C$29)</f>
        <v>145545.61654010229</v>
      </c>
      <c r="J8" s="211">
        <f>I8*(1+'Revenue Projection'!$C$29)</f>
        <v>167356.82900218555</v>
      </c>
      <c r="K8" s="212">
        <f>J8*(1+'Revenue Projection'!$C$29)</f>
        <v>192436.63175489471</v>
      </c>
    </row>
    <row r="9" spans="1:12" x14ac:dyDescent="0.3">
      <c r="A9" s="17" t="s">
        <v>190</v>
      </c>
      <c r="B9" s="211">
        <v>0</v>
      </c>
      <c r="C9" s="212">
        <v>0</v>
      </c>
      <c r="D9" s="211">
        <v>0</v>
      </c>
      <c r="E9" s="212">
        <v>314</v>
      </c>
      <c r="F9" s="213">
        <v>0</v>
      </c>
      <c r="G9" s="212">
        <v>0</v>
      </c>
      <c r="H9" s="211">
        <v>0</v>
      </c>
      <c r="I9" s="212">
        <v>0</v>
      </c>
      <c r="J9" s="211"/>
      <c r="K9" s="212">
        <v>0</v>
      </c>
    </row>
    <row r="10" spans="1:12" x14ac:dyDescent="0.3">
      <c r="A10" s="17" t="s">
        <v>191</v>
      </c>
      <c r="B10" s="211">
        <v>1541</v>
      </c>
      <c r="C10" s="212">
        <v>2975</v>
      </c>
      <c r="D10" s="211">
        <v>2682</v>
      </c>
      <c r="E10" s="212">
        <v>2876</v>
      </c>
      <c r="F10" s="213">
        <v>2162</v>
      </c>
      <c r="G10" s="212">
        <f>F10*(1+'Revenue Projection'!$C$29)</f>
        <v>2485.9935524271259</v>
      </c>
      <c r="H10" s="211">
        <f>G10*(1+'Revenue Projection'!$C$29)</f>
        <v>2858.5402140190758</v>
      </c>
      <c r="I10" s="212">
        <f>H10*(1+'Revenue Projection'!$C$29)</f>
        <v>3286.9160691050324</v>
      </c>
      <c r="J10" s="211">
        <f>I10*(1+'Revenue Projection'!$C$29)</f>
        <v>3779.4875833322039</v>
      </c>
      <c r="K10" s="212">
        <f>J10*(1+'Revenue Projection'!$C$29)</f>
        <v>4345.8750063100088</v>
      </c>
    </row>
    <row r="11" spans="1:12" ht="43.2" x14ac:dyDescent="0.3">
      <c r="A11" s="28" t="s">
        <v>305</v>
      </c>
      <c r="B11" s="211">
        <v>0</v>
      </c>
      <c r="C11" s="212">
        <v>0</v>
      </c>
      <c r="D11" s="211">
        <v>0</v>
      </c>
      <c r="E11" s="212">
        <v>0</v>
      </c>
      <c r="F11" s="213">
        <v>1168</v>
      </c>
      <c r="G11" s="212">
        <f>F11*(1+'Revenue Projection'!$C$29)</f>
        <v>1343.0344446044789</v>
      </c>
      <c r="H11" s="211">
        <f>G11*(1+'Revenue Projection'!$C$29)</f>
        <v>1544.2992460565592</v>
      </c>
      <c r="I11" s="212">
        <f>H11*(1+'Revenue Projection'!$C$29)</f>
        <v>1775.7252399235329</v>
      </c>
      <c r="J11" s="211">
        <f>I11*(1+'Revenue Projection'!$C$29)</f>
        <v>2041.8323299408021</v>
      </c>
      <c r="K11" s="212">
        <f>J11*(1+'Revenue Projection'!$C$29)</f>
        <v>2347.8177647410225</v>
      </c>
    </row>
    <row r="12" spans="1:12" s="79" customFormat="1" x14ac:dyDescent="0.3">
      <c r="A12" s="39" t="s">
        <v>192</v>
      </c>
      <c r="B12" s="214">
        <v>109981</v>
      </c>
      <c r="C12" s="215">
        <v>185573</v>
      </c>
      <c r="D12" s="214">
        <v>170869</v>
      </c>
      <c r="E12" s="215">
        <v>157306</v>
      </c>
      <c r="F12" s="216">
        <v>154999</v>
      </c>
      <c r="G12" s="217">
        <f>SUM(G4:G11)</f>
        <v>178226.88003360413</v>
      </c>
      <c r="H12" s="218">
        <f>SUM(H4:H11)</f>
        <v>204935.64969137034</v>
      </c>
      <c r="I12" s="217">
        <f>SUM(I4:I11)</f>
        <v>235646.94902646201</v>
      </c>
      <c r="J12" s="218">
        <f>SUM(J4:J11)</f>
        <v>270960.59016138216</v>
      </c>
      <c r="K12" s="217">
        <f>SUM(K4:K11)</f>
        <v>311566.27201805968</v>
      </c>
      <c r="L12" s="151"/>
    </row>
    <row r="13" spans="1:12" x14ac:dyDescent="0.3">
      <c r="B13" s="211"/>
      <c r="C13" s="212"/>
      <c r="D13" s="211"/>
      <c r="E13" s="212"/>
      <c r="F13" s="213"/>
      <c r="G13" s="212"/>
      <c r="H13" s="211"/>
      <c r="I13" s="212"/>
      <c r="J13" s="211"/>
      <c r="K13" s="212"/>
    </row>
    <row r="14" spans="1:12" s="79" customFormat="1" x14ac:dyDescent="0.3">
      <c r="A14" s="39" t="s">
        <v>193</v>
      </c>
      <c r="B14" s="218"/>
      <c r="C14" s="217"/>
      <c r="D14" s="218"/>
      <c r="E14" s="217"/>
      <c r="F14" s="216"/>
      <c r="G14" s="217"/>
      <c r="H14" s="218"/>
      <c r="I14" s="217"/>
      <c r="J14" s="218"/>
      <c r="K14" s="217"/>
    </row>
    <row r="15" spans="1:12" x14ac:dyDescent="0.3">
      <c r="A15" s="17" t="s">
        <v>194</v>
      </c>
      <c r="B15" s="211">
        <v>15178</v>
      </c>
      <c r="C15" s="212">
        <v>29268</v>
      </c>
      <c r="D15" s="211">
        <v>35307</v>
      </c>
      <c r="E15" s="212">
        <v>23160</v>
      </c>
      <c r="F15" s="213">
        <v>21824</v>
      </c>
      <c r="G15" s="212">
        <f>F15*(1+'Revenue Projection'!$C$29)</f>
        <v>25094.506608774096</v>
      </c>
      <c r="H15" s="211">
        <f>G15*(1+'Revenue Projection'!$C$29)</f>
        <v>28855.125638645841</v>
      </c>
      <c r="I15" s="212">
        <f>H15*(1+'Revenue Projection'!$C$29)</f>
        <v>33179.304482954773</v>
      </c>
      <c r="J15" s="211">
        <f>I15*(1+'Revenue Projection'!$C$29)</f>
        <v>38151.497233414433</v>
      </c>
      <c r="K15" s="212">
        <f>J15*(1+'Revenue Projection'!$C$29)</f>
        <v>43868.814124750053</v>
      </c>
    </row>
    <row r="16" spans="1:12" ht="28.8" x14ac:dyDescent="0.3">
      <c r="A16" s="28" t="s">
        <v>303</v>
      </c>
      <c r="B16" s="211">
        <v>7074</v>
      </c>
      <c r="C16" s="212">
        <v>7768</v>
      </c>
      <c r="D16" s="211">
        <v>5329</v>
      </c>
      <c r="E16" s="212">
        <v>5480</v>
      </c>
      <c r="F16" s="213">
        <v>5311</v>
      </c>
      <c r="G16" s="212">
        <f>F16*(1+'Revenue Projection'!$C$29)</f>
        <v>6106.8972048753312</v>
      </c>
      <c r="H16" s="211">
        <f>G16*(1+'Revenue Projection'!$C$29)</f>
        <v>7022.0661779164257</v>
      </c>
      <c r="I16" s="212">
        <f>H16*(1+'Revenue Projection'!$C$29)</f>
        <v>8074.3807784536666</v>
      </c>
      <c r="J16" s="211">
        <f>I16*(1+'Revenue Projection'!$C$29)</f>
        <v>9284.3934112291099</v>
      </c>
      <c r="K16" s="212">
        <f>J16*(1+'Revenue Projection'!$C$29)</f>
        <v>10675.736428544153</v>
      </c>
    </row>
    <row r="17" spans="1:13" x14ac:dyDescent="0.3">
      <c r="A17" s="17" t="s">
        <v>195</v>
      </c>
      <c r="B17" s="211">
        <v>52758</v>
      </c>
      <c r="C17" s="212">
        <v>56738</v>
      </c>
      <c r="D17" s="211">
        <v>50738</v>
      </c>
      <c r="E17" s="212">
        <v>63340</v>
      </c>
      <c r="F17" s="213">
        <v>75161</v>
      </c>
      <c r="G17" s="212">
        <f>F17*(1+'Revenue Projection'!$C$29)</f>
        <v>86424.496481949682</v>
      </c>
      <c r="H17" s="211">
        <f>G17*(1+'Revenue Projection'!$C$29)</f>
        <v>99375.920918541975</v>
      </c>
      <c r="I17" s="212">
        <f>H17*(1+'Revenue Projection'!$C$29)</f>
        <v>114268.22325162041</v>
      </c>
      <c r="J17" s="211">
        <f>I17*(1+'Revenue Projection'!$C$29)</f>
        <v>131392.26006051424</v>
      </c>
      <c r="K17" s="212">
        <f>J17*(1+'Revenue Projection'!$C$29)</f>
        <v>151082.47518467464</v>
      </c>
    </row>
    <row r="18" spans="1:13" ht="28.8" x14ac:dyDescent="0.3">
      <c r="A18" s="228" t="s">
        <v>302</v>
      </c>
      <c r="B18" s="219">
        <v>7097</v>
      </c>
      <c r="C18" s="220">
        <v>11922</v>
      </c>
      <c r="D18" s="219">
        <v>13352</v>
      </c>
      <c r="E18" s="220">
        <v>15801</v>
      </c>
      <c r="F18" s="221">
        <v>19945</v>
      </c>
      <c r="G18" s="220">
        <f>F18*(1+'Revenue Projection'!$C$29)</f>
        <v>22933.922943181791</v>
      </c>
      <c r="H18" s="219">
        <f>G18*(1+'Revenue Projection'!$C$29)</f>
        <v>26370.760670032596</v>
      </c>
      <c r="I18" s="220">
        <f>H18*(1+'Revenue Projection'!$C$29)</f>
        <v>30322.636909481902</v>
      </c>
      <c r="J18" s="219">
        <f>I18*(1+'Revenue Projection'!$C$29)</f>
        <v>34866.734435504535</v>
      </c>
      <c r="K18" s="220">
        <f>J18*(1+'Revenue Projection'!$C$29)</f>
        <v>40091.802498081925</v>
      </c>
    </row>
    <row r="19" spans="1:13" s="79" customFormat="1" x14ac:dyDescent="0.3">
      <c r="A19" s="39" t="s">
        <v>196</v>
      </c>
      <c r="B19" s="218">
        <v>75010</v>
      </c>
      <c r="C19" s="217">
        <v>93774</v>
      </c>
      <c r="D19" s="218">
        <v>91374</v>
      </c>
      <c r="E19" s="217">
        <v>91981</v>
      </c>
      <c r="F19" s="216">
        <v>102296</v>
      </c>
      <c r="G19" s="217">
        <f>SUM(G15:G18)-G18</f>
        <v>117625.9002955991</v>
      </c>
      <c r="H19" s="218">
        <f t="shared" ref="H19:K19" si="0">SUM(H15:H18)-H18</f>
        <v>135253.11273510422</v>
      </c>
      <c r="I19" s="217">
        <f t="shared" si="0"/>
        <v>155521.90851302884</v>
      </c>
      <c r="J19" s="218">
        <f t="shared" si="0"/>
        <v>178828.15070515778</v>
      </c>
      <c r="K19" s="217">
        <f t="shared" si="0"/>
        <v>205627.02573796886</v>
      </c>
      <c r="L19" s="151"/>
    </row>
    <row r="20" spans="1:13" x14ac:dyDescent="0.3">
      <c r="B20" s="211"/>
      <c r="C20" s="212"/>
      <c r="D20" s="211"/>
      <c r="E20" s="212"/>
      <c r="F20" s="213"/>
      <c r="G20" s="212"/>
      <c r="H20" s="211"/>
      <c r="I20" s="212"/>
      <c r="J20" s="211"/>
      <c r="K20" s="212"/>
    </row>
    <row r="21" spans="1:13" s="59" customFormat="1" x14ac:dyDescent="0.3">
      <c r="A21" s="61" t="s">
        <v>197</v>
      </c>
      <c r="B21" s="222">
        <v>184991</v>
      </c>
      <c r="C21" s="223">
        <v>279347</v>
      </c>
      <c r="D21" s="222">
        <v>262243</v>
      </c>
      <c r="E21" s="223">
        <v>249287</v>
      </c>
      <c r="F21" s="224">
        <v>257295</v>
      </c>
      <c r="G21" s="223">
        <f>G12+G19</f>
        <v>295852.78032920323</v>
      </c>
      <c r="H21" s="222">
        <f>H12+H19</f>
        <v>340188.7624264746</v>
      </c>
      <c r="I21" s="223">
        <f>I12+I19</f>
        <v>391168.85753949085</v>
      </c>
      <c r="J21" s="222">
        <f>J12+J19</f>
        <v>449788.74086653994</v>
      </c>
      <c r="K21" s="223">
        <f>K12+K19</f>
        <v>517193.29775602854</v>
      </c>
    </row>
    <row r="22" spans="1:13" x14ac:dyDescent="0.3">
      <c r="B22" s="211"/>
      <c r="C22" s="212"/>
      <c r="D22" s="211"/>
      <c r="E22" s="212"/>
      <c r="F22" s="213"/>
      <c r="G22" s="212"/>
      <c r="H22" s="211"/>
      <c r="I22" s="212"/>
      <c r="J22" s="211"/>
      <c r="K22" s="212"/>
    </row>
    <row r="23" spans="1:13" x14ac:dyDescent="0.3">
      <c r="B23" s="211"/>
      <c r="C23" s="212"/>
      <c r="D23" s="211"/>
      <c r="E23" s="212"/>
      <c r="F23" s="213"/>
      <c r="G23" s="212"/>
      <c r="H23" s="211"/>
      <c r="I23" s="212"/>
      <c r="J23" s="211"/>
      <c r="K23" s="212"/>
    </row>
    <row r="24" spans="1:13" s="79" customFormat="1" x14ac:dyDescent="0.3">
      <c r="A24" s="39" t="s">
        <v>198</v>
      </c>
      <c r="B24" s="218"/>
      <c r="C24" s="212"/>
      <c r="D24" s="218"/>
      <c r="E24" s="217"/>
      <c r="F24" s="216"/>
      <c r="G24" s="217"/>
      <c r="H24" s="218"/>
      <c r="I24" s="217"/>
      <c r="J24" s="218"/>
      <c r="K24" s="217"/>
    </row>
    <row r="25" spans="1:13" x14ac:dyDescent="0.3">
      <c r="A25" s="17" t="s">
        <v>199</v>
      </c>
      <c r="B25" s="211">
        <v>1196</v>
      </c>
      <c r="C25" s="212">
        <v>1220</v>
      </c>
      <c r="D25" s="211">
        <v>1220</v>
      </c>
      <c r="E25" s="212">
        <v>1220</v>
      </c>
      <c r="F25" s="213">
        <v>1220</v>
      </c>
      <c r="G25" s="220">
        <f>F25</f>
        <v>1220</v>
      </c>
      <c r="H25" s="225">
        <f t="shared" ref="H25:K25" si="1">G25</f>
        <v>1220</v>
      </c>
      <c r="I25" s="220">
        <f t="shared" si="1"/>
        <v>1220</v>
      </c>
      <c r="J25" s="225">
        <f t="shared" si="1"/>
        <v>1220</v>
      </c>
      <c r="K25" s="220">
        <f t="shared" si="1"/>
        <v>1220</v>
      </c>
    </row>
    <row r="26" spans="1:13" x14ac:dyDescent="0.3">
      <c r="A26" s="17" t="s">
        <v>200</v>
      </c>
      <c r="B26" s="211">
        <v>0</v>
      </c>
      <c r="C26" s="212">
        <v>40409</v>
      </c>
      <c r="D26" s="211">
        <v>40615</v>
      </c>
      <c r="E26" s="212">
        <v>36115</v>
      </c>
      <c r="F26" s="213">
        <v>26776</v>
      </c>
      <c r="G26" s="212">
        <f>F26*(1+'Revenue Projection'!$C$29)</f>
        <v>30788.604699254731</v>
      </c>
      <c r="H26" s="211">
        <f>G26*(1+'Revenue Projection'!$C$29)</f>
        <v>35402.531346241805</v>
      </c>
      <c r="I26" s="212">
        <f>H26*(1+'Revenue Projection'!$C$29)</f>
        <v>40707.893000164826</v>
      </c>
      <c r="J26" s="211">
        <f>I26*(1+'Revenue Projection'!$C$29)</f>
        <v>46808.306906245649</v>
      </c>
      <c r="K26" s="212">
        <f>J26*(1+'Revenue Projection'!$C$29)</f>
        <v>53822.918209508236</v>
      </c>
    </row>
    <row r="27" spans="1:13" x14ac:dyDescent="0.3">
      <c r="A27" s="17" t="s">
        <v>201</v>
      </c>
      <c r="B27" s="211">
        <v>36588</v>
      </c>
      <c r="C27" s="212">
        <v>0</v>
      </c>
      <c r="D27" s="211">
        <v>0</v>
      </c>
      <c r="E27" s="212">
        <v>0</v>
      </c>
      <c r="F27" s="213">
        <v>0</v>
      </c>
      <c r="G27" s="212">
        <v>0</v>
      </c>
      <c r="H27" s="211">
        <v>0</v>
      </c>
      <c r="I27" s="212">
        <v>0</v>
      </c>
      <c r="J27" s="211">
        <v>0</v>
      </c>
      <c r="K27" s="212">
        <v>0</v>
      </c>
    </row>
    <row r="28" spans="1:13" x14ac:dyDescent="0.3">
      <c r="A28" s="17" t="s">
        <v>202</v>
      </c>
      <c r="B28" s="211">
        <v>0</v>
      </c>
      <c r="C28" s="212">
        <v>485</v>
      </c>
      <c r="D28" s="211">
        <v>830</v>
      </c>
      <c r="E28" s="212">
        <v>421</v>
      </c>
      <c r="F28" s="213">
        <v>623</v>
      </c>
      <c r="G28" s="212">
        <f>F28*(1+'Revenue Projection'!$C$29)</f>
        <v>716.36169433954649</v>
      </c>
      <c r="H28" s="211">
        <f>G28*(1+'Revenue Projection'!$C$29)</f>
        <v>823.71440949763382</v>
      </c>
      <c r="I28" s="212">
        <f>H28*(1+'Revenue Projection'!$C$29)</f>
        <v>947.15481547291176</v>
      </c>
      <c r="J28" s="211">
        <f>I28*(1+'Revenue Projection'!$C$29)</f>
        <v>1089.0937855763011</v>
      </c>
      <c r="K28" s="212">
        <f>J28*(1+'Revenue Projection'!$C$29)</f>
        <v>1252.3034823918297</v>
      </c>
    </row>
    <row r="29" spans="1:13" ht="28.8" x14ac:dyDescent="0.3">
      <c r="A29" s="28" t="s">
        <v>306</v>
      </c>
      <c r="B29" s="211">
        <v>21122</v>
      </c>
      <c r="C29" s="212">
        <v>52116</v>
      </c>
      <c r="D29" s="211">
        <v>50683</v>
      </c>
      <c r="E29" s="212">
        <v>55075</v>
      </c>
      <c r="F29" s="213">
        <v>49368</v>
      </c>
      <c r="G29" s="212">
        <f>F29*(1+'Revenue Projection'!$C$29)</f>
        <v>56766.202449686571</v>
      </c>
      <c r="H29" s="211">
        <f>G29*(1+'Revenue Projection'!$C$29)</f>
        <v>65273.086626130316</v>
      </c>
      <c r="I29" s="212">
        <f>H29*(1+'Revenue Projection'!$C$29)</f>
        <v>75054.797640877543</v>
      </c>
      <c r="J29" s="211">
        <f>I29*(1+'Revenue Projection'!$C$29)</f>
        <v>86302.378822360886</v>
      </c>
      <c r="K29" s="212">
        <f>J29*(1+'Revenue Projection'!$C$29)</f>
        <v>99235.502919293489</v>
      </c>
    </row>
    <row r="30" spans="1:13" s="79" customFormat="1" ht="43.2" x14ac:dyDescent="0.3">
      <c r="A30" s="229" t="s">
        <v>307</v>
      </c>
      <c r="B30" s="218">
        <v>58906</v>
      </c>
      <c r="C30" s="217">
        <v>94230</v>
      </c>
      <c r="D30" s="218">
        <v>93348</v>
      </c>
      <c r="E30" s="217">
        <v>92831</v>
      </c>
      <c r="F30" s="216">
        <v>77987</v>
      </c>
      <c r="G30" s="217">
        <f>SUM(G25:G29)</f>
        <v>89491.168843280844</v>
      </c>
      <c r="H30" s="218">
        <f>SUM(H25:H29)</f>
        <v>102719.33238186975</v>
      </c>
      <c r="I30" s="217">
        <f>SUM(I25:I29)</f>
        <v>117929.84545651528</v>
      </c>
      <c r="J30" s="218">
        <f>SUM(J25:J29)</f>
        <v>135419.77951418282</v>
      </c>
      <c r="K30" s="217">
        <f>SUM(K25:K29)</f>
        <v>155530.72461119355</v>
      </c>
      <c r="M30" s="151"/>
    </row>
    <row r="31" spans="1:13" x14ac:dyDescent="0.3">
      <c r="B31" s="211"/>
      <c r="C31" s="212"/>
      <c r="D31" s="211"/>
      <c r="E31" s="212"/>
      <c r="F31" s="213"/>
      <c r="G31" s="212"/>
      <c r="H31" s="211"/>
      <c r="I31" s="212"/>
      <c r="J31" s="211"/>
      <c r="K31" s="212"/>
    </row>
    <row r="32" spans="1:13" x14ac:dyDescent="0.3">
      <c r="A32" s="17" t="s">
        <v>203</v>
      </c>
      <c r="B32" s="211">
        <v>0</v>
      </c>
      <c r="C32" s="212">
        <v>5700</v>
      </c>
      <c r="D32" s="211">
        <v>4804</v>
      </c>
      <c r="E32" s="212">
        <v>5350</v>
      </c>
      <c r="F32" s="213">
        <v>6164</v>
      </c>
      <c r="G32" s="212">
        <f>F32*(1+'Revenue Projection'!$C$29)</f>
        <v>7087.7262984092531</v>
      </c>
      <c r="H32" s="211">
        <f>G32*(1+'Revenue Projection'!$C$29)</f>
        <v>8149.8806101820464</v>
      </c>
      <c r="I32" s="212">
        <f>H32*(1+'Revenue Projection'!$C$29)</f>
        <v>9371.2075161717949</v>
      </c>
      <c r="J32" s="211">
        <f>I32*(1+'Revenue Projection'!$C$29)</f>
        <v>10775.560343968411</v>
      </c>
      <c r="K32" s="212">
        <f>J32*(1+'Revenue Projection'!$C$29)</f>
        <v>12390.367039266834</v>
      </c>
    </row>
    <row r="33" spans="1:14" s="79" customFormat="1" x14ac:dyDescent="0.3">
      <c r="A33" s="39" t="s">
        <v>204</v>
      </c>
      <c r="B33" s="218">
        <v>58906</v>
      </c>
      <c r="C33" s="217">
        <v>99930</v>
      </c>
      <c r="D33" s="218">
        <v>98152</v>
      </c>
      <c r="E33" s="217">
        <v>98181</v>
      </c>
      <c r="F33" s="216">
        <v>84151</v>
      </c>
      <c r="G33" s="217">
        <f>G30+G32</f>
        <v>96578.895141690096</v>
      </c>
      <c r="H33" s="218">
        <f>H30+H32</f>
        <v>110869.21299205181</v>
      </c>
      <c r="I33" s="217">
        <f>I30+I32</f>
        <v>127301.05297268707</v>
      </c>
      <c r="J33" s="218">
        <f>J30+J32</f>
        <v>146195.33985815124</v>
      </c>
      <c r="K33" s="217">
        <f>K30+K32</f>
        <v>167921.09165046038</v>
      </c>
    </row>
    <row r="34" spans="1:14" x14ac:dyDescent="0.3">
      <c r="B34" s="211"/>
      <c r="C34" s="212"/>
      <c r="D34" s="211"/>
      <c r="E34" s="212"/>
      <c r="F34" s="213"/>
      <c r="G34" s="212"/>
      <c r="H34" s="211"/>
      <c r="I34" s="212"/>
      <c r="J34" s="211"/>
      <c r="K34" s="212"/>
    </row>
    <row r="35" spans="1:14" s="79" customFormat="1" x14ac:dyDescent="0.3">
      <c r="A35" s="39" t="s">
        <v>205</v>
      </c>
      <c r="B35" s="218"/>
      <c r="C35" s="212"/>
      <c r="D35" s="218"/>
      <c r="E35" s="217"/>
      <c r="F35" s="216"/>
      <c r="G35" s="217"/>
      <c r="H35" s="218"/>
      <c r="I35" s="217"/>
      <c r="J35" s="218"/>
      <c r="K35" s="217"/>
    </row>
    <row r="36" spans="1:14" x14ac:dyDescent="0.3">
      <c r="A36" s="39" t="s">
        <v>206</v>
      </c>
      <c r="B36" s="211"/>
      <c r="C36" s="212"/>
      <c r="D36" s="211"/>
      <c r="E36" s="212"/>
      <c r="F36" s="213"/>
      <c r="G36" s="212"/>
      <c r="H36" s="211"/>
      <c r="I36" s="212"/>
      <c r="J36" s="211"/>
      <c r="K36" s="212"/>
    </row>
    <row r="37" spans="1:14" x14ac:dyDescent="0.3">
      <c r="A37" s="17" t="s">
        <v>207</v>
      </c>
      <c r="B37" s="211">
        <v>0</v>
      </c>
      <c r="C37" s="212">
        <v>69642</v>
      </c>
      <c r="D37" s="211">
        <v>39924</v>
      </c>
      <c r="E37" s="212">
        <v>0</v>
      </c>
      <c r="F37" s="213">
        <v>0</v>
      </c>
      <c r="G37" s="212">
        <v>0</v>
      </c>
      <c r="H37" s="211">
        <v>0</v>
      </c>
      <c r="I37" s="212">
        <v>0</v>
      </c>
      <c r="J37" s="211">
        <v>0</v>
      </c>
      <c r="K37" s="212">
        <v>0</v>
      </c>
    </row>
    <row r="38" spans="1:14" ht="28.8" x14ac:dyDescent="0.3">
      <c r="A38" s="28" t="s">
        <v>301</v>
      </c>
      <c r="B38" s="211">
        <v>20015</v>
      </c>
      <c r="C38" s="212"/>
      <c r="D38" s="211">
        <v>0</v>
      </c>
      <c r="E38" s="212">
        <v>48860</v>
      </c>
      <c r="F38" s="213">
        <v>67815</v>
      </c>
      <c r="G38" s="212">
        <f>$F$38*(1+'Revenue Projection'!$C$29)^1+183</f>
        <v>78160.637723332824</v>
      </c>
      <c r="H38" s="211">
        <f>F38*(1+'Revenue Projection'!$C$29)^2+393</f>
        <v>90056.230626134886</v>
      </c>
      <c r="I38" s="212">
        <f>F38*(1+'Revenue Projection'!$C$29)^3+635</f>
        <v>103735.00611764927</v>
      </c>
      <c r="J38" s="211">
        <f>F38*(1+'Revenue Projection'!$C$29)^4+913</f>
        <v>119463.39336895161</v>
      </c>
      <c r="K38" s="212">
        <f>F38*(1+'Revenue Projection'!$C$29)^5+1232</f>
        <v>137548.14872937708</v>
      </c>
    </row>
    <row r="39" spans="1:14" x14ac:dyDescent="0.3">
      <c r="A39" s="17" t="s">
        <v>208</v>
      </c>
      <c r="B39" s="211">
        <v>942</v>
      </c>
      <c r="C39" s="212">
        <v>961</v>
      </c>
      <c r="D39" s="211">
        <v>0</v>
      </c>
      <c r="E39" s="212">
        <v>0</v>
      </c>
      <c r="F39" s="213">
        <v>0</v>
      </c>
      <c r="G39" s="212"/>
      <c r="H39" s="211">
        <f t="shared" ref="H39:J55" si="2">G39*1.115</f>
        <v>0</v>
      </c>
      <c r="I39" s="212">
        <f t="shared" si="2"/>
        <v>0</v>
      </c>
      <c r="J39" s="211">
        <f t="shared" si="2"/>
        <v>0</v>
      </c>
      <c r="K39" s="212">
        <f t="shared" ref="K39" si="3">J39*1.115</f>
        <v>0</v>
      </c>
    </row>
    <row r="40" spans="1:14" x14ac:dyDescent="0.3">
      <c r="A40" s="17" t="s">
        <v>209</v>
      </c>
      <c r="B40" s="211">
        <v>0</v>
      </c>
      <c r="C40" s="212">
        <v>0</v>
      </c>
      <c r="D40" s="211">
        <v>0</v>
      </c>
      <c r="E40" s="212">
        <v>5300</v>
      </c>
      <c r="F40" s="213">
        <v>3029</v>
      </c>
      <c r="G40" s="212">
        <f>F40*(1+'Revenue Projection'!$C$29)</f>
        <v>3482.9206615641838</v>
      </c>
      <c r="H40" s="211">
        <f>G40*(1+'Revenue Projection'!$C$29)</f>
        <v>4004.8650824531828</v>
      </c>
      <c r="I40" s="212">
        <f>H40*(1+'Revenue Projection'!$C$29)</f>
        <v>4605.0271846989563</v>
      </c>
      <c r="J40" s="211">
        <f>I40*(1+'Revenue Projection'!$C$29)</f>
        <v>5295.1285337249055</v>
      </c>
      <c r="K40" s="212">
        <f>J40*(1+'Revenue Projection'!$C$29)</f>
        <v>6088.6472683223947</v>
      </c>
    </row>
    <row r="41" spans="1:14" x14ac:dyDescent="0.3">
      <c r="A41" s="17" t="s">
        <v>210</v>
      </c>
      <c r="B41" s="211">
        <v>0</v>
      </c>
      <c r="C41" s="212">
        <v>0</v>
      </c>
      <c r="D41" s="211">
        <v>4169</v>
      </c>
      <c r="E41" s="212">
        <v>0</v>
      </c>
      <c r="F41" s="213">
        <v>848</v>
      </c>
      <c r="G41" s="212">
        <f>F41*(1+'Revenue Projection'!$C$29)</f>
        <v>975.0798022470874</v>
      </c>
      <c r="H41" s="211">
        <f>G41*(1+'Revenue Projection'!$C$29)</f>
        <v>1121.203562205447</v>
      </c>
      <c r="I41" s="212">
        <f>H41*(1+'Revenue Projection'!$C$29)</f>
        <v>1289.2251741910582</v>
      </c>
      <c r="J41" s="211">
        <f>I41*(1+'Revenue Projection'!$C$29)</f>
        <v>1482.4262121488016</v>
      </c>
      <c r="K41" s="212">
        <f>J41*(1+'Revenue Projection'!$C$29)</f>
        <v>1704.5800209763588</v>
      </c>
    </row>
    <row r="42" spans="1:14" x14ac:dyDescent="0.3">
      <c r="A42" s="17" t="s">
        <v>211</v>
      </c>
      <c r="B42" s="211">
        <v>0</v>
      </c>
      <c r="C42" s="212">
        <v>2765</v>
      </c>
      <c r="D42" s="211">
        <v>2088</v>
      </c>
      <c r="E42" s="212">
        <v>1435</v>
      </c>
      <c r="F42" s="213">
        <v>1091</v>
      </c>
      <c r="G42" s="212">
        <f>F42*(1+'Revenue Projection'!$C$29)</f>
        <v>1254.4953587872315</v>
      </c>
      <c r="H42" s="211">
        <f>G42*(1+'Revenue Projection'!$C$29)</f>
        <v>1442.4918471298852</v>
      </c>
      <c r="I42" s="212">
        <f>H42*(1+'Revenue Projection'!$C$29)</f>
        <v>1658.6611616066559</v>
      </c>
      <c r="J42" s="211">
        <f>I42*(1+'Revenue Projection'!$C$29)</f>
        <v>1907.2252328471018</v>
      </c>
      <c r="K42" s="212">
        <f>J42*(1+'Revenue Projection'!$C$29)</f>
        <v>2193.0386826476501</v>
      </c>
    </row>
    <row r="43" spans="1:14" s="79" customFormat="1" x14ac:dyDescent="0.3">
      <c r="A43" s="39" t="s">
        <v>212</v>
      </c>
      <c r="B43" s="218">
        <v>20957</v>
      </c>
      <c r="C43" s="217">
        <v>73368</v>
      </c>
      <c r="D43" s="218">
        <v>46181</v>
      </c>
      <c r="E43" s="217">
        <v>55595</v>
      </c>
      <c r="F43" s="216">
        <v>72783</v>
      </c>
      <c r="G43" s="217">
        <f>SUM(G37:G42)</f>
        <v>83873.133545931327</v>
      </c>
      <c r="H43" s="218">
        <f>SUM(H37:H42)</f>
        <v>96624.791117923407</v>
      </c>
      <c r="I43" s="217">
        <f>SUM(I37:I42)</f>
        <v>111287.91963814593</v>
      </c>
      <c r="J43" s="218">
        <f>SUM(J37:J42)</f>
        <v>128148.17334767242</v>
      </c>
      <c r="K43" s="217">
        <f>SUM(K37:K42)</f>
        <v>147534.41470132349</v>
      </c>
    </row>
    <row r="44" spans="1:14" x14ac:dyDescent="0.3">
      <c r="B44" s="211"/>
      <c r="C44" s="212"/>
      <c r="D44" s="211"/>
      <c r="E44" s="226"/>
      <c r="F44" s="213"/>
      <c r="G44" s="226"/>
      <c r="H44" s="211"/>
      <c r="I44" s="226"/>
      <c r="J44" s="211"/>
      <c r="K44" s="226"/>
    </row>
    <row r="45" spans="1:14" x14ac:dyDescent="0.3">
      <c r="A45" s="39" t="s">
        <v>213</v>
      </c>
      <c r="B45" s="211"/>
      <c r="C45" s="212"/>
      <c r="D45" s="211"/>
      <c r="E45" s="212"/>
      <c r="F45" s="213"/>
      <c r="G45" s="212"/>
      <c r="H45" s="211"/>
      <c r="I45" s="212"/>
      <c r="J45" s="211"/>
      <c r="K45" s="212"/>
      <c r="N45" s="152">
        <f>F56+F33</f>
        <v>257295</v>
      </c>
    </row>
    <row r="46" spans="1:14" x14ac:dyDescent="0.3">
      <c r="A46" s="17" t="s">
        <v>214</v>
      </c>
      <c r="B46" s="211">
        <v>14818</v>
      </c>
      <c r="C46" s="212">
        <v>18022</v>
      </c>
      <c r="D46" s="211">
        <v>21344</v>
      </c>
      <c r="E46" s="212">
        <v>20287</v>
      </c>
      <c r="F46" s="213">
        <v>23437</v>
      </c>
      <c r="G46" s="212">
        <f>F46*(1+'Revenue Projection'!$C$29)</f>
        <v>26949.227977906823</v>
      </c>
      <c r="H46" s="211">
        <f>G46*(1+'Revenue Projection'!$C$29)</f>
        <v>30987.792320057852</v>
      </c>
      <c r="I46" s="212">
        <f>H46*(1+'Revenue Projection'!$C$29)</f>
        <v>35631.568876787525</v>
      </c>
      <c r="J46" s="211">
        <f>I46*(1+'Revenue Projection'!$C$29)</f>
        <v>40971.253695909734</v>
      </c>
      <c r="K46" s="212">
        <f>J46*(1+'Revenue Projection'!$C$29)</f>
        <v>47111.134376913811</v>
      </c>
    </row>
    <row r="47" spans="1:14" x14ac:dyDescent="0.3">
      <c r="A47" s="17" t="s">
        <v>215</v>
      </c>
      <c r="B47" s="211">
        <v>7097</v>
      </c>
      <c r="C47" s="212">
        <v>11922</v>
      </c>
      <c r="D47" s="211">
        <v>13352</v>
      </c>
      <c r="E47" s="212">
        <v>15801</v>
      </c>
      <c r="F47" s="213">
        <v>19945</v>
      </c>
      <c r="G47" s="212">
        <f>F47*(1+'Revenue Projection'!$C$29)</f>
        <v>22933.922943181791</v>
      </c>
      <c r="H47" s="211">
        <f>G47*(1+'Revenue Projection'!$C$29)</f>
        <v>26370.760670032596</v>
      </c>
      <c r="I47" s="212">
        <f>H47*(1+'Revenue Projection'!$C$29)</f>
        <v>30322.636909481902</v>
      </c>
      <c r="J47" s="211">
        <f>I47*(1+'Revenue Projection'!$C$29)</f>
        <v>34866.734435504535</v>
      </c>
      <c r="K47" s="212">
        <f>J47*(1+'Revenue Projection'!$C$29)</f>
        <v>40091.802498081925</v>
      </c>
    </row>
    <row r="48" spans="1:14" x14ac:dyDescent="0.3">
      <c r="A48" s="17" t="s">
        <v>216</v>
      </c>
      <c r="B48" s="211">
        <v>5886</v>
      </c>
      <c r="C48" s="212">
        <v>5111</v>
      </c>
      <c r="D48" s="211">
        <v>4997</v>
      </c>
      <c r="E48" s="212">
        <v>5948</v>
      </c>
      <c r="F48" s="213">
        <v>4334</v>
      </c>
      <c r="G48" s="212">
        <f>F48*(1+'Revenue Projection'!$C$29)</f>
        <v>4983.4856874279203</v>
      </c>
      <c r="H48" s="211">
        <f>G48*(1+'Revenue Projection'!$C$29)</f>
        <v>5730.3021681584987</v>
      </c>
      <c r="I48" s="212">
        <f>H48*(1+'Revenue Projection'!$C$29)</f>
        <v>6589.0352652642041</v>
      </c>
      <c r="J48" s="211">
        <f>I48*(1+'Revenue Projection'!$C$29)</f>
        <v>7576.4566078454072</v>
      </c>
      <c r="K48" s="212">
        <f>J48*(1+'Revenue Projection'!$C$29)</f>
        <v>8711.8511921126628</v>
      </c>
    </row>
    <row r="49" spans="1:16" ht="28.8" x14ac:dyDescent="0.3">
      <c r="A49" s="28" t="s">
        <v>299</v>
      </c>
      <c r="B49" s="211">
        <v>27302</v>
      </c>
      <c r="C49" s="212">
        <v>31994</v>
      </c>
      <c r="D49" s="211">
        <v>35811</v>
      </c>
      <c r="E49" s="212">
        <v>45082</v>
      </c>
      <c r="F49" s="213">
        <v>49696</v>
      </c>
      <c r="G49" s="212">
        <f>F49*(1+'Revenue Projection'!$C$29)</f>
        <v>57143.355958102897</v>
      </c>
      <c r="H49" s="211">
        <f>G49*(1+'Revenue Projection'!$C$29)</f>
        <v>65706.759702077703</v>
      </c>
      <c r="I49" s="212">
        <f>H49*(1+'Revenue Projection'!$C$29)</f>
        <v>75553.460208253324</v>
      </c>
      <c r="J49" s="211">
        <f>I49*(1+'Revenue Projection'!$C$29)</f>
        <v>86875.770093097686</v>
      </c>
      <c r="K49" s="212">
        <f>J49*(1+'Revenue Projection'!$C$29)</f>
        <v>99894.821606652258</v>
      </c>
      <c r="M49" s="152">
        <f>E33+E56</f>
        <v>249287</v>
      </c>
      <c r="P49" s="148"/>
    </row>
    <row r="50" spans="1:16" ht="28.8" x14ac:dyDescent="0.3">
      <c r="A50" s="28" t="s">
        <v>298</v>
      </c>
      <c r="B50" s="211">
        <v>0</v>
      </c>
      <c r="C50" s="212">
        <v>0</v>
      </c>
      <c r="D50" s="211">
        <v>0</v>
      </c>
      <c r="E50" s="212">
        <v>0</v>
      </c>
      <c r="F50" s="213">
        <v>0</v>
      </c>
      <c r="G50" s="212">
        <v>0</v>
      </c>
      <c r="H50" s="211">
        <f t="shared" si="2"/>
        <v>0</v>
      </c>
      <c r="I50" s="212">
        <f t="shared" si="2"/>
        <v>0</v>
      </c>
      <c r="J50" s="211">
        <f t="shared" si="2"/>
        <v>0</v>
      </c>
      <c r="K50" s="212">
        <f t="shared" ref="K50" si="4">J50*1.115</f>
        <v>0</v>
      </c>
      <c r="M50" s="152"/>
      <c r="P50" s="148"/>
    </row>
    <row r="51" spans="1:16" x14ac:dyDescent="0.3">
      <c r="A51" s="17" t="s">
        <v>217</v>
      </c>
      <c r="B51" s="211">
        <v>0</v>
      </c>
      <c r="C51" s="212">
        <v>30000</v>
      </c>
      <c r="D51" s="211">
        <v>30000</v>
      </c>
      <c r="E51" s="212">
        <v>3093</v>
      </c>
      <c r="F51" s="213">
        <v>2949</v>
      </c>
      <c r="G51" s="212">
        <f>F51*(1+'Revenue Projection'!$C$29)</f>
        <v>3390.9320009748358</v>
      </c>
      <c r="H51" s="211">
        <f>G51*(1+'Revenue Projection'!$C$29)</f>
        <v>3899.0911614904048</v>
      </c>
      <c r="I51" s="212">
        <f>H51*(1+'Revenue Projection'!$C$29)</f>
        <v>4483.4021682658376</v>
      </c>
      <c r="J51" s="211">
        <f>I51*(1+'Revenue Projection'!$C$29)</f>
        <v>5155.2770042769052</v>
      </c>
      <c r="K51" s="212">
        <f>J51*(1+'Revenue Projection'!$C$29)</f>
        <v>5927.8378323812285</v>
      </c>
    </row>
    <row r="52" spans="1:16" ht="28.8" x14ac:dyDescent="0.3">
      <c r="A52" s="28" t="s">
        <v>297</v>
      </c>
      <c r="B52" s="211">
        <v>13644</v>
      </c>
      <c r="C52" s="212">
        <v>0</v>
      </c>
      <c r="D52" s="211">
        <v>3406</v>
      </c>
      <c r="E52" s="212">
        <v>0</v>
      </c>
      <c r="F52" s="213">
        <v>0</v>
      </c>
      <c r="G52" s="212">
        <v>0</v>
      </c>
      <c r="H52" s="211">
        <f t="shared" si="2"/>
        <v>0</v>
      </c>
      <c r="I52" s="212">
        <f t="shared" si="2"/>
        <v>0</v>
      </c>
      <c r="J52" s="211">
        <f t="shared" si="2"/>
        <v>0</v>
      </c>
      <c r="K52" s="212">
        <f t="shared" ref="K52" si="5">J52*1.115</f>
        <v>0</v>
      </c>
      <c r="L52" s="152"/>
      <c r="N52" s="152"/>
    </row>
    <row r="53" spans="1:16" ht="28.8" x14ac:dyDescent="0.3">
      <c r="A53" s="28" t="s">
        <v>300</v>
      </c>
      <c r="B53" s="211">
        <v>36381</v>
      </c>
      <c r="C53" s="212">
        <v>9000</v>
      </c>
      <c r="D53" s="211">
        <v>9000</v>
      </c>
      <c r="E53" s="212">
        <v>5300</v>
      </c>
      <c r="F53" s="213">
        <v>0</v>
      </c>
      <c r="G53" s="212">
        <v>0</v>
      </c>
      <c r="H53" s="211">
        <f t="shared" si="2"/>
        <v>0</v>
      </c>
      <c r="I53" s="212">
        <f t="shared" si="2"/>
        <v>0</v>
      </c>
      <c r="J53" s="211">
        <f t="shared" si="2"/>
        <v>0</v>
      </c>
      <c r="K53" s="212">
        <f t="shared" ref="K53" si="6">J53*1.115</f>
        <v>0</v>
      </c>
      <c r="M53" s="152"/>
    </row>
    <row r="54" spans="1:16" s="79" customFormat="1" x14ac:dyDescent="0.3">
      <c r="A54" s="39" t="s">
        <v>218</v>
      </c>
      <c r="B54" s="218">
        <v>105128</v>
      </c>
      <c r="C54" s="217">
        <v>106049</v>
      </c>
      <c r="D54" s="218">
        <v>117918</v>
      </c>
      <c r="E54" s="217">
        <v>95511</v>
      </c>
      <c r="F54" s="216">
        <v>100361</v>
      </c>
      <c r="G54" s="217">
        <f>SUM(G46:G53)</f>
        <v>115400.92456759427</v>
      </c>
      <c r="H54" s="218">
        <f>SUM(H46:H53)</f>
        <v>132694.70602181708</v>
      </c>
      <c r="I54" s="217">
        <f>SUM(I46:I53)</f>
        <v>152580.1034280528</v>
      </c>
      <c r="J54" s="218">
        <f>SUM(J46:J53)</f>
        <v>175445.49183663426</v>
      </c>
      <c r="K54" s="217">
        <f>SUM(K46:K53)</f>
        <v>201737.44750614188</v>
      </c>
      <c r="M54" s="130"/>
      <c r="N54" s="151"/>
    </row>
    <row r="55" spans="1:16" x14ac:dyDescent="0.3">
      <c r="B55" s="211"/>
      <c r="C55" s="212"/>
      <c r="D55" s="211"/>
      <c r="E55" s="212"/>
      <c r="F55" s="213"/>
      <c r="G55" s="212"/>
      <c r="H55" s="211">
        <f t="shared" si="2"/>
        <v>0</v>
      </c>
      <c r="I55" s="212">
        <f t="shared" si="2"/>
        <v>0</v>
      </c>
      <c r="J55" s="211">
        <f t="shared" si="2"/>
        <v>0</v>
      </c>
      <c r="K55" s="212">
        <f t="shared" ref="K55" si="7">J55*1.115</f>
        <v>0</v>
      </c>
    </row>
    <row r="56" spans="1:16" s="59" customFormat="1" x14ac:dyDescent="0.3">
      <c r="A56" s="61" t="s">
        <v>219</v>
      </c>
      <c r="B56" s="222">
        <v>126085</v>
      </c>
      <c r="C56" s="223">
        <v>179049</v>
      </c>
      <c r="D56" s="222">
        <v>164091</v>
      </c>
      <c r="E56" s="223">
        <v>151106</v>
      </c>
      <c r="F56" s="224">
        <v>173144</v>
      </c>
      <c r="G56" s="223">
        <f>G54+G43</f>
        <v>199274.05811352559</v>
      </c>
      <c r="H56" s="222">
        <f>H54+H43</f>
        <v>229319.4971397405</v>
      </c>
      <c r="I56" s="223">
        <f>I54+I43</f>
        <v>263868.02306619874</v>
      </c>
      <c r="J56" s="222">
        <f>J54+J43</f>
        <v>303593.66518430668</v>
      </c>
      <c r="K56" s="223">
        <f>K54+K43</f>
        <v>349271.86220746534</v>
      </c>
    </row>
    <row r="57" spans="1:16" x14ac:dyDescent="0.3">
      <c r="A57" s="17" t="s">
        <v>220</v>
      </c>
      <c r="B57" s="227">
        <f>B56/B33</f>
        <v>2.1404440973754797</v>
      </c>
      <c r="C57" s="226">
        <f t="shared" ref="C57:K57" si="8">C56/C33</f>
        <v>1.7917442209546683</v>
      </c>
      <c r="D57" s="227">
        <f t="shared" si="8"/>
        <v>1.6718049555791017</v>
      </c>
      <c r="E57" s="226">
        <f t="shared" si="8"/>
        <v>1.5390554180544098</v>
      </c>
      <c r="F57" s="227">
        <f t="shared" si="8"/>
        <v>2.0575394231797604</v>
      </c>
      <c r="G57" s="226">
        <f t="shared" si="8"/>
        <v>2.0633292379372561</v>
      </c>
      <c r="H57" s="227">
        <f t="shared" si="8"/>
        <v>2.0683785060887949</v>
      </c>
      <c r="I57" s="226">
        <f t="shared" si="8"/>
        <v>2.0727874350168385</v>
      </c>
      <c r="J57" s="227">
        <f t="shared" si="8"/>
        <v>2.0766302501767435</v>
      </c>
      <c r="K57" s="226">
        <f t="shared" si="8"/>
        <v>2.0799761291124725</v>
      </c>
    </row>
    <row r="58" spans="1:16" s="59" customFormat="1" x14ac:dyDescent="0.3">
      <c r="A58" s="61" t="s">
        <v>221</v>
      </c>
      <c r="B58" s="222">
        <v>184991</v>
      </c>
      <c r="C58" s="223">
        <v>279347</v>
      </c>
      <c r="D58" s="222">
        <v>262243</v>
      </c>
      <c r="E58" s="223">
        <v>249287</v>
      </c>
      <c r="F58" s="224">
        <v>257295</v>
      </c>
      <c r="G58" s="223">
        <f>G56+G33</f>
        <v>295852.95325521566</v>
      </c>
      <c r="H58" s="222">
        <f>H56+H33</f>
        <v>340188.71013179229</v>
      </c>
      <c r="I58" s="223">
        <f>I56+I33</f>
        <v>391169.0760388858</v>
      </c>
      <c r="J58" s="222">
        <f>J56+J33</f>
        <v>449789.00504245795</v>
      </c>
      <c r="K58" s="223">
        <f>K56+K33</f>
        <v>517192.95385792572</v>
      </c>
    </row>
    <row r="59" spans="1:16" x14ac:dyDescent="0.3">
      <c r="G59" s="115"/>
    </row>
    <row r="61" spans="1:16" x14ac:dyDescent="0.3">
      <c r="F61" s="114"/>
    </row>
    <row r="63" spans="1:16" x14ac:dyDescent="0.3">
      <c r="A63" s="17" t="s">
        <v>193</v>
      </c>
      <c r="B63" s="114">
        <f>B19-B17</f>
        <v>22252</v>
      </c>
      <c r="C63" s="114">
        <f t="shared" ref="C63:E63" si="9">C19-C17</f>
        <v>37036</v>
      </c>
      <c r="D63" s="114">
        <f t="shared" si="9"/>
        <v>40636</v>
      </c>
      <c r="E63" s="114">
        <f t="shared" si="9"/>
        <v>28641</v>
      </c>
      <c r="F63" s="114">
        <f>F19-F17</f>
        <v>27135</v>
      </c>
      <c r="G63" s="114">
        <f>G19-G17</f>
        <v>31201.40381364942</v>
      </c>
      <c r="H63" s="114">
        <f t="shared" ref="H63:K63" si="10">H19-H17</f>
        <v>35877.191816562248</v>
      </c>
      <c r="I63" s="114">
        <f t="shared" si="10"/>
        <v>41253.685261408435</v>
      </c>
      <c r="J63" s="114">
        <f t="shared" si="10"/>
        <v>47435.890644643543</v>
      </c>
      <c r="K63" s="114">
        <f t="shared" si="10"/>
        <v>54544.550553294219</v>
      </c>
    </row>
    <row r="64" spans="1:16" x14ac:dyDescent="0.3">
      <c r="B64" s="114"/>
      <c r="C64" s="114">
        <f>C63-B63</f>
        <v>14784</v>
      </c>
      <c r="D64" s="114">
        <f t="shared" ref="D64:F64" si="11">D63-C63</f>
        <v>3600</v>
      </c>
      <c r="E64" s="114">
        <f t="shared" si="11"/>
        <v>-11995</v>
      </c>
      <c r="F64" s="114">
        <f t="shared" si="11"/>
        <v>-1506</v>
      </c>
      <c r="G64" s="114"/>
      <c r="H64" s="114"/>
      <c r="I64" s="114"/>
      <c r="J64" s="114"/>
      <c r="K64" s="114"/>
    </row>
    <row r="65" spans="1:11" x14ac:dyDescent="0.3">
      <c r="A65" s="17" t="s">
        <v>213</v>
      </c>
      <c r="B65" s="114">
        <f>B54-B46-B50</f>
        <v>90310</v>
      </c>
      <c r="C65" s="114">
        <f>C54-C46-C50</f>
        <v>88027</v>
      </c>
      <c r="D65" s="114">
        <f>D54-D46-D50</f>
        <v>96574</v>
      </c>
      <c r="E65" s="114">
        <f>E54-E46-E50</f>
        <v>75224</v>
      </c>
      <c r="F65" s="114">
        <f>F54-F46-F50</f>
        <v>76924</v>
      </c>
      <c r="G65" s="114">
        <f t="shared" ref="G65:K65" si="12">G54-G46-G50</f>
        <v>88451.696589687446</v>
      </c>
      <c r="H65" s="114">
        <f>H54-H46-H50</f>
        <v>101706.91370175923</v>
      </c>
      <c r="I65" s="114">
        <f t="shared" si="12"/>
        <v>116948.53455126527</v>
      </c>
      <c r="J65" s="114">
        <f t="shared" si="12"/>
        <v>134474.23814072454</v>
      </c>
      <c r="K65" s="114">
        <f t="shared" si="12"/>
        <v>154626.31312922807</v>
      </c>
    </row>
    <row r="66" spans="1:11" x14ac:dyDescent="0.3">
      <c r="B66" s="116"/>
      <c r="C66" s="116">
        <f>C65-B65</f>
        <v>-2283</v>
      </c>
      <c r="D66" s="116">
        <f t="shared" ref="D66:F66" si="13">D65-C65</f>
        <v>8547</v>
      </c>
      <c r="E66" s="116">
        <f t="shared" si="13"/>
        <v>-21350</v>
      </c>
      <c r="F66" s="116">
        <f t="shared" si="13"/>
        <v>1700</v>
      </c>
      <c r="G66" s="116"/>
      <c r="H66" s="116"/>
      <c r="I66" s="116"/>
      <c r="J66" s="116"/>
      <c r="K66" s="116"/>
    </row>
    <row r="67" spans="1:11" x14ac:dyDescent="0.3">
      <c r="A67" s="17" t="s">
        <v>222</v>
      </c>
      <c r="B67" s="115">
        <f>B63-B65</f>
        <v>-68058</v>
      </c>
      <c r="C67" s="115">
        <f>C63-C65</f>
        <v>-50991</v>
      </c>
      <c r="D67" s="115">
        <f>D63-D65</f>
        <v>-55938</v>
      </c>
      <c r="E67" s="115">
        <f>E63-E65</f>
        <v>-46583</v>
      </c>
      <c r="F67" s="115">
        <f>F63-F65</f>
        <v>-49789</v>
      </c>
      <c r="G67" s="115">
        <f t="shared" ref="G67:K67" si="14">G63-G65</f>
        <v>-57250.292776038026</v>
      </c>
      <c r="H67" s="115">
        <f t="shared" si="14"/>
        <v>-65829.721885196981</v>
      </c>
      <c r="I67" s="115">
        <f t="shared" si="14"/>
        <v>-75694.849289856837</v>
      </c>
      <c r="J67" s="115">
        <f t="shared" si="14"/>
        <v>-87038.347496080998</v>
      </c>
      <c r="K67" s="115">
        <f t="shared" si="14"/>
        <v>-100081.76257593386</v>
      </c>
    </row>
    <row r="68" spans="1:11" x14ac:dyDescent="0.3">
      <c r="C68" s="115">
        <f>C67-B67</f>
        <v>17067</v>
      </c>
      <c r="D68" s="115">
        <f t="shared" ref="D68:F68" si="15">D67-C67</f>
        <v>-4947</v>
      </c>
      <c r="E68" s="115">
        <f t="shared" si="15"/>
        <v>9355</v>
      </c>
      <c r="F68" s="115">
        <f t="shared" si="15"/>
        <v>-3206</v>
      </c>
      <c r="G68" s="115">
        <f t="shared" ref="G68" si="16">G67-F67</f>
        <v>-7461.2927760380262</v>
      </c>
      <c r="H68" s="6">
        <f t="shared" ref="H68" si="17">H67-G67</f>
        <v>-8579.4291091589548</v>
      </c>
      <c r="I68" s="115">
        <f t="shared" ref="I68" si="18">I67-H67</f>
        <v>-9865.1274046598555</v>
      </c>
      <c r="J68" s="6">
        <f t="shared" ref="J68" si="19">J67-I67</f>
        <v>-11343.498206224162</v>
      </c>
      <c r="K68" s="115">
        <f t="shared" ref="K68" si="20">K67-J67</f>
        <v>-13043.415079852857</v>
      </c>
    </row>
    <row r="69" spans="1:11" x14ac:dyDescent="0.3">
      <c r="D69" s="114"/>
      <c r="E69" s="114"/>
      <c r="F69" s="114"/>
      <c r="G69" s="114"/>
      <c r="I69" s="114"/>
      <c r="K69" s="114"/>
    </row>
    <row r="70" spans="1:11" x14ac:dyDescent="0.3">
      <c r="A70" s="17" t="s">
        <v>223</v>
      </c>
      <c r="B70" s="6">
        <f>B63/B65</f>
        <v>0.24639574797918282</v>
      </c>
      <c r="C70" s="6">
        <f t="shared" ref="C70:F70" si="21">C63/C65</f>
        <v>0.42073454735478888</v>
      </c>
      <c r="D70" s="6">
        <f t="shared" si="21"/>
        <v>0.42077577815975314</v>
      </c>
      <c r="E70" s="6">
        <f t="shared" si="21"/>
        <v>0.38074284802722536</v>
      </c>
      <c r="F70" s="6">
        <f t="shared" si="21"/>
        <v>0.35275076699079611</v>
      </c>
      <c r="G70" s="6"/>
      <c r="I70" s="6"/>
      <c r="K70" s="6"/>
    </row>
    <row r="73" spans="1:11" x14ac:dyDescent="0.3">
      <c r="A73" s="17" t="s">
        <v>283</v>
      </c>
      <c r="B73" s="150">
        <f>(B56-B17)/'Income statement'!B20</f>
        <v>2.8260299841985588</v>
      </c>
      <c r="C73" s="150">
        <f>(C56-C17)/'Income statement'!C20</f>
        <v>2.9398149260906141</v>
      </c>
      <c r="D73" s="150">
        <f>(D56-D17)/'Income statement'!D20</f>
        <v>2.2885263774202014</v>
      </c>
      <c r="E73" s="150">
        <f>(E56-E17)/'Income statement'!E20</f>
        <v>1.6922009061987853</v>
      </c>
      <c r="F73" s="150">
        <f>(F56-F17)/'Income statement'!F20</f>
        <v>2.260224677631427</v>
      </c>
      <c r="G73" s="150">
        <f>(G56-G17)/'Income statement'!G20</f>
        <v>2.6337393245007146</v>
      </c>
      <c r="H73" s="150">
        <f>(H56-H17)/'Income statement'!H20</f>
        <v>2.6100462075383017</v>
      </c>
      <c r="I73" s="150">
        <f>(I56-I17)/'Income statement'!I20</f>
        <v>2.5863764294289111</v>
      </c>
      <c r="J73" s="150">
        <f>(J56-J17)/'Income statement'!J20</f>
        <v>2.5627760970829891</v>
      </c>
      <c r="K73" s="150">
        <f>(K56-K17)/'Income statement'!K20</f>
        <v>2.5392917583543313</v>
      </c>
    </row>
  </sheetData>
  <pageMargins left="0.7" right="0.7" top="0.75" bottom="0.75" header="0.3" footer="0.3"/>
  <pageSetup paperSize="9" orientation="portrait" r:id="rId1"/>
  <ignoredErrors>
    <ignoredError sqref="H50:K50 H54:K54 H51:K5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0EA4-9C1F-489A-98E8-4F6FDB50BC16}">
  <dimension ref="A1:O48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H43" sqref="H43"/>
    </sheetView>
  </sheetViews>
  <sheetFormatPr defaultRowHeight="14.4" x14ac:dyDescent="0.3"/>
  <cols>
    <col min="1" max="1" width="30.21875" style="17" customWidth="1"/>
    <col min="2" max="2" width="8.88671875" style="6"/>
    <col min="3" max="3" width="8.88671875" style="17"/>
    <col min="4" max="4" width="8.88671875" style="6"/>
    <col min="5" max="5" width="8.88671875" style="17"/>
    <col min="6" max="6" width="8.88671875" style="92"/>
    <col min="7" max="7" width="8.88671875" style="17"/>
    <col min="8" max="8" width="8.88671875" style="6"/>
    <col min="9" max="9" width="8.88671875" style="17"/>
    <col min="10" max="10" width="8.88671875" style="6"/>
    <col min="11" max="11" width="8.88671875" style="17"/>
    <col min="13" max="13" width="10.6640625" bestFit="1" customWidth="1"/>
  </cols>
  <sheetData>
    <row r="1" spans="1:13" s="59" customFormat="1" ht="15" thickBot="1" x14ac:dyDescent="0.35">
      <c r="A1" s="230" t="s">
        <v>166</v>
      </c>
      <c r="B1" s="231">
        <v>2017</v>
      </c>
      <c r="C1" s="230">
        <v>2018</v>
      </c>
      <c r="D1" s="231">
        <v>2019</v>
      </c>
      <c r="E1" s="230">
        <v>2020</v>
      </c>
      <c r="F1" s="232">
        <v>2021</v>
      </c>
      <c r="G1" s="230" t="s">
        <v>129</v>
      </c>
      <c r="H1" s="231" t="s">
        <v>130</v>
      </c>
      <c r="I1" s="230" t="s">
        <v>131</v>
      </c>
      <c r="J1" s="231" t="s">
        <v>132</v>
      </c>
      <c r="K1" s="230" t="s">
        <v>133</v>
      </c>
    </row>
    <row r="2" spans="1:13" s="79" customFormat="1" x14ac:dyDescent="0.3">
      <c r="A2" s="209" t="s">
        <v>224</v>
      </c>
      <c r="B2" s="233"/>
      <c r="C2" s="234"/>
      <c r="D2" s="233"/>
      <c r="E2" s="234"/>
      <c r="F2" s="235"/>
      <c r="G2" s="234"/>
      <c r="H2" s="233"/>
      <c r="I2" s="234"/>
      <c r="J2" s="233"/>
      <c r="K2" s="234"/>
    </row>
    <row r="3" spans="1:13" x14ac:dyDescent="0.3">
      <c r="A3" s="208" t="s">
        <v>225</v>
      </c>
      <c r="B3" s="236">
        <v>19914</v>
      </c>
      <c r="C3" s="237">
        <v>19175</v>
      </c>
      <c r="D3" s="236">
        <v>12672</v>
      </c>
      <c r="E3" s="237">
        <v>22776</v>
      </c>
      <c r="F3" s="238">
        <v>18043</v>
      </c>
      <c r="G3" s="237">
        <f>'Income statement'!G29</f>
        <v>15860.185658320241</v>
      </c>
      <c r="H3" s="236">
        <f>'Income statement'!H29</f>
        <v>18754.161573052384</v>
      </c>
      <c r="I3" s="237">
        <f>'Income statement'!I29</f>
        <v>22159.32978605587</v>
      </c>
      <c r="J3" s="236">
        <f>'Income statement'!J29</f>
        <v>29583.02802913935</v>
      </c>
      <c r="K3" s="237">
        <f>'Income statement'!K29</f>
        <v>34802.588905552577</v>
      </c>
    </row>
    <row r="4" spans="1:13" x14ac:dyDescent="0.3">
      <c r="A4" s="208" t="s">
        <v>226</v>
      </c>
      <c r="B4" s="236"/>
      <c r="C4" s="237"/>
      <c r="D4" s="236"/>
      <c r="E4" s="237"/>
      <c r="F4" s="238"/>
      <c r="G4" s="237"/>
      <c r="H4" s="236"/>
      <c r="I4" s="237"/>
      <c r="J4" s="236"/>
      <c r="K4" s="237"/>
    </row>
    <row r="5" spans="1:13" x14ac:dyDescent="0.3">
      <c r="A5" s="239" t="s">
        <v>227</v>
      </c>
      <c r="B5" s="236">
        <v>6033</v>
      </c>
      <c r="C5" s="237">
        <v>22430</v>
      </c>
      <c r="D5" s="236">
        <v>25562</v>
      </c>
      <c r="E5" s="237">
        <v>29089</v>
      </c>
      <c r="F5" s="238">
        <v>24689</v>
      </c>
      <c r="G5" s="237">
        <f>'Income statement'!G27</f>
        <v>26987.472263546846</v>
      </c>
      <c r="H5" s="236">
        <f>'Income statement'!H27</f>
        <v>31031.767827698128</v>
      </c>
      <c r="I5" s="237">
        <f>'Income statement'!I27</f>
        <v>35682.134477369596</v>
      </c>
      <c r="J5" s="236">
        <f>'Income statement'!J27</f>
        <v>37610.280555171266</v>
      </c>
      <c r="K5" s="237">
        <f>'Income statement'!K27</f>
        <v>43246.491658247483</v>
      </c>
    </row>
    <row r="6" spans="1:13" x14ac:dyDescent="0.3">
      <c r="A6" s="239" t="s">
        <v>228</v>
      </c>
      <c r="B6" s="236">
        <v>219</v>
      </c>
      <c r="C6" s="237">
        <v>577</v>
      </c>
      <c r="D6" s="236">
        <v>5199</v>
      </c>
      <c r="E6" s="237">
        <v>963</v>
      </c>
      <c r="F6" s="238">
        <v>2492</v>
      </c>
      <c r="G6" s="237">
        <f>AVERAGE(B6:F6)</f>
        <v>1890</v>
      </c>
      <c r="H6" s="236">
        <f>G6</f>
        <v>1890</v>
      </c>
      <c r="I6" s="237">
        <f t="shared" ref="I6:K6" si="0">H6</f>
        <v>1890</v>
      </c>
      <c r="J6" s="236">
        <f t="shared" si="0"/>
        <v>1890</v>
      </c>
      <c r="K6" s="237">
        <f t="shared" si="0"/>
        <v>1890</v>
      </c>
    </row>
    <row r="7" spans="1:13" x14ac:dyDescent="0.3">
      <c r="A7" s="208" t="s">
        <v>229</v>
      </c>
      <c r="B7" s="236">
        <v>-37</v>
      </c>
      <c r="C7" s="237">
        <v>-1078</v>
      </c>
      <c r="D7" s="236">
        <v>-4538</v>
      </c>
      <c r="E7" s="237">
        <v>-1695</v>
      </c>
      <c r="F7" s="238">
        <v>-4916</v>
      </c>
      <c r="G7" s="237">
        <f>'Income statement'!G38*-1</f>
        <v>-1845.222403396619</v>
      </c>
      <c r="H7" s="236">
        <f>'Income statement'!H38*-1</f>
        <v>-2121.7442172239039</v>
      </c>
      <c r="I7" s="237">
        <f>'Income statement'!I38*-1</f>
        <v>-2439.7051081952659</v>
      </c>
      <c r="J7" s="236">
        <f>'Income statement'!J38*-1</f>
        <v>-2805.3150641984066</v>
      </c>
      <c r="K7" s="237">
        <f>'Income statement'!K38*-1</f>
        <v>-3225.7146910841479</v>
      </c>
    </row>
    <row r="8" spans="1:13" x14ac:dyDescent="0.3">
      <c r="A8" s="208" t="s">
        <v>230</v>
      </c>
      <c r="B8" s="236">
        <v>13</v>
      </c>
      <c r="C8" s="237">
        <v>10</v>
      </c>
      <c r="D8" s="236">
        <v>0</v>
      </c>
      <c r="E8" s="237">
        <v>0</v>
      </c>
      <c r="F8" s="238">
        <v>1</v>
      </c>
      <c r="G8" s="237">
        <v>0</v>
      </c>
      <c r="H8" s="236">
        <v>0</v>
      </c>
      <c r="I8" s="237">
        <v>0</v>
      </c>
      <c r="J8" s="236">
        <v>0</v>
      </c>
      <c r="K8" s="237">
        <v>0</v>
      </c>
    </row>
    <row r="9" spans="1:13" x14ac:dyDescent="0.3">
      <c r="A9" s="208" t="s">
        <v>231</v>
      </c>
      <c r="B9" s="236">
        <v>-130</v>
      </c>
      <c r="C9" s="237">
        <v>-1746</v>
      </c>
      <c r="D9" s="236">
        <v>-1860</v>
      </c>
      <c r="E9" s="237">
        <v>-1206</v>
      </c>
      <c r="F9" s="238">
        <v>-3399</v>
      </c>
      <c r="G9" s="237">
        <f>'Income statement'!G32*-1</f>
        <v>-4497.9120439244743</v>
      </c>
      <c r="H9" s="236">
        <f>'Income statement'!H32*-1</f>
        <v>-5171.9613046163549</v>
      </c>
      <c r="I9" s="237">
        <f>'Income statement'!I32*-1</f>
        <v>-5947.022412894933</v>
      </c>
      <c r="J9" s="236">
        <f>'Income statement'!J32*-1</f>
        <v>-6838.2328282129565</v>
      </c>
      <c r="K9" s="237">
        <f>'Income statement'!K32*-1</f>
        <v>-7862.998483317725</v>
      </c>
    </row>
    <row r="10" spans="1:13" s="59" customFormat="1" ht="43.2" x14ac:dyDescent="0.3">
      <c r="A10" s="240" t="s">
        <v>308</v>
      </c>
      <c r="B10" s="241">
        <f>SUM(B3:B9)</f>
        <v>26012</v>
      </c>
      <c r="C10" s="242">
        <v>39368</v>
      </c>
      <c r="D10" s="241">
        <v>37035</v>
      </c>
      <c r="E10" s="242">
        <v>49927</v>
      </c>
      <c r="F10" s="243">
        <v>36910</v>
      </c>
      <c r="G10" s="242">
        <f>SUM(G3:G9)</f>
        <v>38394.523474545997</v>
      </c>
      <c r="H10" s="241">
        <f t="shared" ref="H10:K10" si="1">SUM(H3:H9)</f>
        <v>44382.223878910248</v>
      </c>
      <c r="I10" s="242">
        <f t="shared" si="1"/>
        <v>51344.73674233527</v>
      </c>
      <c r="J10" s="241">
        <f t="shared" si="1"/>
        <v>59439.760691899239</v>
      </c>
      <c r="K10" s="242">
        <f t="shared" si="1"/>
        <v>68850.367389398176</v>
      </c>
    </row>
    <row r="11" spans="1:13" x14ac:dyDescent="0.3">
      <c r="A11" s="208"/>
      <c r="B11" s="236"/>
      <c r="C11" s="237"/>
      <c r="D11" s="236"/>
      <c r="E11" s="237"/>
      <c r="F11" s="238"/>
      <c r="G11" s="237"/>
      <c r="H11" s="236"/>
      <c r="I11" s="237"/>
      <c r="J11" s="236"/>
      <c r="K11" s="237"/>
    </row>
    <row r="12" spans="1:13" ht="28.8" x14ac:dyDescent="0.3">
      <c r="A12" s="248" t="s">
        <v>311</v>
      </c>
      <c r="B12" s="250">
        <f t="shared" ref="B12:E12" si="2">B13+B14</f>
        <v>8063</v>
      </c>
      <c r="C12" s="251">
        <f t="shared" si="2"/>
        <v>-2874</v>
      </c>
      <c r="D12" s="250">
        <f t="shared" si="2"/>
        <v>-11</v>
      </c>
      <c r="E12" s="251">
        <f t="shared" si="2"/>
        <v>19313</v>
      </c>
      <c r="F12" s="238">
        <f>F13+F14</f>
        <v>8946</v>
      </c>
      <c r="G12" s="237">
        <f>AVERAGE(B12:F12)</f>
        <v>6687.4</v>
      </c>
      <c r="H12" s="236">
        <f>G12*(1+'Revenue Projection'!$C$29)</f>
        <v>7689.5621103150606</v>
      </c>
      <c r="I12" s="244">
        <f>H12*(1+'Revenue Projection'!$C$29)</f>
        <v>8841.9064880810201</v>
      </c>
      <c r="J12" s="236">
        <f>I12*(1+'Revenue Projection'!$C$29)</f>
        <v>10166.939186185471</v>
      </c>
      <c r="K12" s="244">
        <f>J12*(1+'Revenue Projection'!$C$29)</f>
        <v>11690.538975381949</v>
      </c>
    </row>
    <row r="13" spans="1:13" x14ac:dyDescent="0.3">
      <c r="A13" s="208" t="s">
        <v>232</v>
      </c>
      <c r="B13" s="236">
        <v>-9095</v>
      </c>
      <c r="C13" s="237">
        <v>-15712</v>
      </c>
      <c r="D13" s="236">
        <v>-2644</v>
      </c>
      <c r="E13" s="237">
        <v>8720</v>
      </c>
      <c r="F13" s="238">
        <v>4188</v>
      </c>
      <c r="G13" s="237">
        <f>-43%*G12</f>
        <v>-2875.5819999999999</v>
      </c>
      <c r="H13" s="236">
        <f t="shared" ref="H13:K13" si="3">-43%*H12</f>
        <v>-3306.5117074354762</v>
      </c>
      <c r="I13" s="237">
        <f t="shared" si="3"/>
        <v>-3802.0197898748388</v>
      </c>
      <c r="J13" s="236">
        <f t="shared" si="3"/>
        <v>-4371.7838500597527</v>
      </c>
      <c r="K13" s="237">
        <f t="shared" si="3"/>
        <v>-5026.9317594142376</v>
      </c>
      <c r="L13" s="153">
        <f>G13/G12</f>
        <v>-0.43</v>
      </c>
      <c r="M13" t="s">
        <v>278</v>
      </c>
    </row>
    <row r="14" spans="1:13" x14ac:dyDescent="0.3">
      <c r="A14" s="208" t="s">
        <v>233</v>
      </c>
      <c r="B14" s="236">
        <v>17158</v>
      </c>
      <c r="C14" s="237">
        <v>12838</v>
      </c>
      <c r="D14" s="236">
        <v>2633</v>
      </c>
      <c r="E14" s="237">
        <v>10593</v>
      </c>
      <c r="F14" s="238">
        <v>4758</v>
      </c>
      <c r="G14" s="237">
        <f>57%*G12</f>
        <v>3811.8179999999993</v>
      </c>
      <c r="H14" s="236">
        <f t="shared" ref="H14:K14" si="4">57%*H12</f>
        <v>4383.050402879584</v>
      </c>
      <c r="I14" s="237">
        <f t="shared" si="4"/>
        <v>5039.8866982061809</v>
      </c>
      <c r="J14" s="236">
        <f t="shared" si="4"/>
        <v>5795.1553361257183</v>
      </c>
      <c r="K14" s="237">
        <f t="shared" si="4"/>
        <v>6663.6072159677105</v>
      </c>
    </row>
    <row r="15" spans="1:13" s="59" customFormat="1" x14ac:dyDescent="0.3">
      <c r="A15" s="245" t="s">
        <v>234</v>
      </c>
      <c r="B15" s="241">
        <v>34075</v>
      </c>
      <c r="C15" s="242">
        <v>36494</v>
      </c>
      <c r="D15" s="241">
        <v>37024</v>
      </c>
      <c r="E15" s="242">
        <v>69240</v>
      </c>
      <c r="F15" s="243">
        <v>45856</v>
      </c>
      <c r="G15" s="242">
        <f>G10+G13+G14</f>
        <v>39330.759474545994</v>
      </c>
      <c r="H15" s="241">
        <f t="shared" ref="H15:K15" si="5">H10+H13+H14</f>
        <v>45458.762574354354</v>
      </c>
      <c r="I15" s="242">
        <f t="shared" si="5"/>
        <v>52582.603650666613</v>
      </c>
      <c r="J15" s="241">
        <f t="shared" si="5"/>
        <v>60863.132177965206</v>
      </c>
      <c r="K15" s="242">
        <f t="shared" si="5"/>
        <v>70487.042845951655</v>
      </c>
    </row>
    <row r="16" spans="1:13" x14ac:dyDescent="0.3">
      <c r="A16" s="208"/>
      <c r="B16" s="236"/>
      <c r="C16" s="237"/>
      <c r="D16" s="236"/>
      <c r="E16" s="237"/>
      <c r="F16" s="238"/>
      <c r="G16" s="237"/>
      <c r="H16" s="236"/>
      <c r="I16" s="237"/>
      <c r="J16" s="236"/>
      <c r="K16" s="237"/>
    </row>
    <row r="17" spans="1:15" x14ac:dyDescent="0.3">
      <c r="A17" s="209" t="s">
        <v>235</v>
      </c>
      <c r="B17" s="236"/>
      <c r="C17" s="237"/>
      <c r="D17" s="236"/>
      <c r="E17" s="237"/>
      <c r="F17" s="238"/>
      <c r="G17" s="237"/>
      <c r="H17" s="236"/>
      <c r="I17" s="237"/>
      <c r="J17" s="236"/>
      <c r="K17" s="237"/>
    </row>
    <row r="18" spans="1:15" ht="28.8" x14ac:dyDescent="0.3">
      <c r="A18" s="249" t="s">
        <v>312</v>
      </c>
      <c r="B18" s="236">
        <v>-1855</v>
      </c>
      <c r="C18" s="237">
        <v>-2475</v>
      </c>
      <c r="D18" s="236">
        <v>-1117</v>
      </c>
      <c r="E18" s="237">
        <v>-399</v>
      </c>
      <c r="F18" s="238">
        <v>-901</v>
      </c>
      <c r="G18" s="246">
        <v>-1000</v>
      </c>
      <c r="H18" s="247">
        <v>-1000</v>
      </c>
      <c r="I18" s="246">
        <v>-1000</v>
      </c>
      <c r="J18" s="247">
        <v>-1000</v>
      </c>
      <c r="K18" s="246">
        <v>-1000</v>
      </c>
      <c r="O18" t="s">
        <v>236</v>
      </c>
    </row>
    <row r="19" spans="1:15" x14ac:dyDescent="0.3">
      <c r="A19" s="208" t="s">
        <v>237</v>
      </c>
      <c r="B19" s="236">
        <v>-4312</v>
      </c>
      <c r="C19" s="237">
        <v>-8633</v>
      </c>
      <c r="D19" s="236">
        <v>-8080</v>
      </c>
      <c r="E19" s="237">
        <v>-10492</v>
      </c>
      <c r="F19" s="238">
        <v>-15831</v>
      </c>
      <c r="G19" s="246">
        <f>F19*(1+$O$19)</f>
        <v>-18422.348805176749</v>
      </c>
      <c r="H19" s="247">
        <f t="shared" ref="H19:K19" si="6">G19*(1+$O$19)</f>
        <v>-21437.87098096123</v>
      </c>
      <c r="I19" s="246">
        <f t="shared" si="6"/>
        <v>-24946.998727284721</v>
      </c>
      <c r="J19" s="247">
        <f t="shared" si="6"/>
        <v>-29030.529479902696</v>
      </c>
      <c r="K19" s="246">
        <f t="shared" si="6"/>
        <v>-33782.486266043452</v>
      </c>
      <c r="L19" s="149"/>
      <c r="M19" s="149">
        <f>C19*-1</f>
        <v>8633</v>
      </c>
      <c r="N19" s="149">
        <f>F19*-1</f>
        <v>15831</v>
      </c>
      <c r="O19" s="149">
        <f>(N19/M19)^(1/4)-1</f>
        <v>0.16368825754385385</v>
      </c>
    </row>
    <row r="20" spans="1:15" x14ac:dyDescent="0.3">
      <c r="A20" s="208" t="s">
        <v>238</v>
      </c>
      <c r="B20" s="236">
        <v>-43935</v>
      </c>
      <c r="C20" s="237">
        <v>-20213</v>
      </c>
      <c r="D20" s="236">
        <v>0</v>
      </c>
      <c r="E20" s="237">
        <v>-3579</v>
      </c>
      <c r="F20" s="238">
        <v>-10391</v>
      </c>
      <c r="G20" s="246">
        <v>-10000</v>
      </c>
      <c r="H20" s="247">
        <v>-10000</v>
      </c>
      <c r="I20" s="246">
        <v>-10000</v>
      </c>
      <c r="J20" s="247">
        <v>-10000</v>
      </c>
      <c r="K20" s="246">
        <v>-10000</v>
      </c>
    </row>
    <row r="21" spans="1:15" x14ac:dyDescent="0.3">
      <c r="A21" s="208" t="s">
        <v>239</v>
      </c>
      <c r="B21" s="236">
        <v>0</v>
      </c>
      <c r="C21" s="237">
        <v>-73472</v>
      </c>
      <c r="D21" s="236">
        <v>0</v>
      </c>
      <c r="E21" s="237">
        <v>0</v>
      </c>
      <c r="F21" s="238">
        <v>-1121</v>
      </c>
      <c r="G21" s="246">
        <v>0</v>
      </c>
      <c r="H21" s="247">
        <v>0</v>
      </c>
      <c r="I21" s="246">
        <v>0</v>
      </c>
      <c r="J21" s="247">
        <v>0</v>
      </c>
      <c r="K21" s="246">
        <v>0</v>
      </c>
    </row>
    <row r="22" spans="1:15" ht="28.8" x14ac:dyDescent="0.3">
      <c r="A22" s="249" t="s">
        <v>313</v>
      </c>
      <c r="B22" s="236">
        <v>0</v>
      </c>
      <c r="C22" s="237">
        <v>1500</v>
      </c>
      <c r="D22" s="236">
        <v>11150</v>
      </c>
      <c r="E22" s="237">
        <v>2861</v>
      </c>
      <c r="F22" s="238">
        <v>0</v>
      </c>
      <c r="G22" s="246">
        <v>1500</v>
      </c>
      <c r="H22" s="247">
        <v>1500</v>
      </c>
      <c r="I22" s="246">
        <v>1500</v>
      </c>
      <c r="J22" s="247">
        <v>1500</v>
      </c>
      <c r="K22" s="246">
        <v>1500</v>
      </c>
    </row>
    <row r="23" spans="1:15" s="59" customFormat="1" x14ac:dyDescent="0.3">
      <c r="A23" s="245" t="s">
        <v>235</v>
      </c>
      <c r="B23" s="241">
        <v>-50102</v>
      </c>
      <c r="C23" s="242">
        <v>-103293</v>
      </c>
      <c r="D23" s="241">
        <v>1953</v>
      </c>
      <c r="E23" s="242">
        <v>-11609</v>
      </c>
      <c r="F23" s="243">
        <v>-28244</v>
      </c>
      <c r="G23" s="242">
        <f>G18+G19+G20+G21+G22</f>
        <v>-27922.348805176749</v>
      </c>
      <c r="H23" s="241">
        <f>H18+H19+H20+H21+H22</f>
        <v>-30937.87098096123</v>
      </c>
      <c r="I23" s="242">
        <f t="shared" ref="I23:K23" si="7">I18+I19+I20+I21+I22</f>
        <v>-34446.998727284721</v>
      </c>
      <c r="J23" s="241">
        <f t="shared" si="7"/>
        <v>-38530.529479902696</v>
      </c>
      <c r="K23" s="242">
        <f t="shared" si="7"/>
        <v>-43282.486266043452</v>
      </c>
    </row>
    <row r="24" spans="1:15" x14ac:dyDescent="0.3">
      <c r="A24" s="208"/>
      <c r="B24" s="236"/>
      <c r="C24" s="237"/>
      <c r="D24" s="236"/>
      <c r="E24" s="237"/>
      <c r="F24" s="238"/>
      <c r="G24" s="237"/>
      <c r="H24" s="236"/>
      <c r="I24" s="237"/>
      <c r="J24" s="236"/>
      <c r="K24" s="237"/>
    </row>
    <row r="25" spans="1:15" x14ac:dyDescent="0.3">
      <c r="A25" s="209" t="s">
        <v>240</v>
      </c>
      <c r="B25" s="236"/>
      <c r="C25" s="237"/>
      <c r="D25" s="236"/>
      <c r="E25" s="237"/>
      <c r="F25" s="238"/>
      <c r="G25" s="237"/>
      <c r="H25" s="236"/>
      <c r="I25" s="237"/>
      <c r="J25" s="236"/>
      <c r="K25" s="237"/>
    </row>
    <row r="26" spans="1:15" x14ac:dyDescent="0.3">
      <c r="A26" s="208" t="s">
        <v>241</v>
      </c>
      <c r="B26" s="236">
        <v>20000</v>
      </c>
      <c r="C26" s="237">
        <v>79475</v>
      </c>
      <c r="D26" s="236">
        <v>-30000</v>
      </c>
      <c r="E26" s="237">
        <v>-70343</v>
      </c>
      <c r="F26" s="238">
        <v>0</v>
      </c>
      <c r="G26" s="237">
        <v>0</v>
      </c>
      <c r="H26" s="236">
        <v>0</v>
      </c>
      <c r="I26" s="237">
        <v>0</v>
      </c>
      <c r="J26" s="236">
        <v>0</v>
      </c>
      <c r="K26" s="237">
        <v>0</v>
      </c>
    </row>
    <row r="27" spans="1:15" x14ac:dyDescent="0.3">
      <c r="A27" s="208" t="s">
        <v>242</v>
      </c>
      <c r="B27" s="236"/>
      <c r="C27" s="237">
        <v>0</v>
      </c>
      <c r="D27" s="236">
        <v>0</v>
      </c>
      <c r="E27" s="237">
        <v>19897</v>
      </c>
      <c r="F27" s="238">
        <v>48298</v>
      </c>
      <c r="G27" s="237">
        <v>0</v>
      </c>
      <c r="H27" s="236">
        <v>0</v>
      </c>
      <c r="I27" s="237">
        <v>0</v>
      </c>
      <c r="J27" s="236">
        <v>0</v>
      </c>
      <c r="K27" s="237">
        <v>0</v>
      </c>
    </row>
    <row r="28" spans="1:15" x14ac:dyDescent="0.3">
      <c r="A28" s="208" t="s">
        <v>243</v>
      </c>
      <c r="B28" s="236"/>
      <c r="C28" s="237">
        <v>0</v>
      </c>
      <c r="D28" s="236">
        <v>0</v>
      </c>
      <c r="E28" s="237">
        <v>-4891</v>
      </c>
      <c r="F28" s="238">
        <v>-9538</v>
      </c>
      <c r="G28" s="237">
        <v>-7200</v>
      </c>
      <c r="H28" s="236">
        <v>-7200</v>
      </c>
      <c r="I28" s="237">
        <v>-7200</v>
      </c>
      <c r="J28" s="236">
        <v>-7200</v>
      </c>
      <c r="K28" s="237">
        <v>-7200</v>
      </c>
    </row>
    <row r="29" spans="1:15" x14ac:dyDescent="0.3">
      <c r="A29" s="208" t="s">
        <v>210</v>
      </c>
      <c r="B29" s="236"/>
      <c r="C29" s="237">
        <v>0</v>
      </c>
      <c r="D29" s="236">
        <v>-3175</v>
      </c>
      <c r="E29" s="237">
        <f>-3244</f>
        <v>-3244</v>
      </c>
      <c r="F29" s="238">
        <v>-3037</v>
      </c>
      <c r="G29" s="237">
        <v>-3200</v>
      </c>
      <c r="H29" s="236">
        <v>-3200</v>
      </c>
      <c r="I29" s="237">
        <v>-3200</v>
      </c>
      <c r="J29" s="236">
        <v>-3200</v>
      </c>
      <c r="K29" s="237">
        <v>-3200</v>
      </c>
    </row>
    <row r="30" spans="1:15" ht="28.8" x14ac:dyDescent="0.3">
      <c r="A30" s="249" t="s">
        <v>314</v>
      </c>
      <c r="B30" s="236">
        <v>170</v>
      </c>
      <c r="C30" s="237">
        <v>3832</v>
      </c>
      <c r="D30" s="236">
        <v>186</v>
      </c>
      <c r="E30" s="237">
        <v>416</v>
      </c>
      <c r="F30" s="238">
        <v>200</v>
      </c>
      <c r="G30" s="237">
        <v>500</v>
      </c>
      <c r="H30" s="236">
        <v>500</v>
      </c>
      <c r="I30" s="237">
        <v>500</v>
      </c>
      <c r="J30" s="236">
        <v>500</v>
      </c>
      <c r="K30" s="237">
        <v>500</v>
      </c>
    </row>
    <row r="31" spans="1:15" ht="28.8" x14ac:dyDescent="0.3">
      <c r="A31" s="249" t="s">
        <v>315</v>
      </c>
      <c r="B31" s="236">
        <v>-10233</v>
      </c>
      <c r="C31" s="237">
        <v>-11669</v>
      </c>
      <c r="D31" s="236">
        <v>-11534</v>
      </c>
      <c r="E31" s="237">
        <v>-14213</v>
      </c>
      <c r="F31" s="238">
        <v>-12695</v>
      </c>
      <c r="G31" s="237">
        <f>'Income statement'!G41*-0.5</f>
        <v>-4758.5256054995734</v>
      </c>
      <c r="H31" s="236">
        <f>'Income statement'!H41*-0.5</f>
        <v>-5730.2280256060631</v>
      </c>
      <c r="I31" s="237">
        <f>'Income statement'!I41*-0.5</f>
        <v>-6886.3011324828349</v>
      </c>
      <c r="J31" s="236">
        <f>'Income statement'!J41*-0.5</f>
        <v>-9969.7400683639935</v>
      </c>
      <c r="K31" s="237">
        <f>'Income statement'!K41*-0.5</f>
        <v>-11856.937865575352</v>
      </c>
    </row>
    <row r="32" spans="1:15" s="59" customFormat="1" x14ac:dyDescent="0.3">
      <c r="A32" s="245" t="s">
        <v>240</v>
      </c>
      <c r="B32" s="241">
        <v>9937</v>
      </c>
      <c r="C32" s="242">
        <v>71638</v>
      </c>
      <c r="D32" s="241">
        <v>-44523</v>
      </c>
      <c r="E32" s="242">
        <v>-43977</v>
      </c>
      <c r="F32" s="243">
        <v>-5173</v>
      </c>
      <c r="G32" s="242">
        <f>SUM(G26:G31)</f>
        <v>-14658.525605499573</v>
      </c>
      <c r="H32" s="241">
        <f t="shared" ref="H32:K32" si="8">SUM(H26:H31)</f>
        <v>-15630.228025606062</v>
      </c>
      <c r="I32" s="242">
        <f t="shared" si="8"/>
        <v>-16786.301132482833</v>
      </c>
      <c r="J32" s="241">
        <f t="shared" si="8"/>
        <v>-19869.740068363993</v>
      </c>
      <c r="K32" s="242">
        <f t="shared" si="8"/>
        <v>-21756.937865575353</v>
      </c>
    </row>
    <row r="33" spans="1:11" s="79" customFormat="1" x14ac:dyDescent="0.3">
      <c r="A33" s="209"/>
      <c r="B33" s="233"/>
      <c r="C33" s="234"/>
      <c r="D33" s="233"/>
      <c r="E33" s="234"/>
      <c r="F33" s="235"/>
      <c r="G33" s="234"/>
      <c r="H33" s="233"/>
      <c r="I33" s="234"/>
      <c r="J33" s="233"/>
      <c r="K33" s="234"/>
    </row>
    <row r="34" spans="1:11" s="79" customFormat="1" x14ac:dyDescent="0.3">
      <c r="A34" s="209" t="s">
        <v>244</v>
      </c>
      <c r="B34" s="233">
        <v>-6090</v>
      </c>
      <c r="C34" s="234">
        <v>4839</v>
      </c>
      <c r="D34" s="233">
        <v>-5546</v>
      </c>
      <c r="E34" s="234">
        <v>13654</v>
      </c>
      <c r="F34" s="235">
        <v>12439</v>
      </c>
      <c r="G34" s="234">
        <f>G15+G23+G32</f>
        <v>-3250.1149361303287</v>
      </c>
      <c r="H34" s="233">
        <f t="shared" ref="H34:K34" si="9">H15+H23+H32</f>
        <v>-1109.3364322129382</v>
      </c>
      <c r="I34" s="234">
        <f t="shared" si="9"/>
        <v>1349.3037908990591</v>
      </c>
      <c r="J34" s="233">
        <f t="shared" si="9"/>
        <v>2462.8626296985167</v>
      </c>
      <c r="K34" s="234">
        <f t="shared" si="9"/>
        <v>5447.6187143328498</v>
      </c>
    </row>
    <row r="35" spans="1:11" ht="28.8" x14ac:dyDescent="0.3">
      <c r="A35" s="249" t="s">
        <v>316</v>
      </c>
      <c r="B35" s="236">
        <v>60218</v>
      </c>
      <c r="C35" s="237">
        <v>52758</v>
      </c>
      <c r="D35" s="236">
        <v>56738</v>
      </c>
      <c r="E35" s="237">
        <v>50738</v>
      </c>
      <c r="F35" s="238">
        <v>63340</v>
      </c>
      <c r="G35" s="237">
        <v>60000</v>
      </c>
      <c r="H35" s="236">
        <v>60000</v>
      </c>
      <c r="I35" s="237">
        <v>60000</v>
      </c>
      <c r="J35" s="236">
        <v>60000</v>
      </c>
      <c r="K35" s="237">
        <v>60000</v>
      </c>
    </row>
    <row r="36" spans="1:11" ht="28.8" x14ac:dyDescent="0.3">
      <c r="A36" s="249" t="s">
        <v>317</v>
      </c>
      <c r="B36" s="236">
        <v>-1370</v>
      </c>
      <c r="C36" s="237">
        <v>-859</v>
      </c>
      <c r="D36" s="236">
        <v>-454</v>
      </c>
      <c r="E36" s="237">
        <v>-1052</v>
      </c>
      <c r="F36" s="238">
        <v>-618</v>
      </c>
      <c r="G36" s="237">
        <v>-800</v>
      </c>
      <c r="H36" s="236">
        <v>-800</v>
      </c>
      <c r="I36" s="237">
        <v>-800</v>
      </c>
      <c r="J36" s="236">
        <v>-800</v>
      </c>
      <c r="K36" s="237">
        <v>-800</v>
      </c>
    </row>
    <row r="37" spans="1:11" s="59" customFormat="1" ht="28.8" x14ac:dyDescent="0.3">
      <c r="A37" s="240" t="s">
        <v>310</v>
      </c>
      <c r="B37" s="241">
        <v>52758</v>
      </c>
      <c r="C37" s="242">
        <v>56738</v>
      </c>
      <c r="D37" s="241">
        <v>50738</v>
      </c>
      <c r="E37" s="242">
        <v>63340</v>
      </c>
      <c r="F37" s="243">
        <v>75161</v>
      </c>
      <c r="G37" s="242">
        <f>SUM(G34:G36)</f>
        <v>55949.885063869675</v>
      </c>
      <c r="H37" s="241">
        <f t="shared" ref="H37:K37" si="10">SUM(H34:H36)</f>
        <v>58090.663567787065</v>
      </c>
      <c r="I37" s="242">
        <f t="shared" si="10"/>
        <v>60549.303790899059</v>
      </c>
      <c r="J37" s="241">
        <f t="shared" si="10"/>
        <v>61662.862629698517</v>
      </c>
      <c r="K37" s="242">
        <f t="shared" si="10"/>
        <v>64647.61871433285</v>
      </c>
    </row>
    <row r="38" spans="1:11" x14ac:dyDescent="0.3">
      <c r="A38" s="208"/>
      <c r="B38" s="236"/>
      <c r="C38" s="237"/>
      <c r="D38" s="236"/>
      <c r="E38" s="237"/>
      <c r="F38" s="238"/>
      <c r="G38" s="237"/>
      <c r="H38" s="236"/>
      <c r="I38" s="237"/>
      <c r="J38" s="236"/>
      <c r="K38" s="237"/>
    </row>
    <row r="39" spans="1:11" ht="28.8" x14ac:dyDescent="0.3">
      <c r="A39" s="248" t="s">
        <v>309</v>
      </c>
      <c r="B39" s="236">
        <v>7097</v>
      </c>
      <c r="C39" s="237">
        <v>11992</v>
      </c>
      <c r="D39" s="236">
        <v>13352</v>
      </c>
      <c r="E39" s="237">
        <v>15801</v>
      </c>
      <c r="F39" s="238">
        <v>19945</v>
      </c>
      <c r="G39" s="237">
        <v>24000</v>
      </c>
      <c r="H39" s="236">
        <v>28000</v>
      </c>
      <c r="I39" s="237">
        <v>32000</v>
      </c>
      <c r="J39" s="236">
        <v>36000</v>
      </c>
      <c r="K39" s="237">
        <v>40000</v>
      </c>
    </row>
    <row r="43" spans="1:11" x14ac:dyDescent="0.3">
      <c r="C43" s="92"/>
      <c r="D43" s="92"/>
      <c r="E43" s="92"/>
    </row>
    <row r="44" spans="1:11" x14ac:dyDescent="0.3">
      <c r="C44" s="92"/>
      <c r="D44" s="92"/>
      <c r="E44" s="92"/>
    </row>
    <row r="47" spans="1:11" x14ac:dyDescent="0.3">
      <c r="D47" s="92"/>
      <c r="E47" s="92"/>
    </row>
    <row r="48" spans="1:11" x14ac:dyDescent="0.3">
      <c r="E48" s="9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56D9C9617D0A41849BF36C35AD2D6F" ma:contentTypeVersion="4" ma:contentTypeDescription="Opret et nyt dokument." ma:contentTypeScope="" ma:versionID="89dcd67d1052c82c404bcfe396b38481">
  <xsd:schema xmlns:xsd="http://www.w3.org/2001/XMLSchema" xmlns:xs="http://www.w3.org/2001/XMLSchema" xmlns:p="http://schemas.microsoft.com/office/2006/metadata/properties" xmlns:ns2="1753885f-5637-49b9-a5ae-e7ab5f9c8676" targetNamespace="http://schemas.microsoft.com/office/2006/metadata/properties" ma:root="true" ma:fieldsID="e22f051f8c77f9e9e124dbab011c15ff" ns2:_="">
    <xsd:import namespace="1753885f-5637-49b9-a5ae-e7ab5f9c86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3885f-5637-49b9-a5ae-e7ab5f9c8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CF4EB8-27C5-4012-82E1-A0DFE2D23D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86B7C-79DF-4A24-B03A-820B6388B7DB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1753885f-5637-49b9-a5ae-e7ab5f9c8676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3F25B0C-86DA-45AB-8940-341AF2DBB3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53885f-5637-49b9-a5ae-e7ab5f9c86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Management</vt:lpstr>
      <vt:lpstr>Board of Directors</vt:lpstr>
      <vt:lpstr>Shareholders &amp; Insider Transact</vt:lpstr>
      <vt:lpstr>Porter's Five Forces</vt:lpstr>
      <vt:lpstr>Peer Comparison</vt:lpstr>
      <vt:lpstr>Revenue Projection</vt:lpstr>
      <vt:lpstr>Income statement</vt:lpstr>
      <vt:lpstr>Balance Sheet</vt:lpstr>
      <vt:lpstr>Cash flow statement</vt:lpstr>
      <vt:lpstr>Relative valuation</vt:lpstr>
      <vt:lpstr>Other illustrations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Lasse Mejlholm Larsen</dc:creator>
  <cp:keywords/>
  <dc:description/>
  <cp:lastModifiedBy>Lasse Mejlholm Larsen</cp:lastModifiedBy>
  <cp:revision/>
  <dcterms:created xsi:type="dcterms:W3CDTF">2022-04-11T10:43:02Z</dcterms:created>
  <dcterms:modified xsi:type="dcterms:W3CDTF">2022-06-05T12:09:20Z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0x010100DF56D9C9617D0A41849BF36C35AD2D6F</vt:lpwstr>
  </property>
</Properties>
</file>