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.sharepoint.com/sites/ProjektFinance/Delte dokumenter/General/LeoVegas Valuation/"/>
    </mc:Choice>
  </mc:AlternateContent>
  <xr:revisionPtr revIDLastSave="348" documentId="8_{CA37F783-EA35-4CFA-9DFB-DD2195AEEFE9}" xr6:coauthVersionLast="47" xr6:coauthVersionMax="47" xr10:uidLastSave="{84C02505-E03C-4B00-A098-E94ED1866E4F}"/>
  <bookViews>
    <workbookView xWindow="-110" yWindow="-110" windowWidth="19420" windowHeight="10420" xr2:uid="{D9E83F51-8293-41A1-9433-83EBCE1E9B21}"/>
  </bookViews>
  <sheets>
    <sheet name="FCFE" sheetId="2" r:id="rId1"/>
    <sheet name="Sheet1" sheetId="1" r:id="rId2"/>
  </sheets>
  <externalReferences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2" l="1"/>
  <c r="F12" i="2"/>
  <c r="G12" i="2"/>
  <c r="H12" i="2"/>
  <c r="D12" i="2"/>
  <c r="B19" i="2" l="1"/>
  <c r="E17" i="2"/>
  <c r="C4" i="2"/>
  <c r="C5" i="2"/>
  <c r="E5" i="2"/>
  <c r="F5" i="2"/>
  <c r="G5" i="2"/>
  <c r="H5" i="2"/>
  <c r="D5" i="2"/>
  <c r="B30" i="2"/>
  <c r="A30" i="2"/>
  <c r="B29" i="2"/>
  <c r="A29" i="2"/>
  <c r="B28" i="2"/>
  <c r="A28" i="2"/>
  <c r="B27" i="2"/>
  <c r="A27" i="2"/>
  <c r="B17" i="2"/>
  <c r="H13" i="2"/>
  <c r="G13" i="2"/>
  <c r="F13" i="2"/>
  <c r="E13" i="2"/>
  <c r="D13" i="2"/>
  <c r="C13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A10" i="2"/>
  <c r="H8" i="2"/>
  <c r="G8" i="2"/>
  <c r="F8" i="2"/>
  <c r="E8" i="2"/>
  <c r="D8" i="2"/>
  <c r="C8" i="2"/>
  <c r="H7" i="2"/>
  <c r="G7" i="2"/>
  <c r="F7" i="2"/>
  <c r="E7" i="2"/>
  <c r="D7" i="2"/>
  <c r="C7" i="2"/>
  <c r="D16" i="2" l="1"/>
  <c r="C6" i="2"/>
  <c r="C9" i="2" s="1"/>
  <c r="C14" i="2" s="1"/>
  <c r="C15" i="2" s="1"/>
  <c r="D4" i="2"/>
  <c r="E16" i="2" s="1"/>
  <c r="C16" i="2"/>
  <c r="D30" i="2"/>
  <c r="K9" i="2"/>
  <c r="D6" i="2" l="1"/>
  <c r="D9" i="2" s="1"/>
  <c r="D14" i="2" s="1"/>
  <c r="D15" i="2" s="1"/>
  <c r="E4" i="2"/>
  <c r="F16" i="2" l="1"/>
  <c r="F4" i="2"/>
  <c r="E6" i="2"/>
  <c r="E9" i="2" s="1"/>
  <c r="E14" i="2" s="1"/>
  <c r="G16" i="2" l="1"/>
  <c r="G4" i="2"/>
  <c r="F6" i="2"/>
  <c r="F9" i="2" s="1"/>
  <c r="F14" i="2" s="1"/>
  <c r="H16" i="2" l="1"/>
  <c r="G6" i="2"/>
  <c r="G9" i="2" s="1"/>
  <c r="G14" i="2" s="1"/>
  <c r="H4" i="2"/>
  <c r="H6" i="2" s="1"/>
  <c r="H9" i="2" s="1"/>
  <c r="H14" i="2" s="1"/>
  <c r="G39" i="2" s="1"/>
  <c r="E40" i="2" l="1"/>
  <c r="F19" i="2" s="1"/>
  <c r="B37" i="2" s="1"/>
  <c r="F41" i="2"/>
  <c r="F40" i="2"/>
  <c r="E38" i="2"/>
  <c r="G42" i="2"/>
  <c r="D42" i="2"/>
  <c r="C41" i="2"/>
  <c r="F38" i="2"/>
  <c r="E41" i="2"/>
  <c r="C42" i="2"/>
  <c r="C40" i="2"/>
  <c r="C39" i="2"/>
  <c r="G40" i="2"/>
  <c r="F42" i="2"/>
  <c r="D39" i="2"/>
  <c r="G41" i="2"/>
  <c r="I16" i="2"/>
  <c r="J16" i="2" s="1"/>
  <c r="K16" i="2" s="1"/>
  <c r="I14" i="2"/>
  <c r="I15" i="2" s="1"/>
  <c r="D38" i="2"/>
  <c r="E42" i="2"/>
  <c r="D40" i="2"/>
  <c r="E39" i="2"/>
  <c r="F39" i="2"/>
  <c r="D41" i="2"/>
  <c r="C38" i="2"/>
  <c r="G38" i="2"/>
  <c r="G15" i="2" l="1"/>
  <c r="F15" i="2" l="1"/>
  <c r="E15" i="2"/>
  <c r="H15" i="2"/>
  <c r="J15" i="2" l="1"/>
  <c r="B22" i="2" s="1"/>
  <c r="K15" i="2" l="1"/>
  <c r="K17" i="2" s="1"/>
  <c r="L15" i="2" l="1"/>
</calcChain>
</file>

<file path=xl/sharedStrings.xml><?xml version="1.0" encoding="utf-8"?>
<sst xmlns="http://schemas.openxmlformats.org/spreadsheetml/2006/main" count="36" uniqueCount="33">
  <si>
    <t>(000EUR)</t>
  </si>
  <si>
    <t>Periods</t>
  </si>
  <si>
    <t>2022E</t>
  </si>
  <si>
    <t>2023E</t>
  </si>
  <si>
    <t>2024E</t>
  </si>
  <si>
    <t>2025E</t>
  </si>
  <si>
    <t>2026E</t>
  </si>
  <si>
    <t>TM</t>
  </si>
  <si>
    <t>Terminal value</t>
  </si>
  <si>
    <t>Free cash flows Firm</t>
  </si>
  <si>
    <t>Revenue</t>
  </si>
  <si>
    <t>EBIT Margin</t>
  </si>
  <si>
    <t>EBIT</t>
  </si>
  <si>
    <t>Operating profit</t>
  </si>
  <si>
    <t>Tax rate</t>
  </si>
  <si>
    <t>NOPAT</t>
  </si>
  <si>
    <t>D&amp;A</t>
  </si>
  <si>
    <t>Change in networking capital</t>
  </si>
  <si>
    <t>CapEx</t>
  </si>
  <si>
    <t>FCFF</t>
  </si>
  <si>
    <t>DC FCFF</t>
  </si>
  <si>
    <t>Share price 26.04</t>
  </si>
  <si>
    <t>CAGR revenue</t>
  </si>
  <si>
    <t>Fully diluted shares outstanding</t>
  </si>
  <si>
    <t>ST growth rate</t>
  </si>
  <si>
    <t>LT growth rate</t>
  </si>
  <si>
    <t>WACC</t>
  </si>
  <si>
    <t>Enterprise value</t>
  </si>
  <si>
    <t/>
  </si>
  <si>
    <t>FCF to equity</t>
  </si>
  <si>
    <t>=</t>
  </si>
  <si>
    <t>https://corporatefinanceinstitute.com/resources/knowledge/modeling/free-cash-flow-to-firm-fcff/</t>
  </si>
  <si>
    <t>Estimated revenue 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</si>
</sst>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* #,##0.00\ _k_r_._-;\-* #,##0.00\ _k_r_._-;_-* &quot;-&quot;??\ _k_r_._-;_-@_-"/>
    <numFmt numFmtId="165" formatCode="_-[$€-2]\ * #,##0.00_-;\-[$€-2]\ * #,##0.00_-;_-[$€-2]\ * &quot;-&quot;??_-;_-@_-"/>
    <numFmt numFmtId="166" formatCode="0.000%"/>
    <numFmt numFmtId="167" formatCode="0.0000%"/>
    <numFmt numFmtId="168" formatCode="0.0000000%"/>
    <numFmt numFmtId="169" formatCode="_-[$€-2]\ * #,##0.00_-;\-[$€-2]\ * #,##0.00_-;_-[$€-2]\ * &quot;-&quot;??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3" fillId="0" borderId="2" xfId="0" applyFont="1" applyBorder="1"/>
    <xf numFmtId="0" fontId="0" fillId="0" borderId="3" xfId="0" applyBorder="1"/>
    <xf numFmtId="0" fontId="0" fillId="0" borderId="2" xfId="0" applyBorder="1"/>
    <xf numFmtId="3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165" fontId="0" fillId="0" borderId="0" xfId="0" applyNumberFormat="1"/>
    <xf numFmtId="3" fontId="2" fillId="0" borderId="0" xfId="0" applyNumberFormat="1" applyFont="1"/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4" fontId="0" fillId="0" borderId="0" xfId="0" applyNumberFormat="1"/>
    <xf numFmtId="9" fontId="0" fillId="0" borderId="0" xfId="1" applyFont="1"/>
    <xf numFmtId="10" fontId="0" fillId="0" borderId="0" xfId="0" applyNumberFormat="1"/>
    <xf numFmtId="0" fontId="0" fillId="0" borderId="0" xfId="0" quotePrefix="1"/>
    <xf numFmtId="166" fontId="0" fillId="0" borderId="0" xfId="1" applyNumberFormat="1" applyFont="1"/>
    <xf numFmtId="0" fontId="3" fillId="0" borderId="0" xfId="0" applyFont="1"/>
    <xf numFmtId="10" fontId="4" fillId="0" borderId="6" xfId="1" applyNumberFormat="1" applyFont="1" applyBorder="1"/>
    <xf numFmtId="10" fontId="4" fillId="0" borderId="0" xfId="1" applyNumberFormat="1" applyFont="1" applyBorder="1" applyAlignment="1">
      <alignment vertical="justify"/>
    </xf>
    <xf numFmtId="166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167" fontId="2" fillId="0" borderId="0" xfId="1" applyNumberFormat="1" applyFont="1"/>
    <xf numFmtId="169" fontId="0" fillId="0" borderId="0" xfId="0" quotePrefix="1" applyNumberFormat="1"/>
    <xf numFmtId="169" fontId="0" fillId="0" borderId="0" xfId="0" applyNumberFormat="1"/>
    <xf numFmtId="169" fontId="4" fillId="0" borderId="0" xfId="0" applyNumberFormat="1" applyFont="1"/>
    <xf numFmtId="169" fontId="4" fillId="0" borderId="7" xfId="1" applyNumberFormat="1" applyFont="1" applyBorder="1"/>
    <xf numFmtId="10" fontId="4" fillId="0" borderId="8" xfId="1" applyNumberFormat="1" applyFont="1" applyBorder="1"/>
    <xf numFmtId="10" fontId="4" fillId="0" borderId="9" xfId="1" applyNumberFormat="1" applyFont="1" applyBorder="1"/>
    <xf numFmtId="10" fontId="4" fillId="0" borderId="10" xfId="1" applyNumberFormat="1" applyFont="1" applyBorder="1" applyAlignment="1">
      <alignment vertical="justify"/>
    </xf>
    <xf numFmtId="165" fontId="4" fillId="0" borderId="11" xfId="1" applyNumberFormat="1" applyFont="1" applyFill="1" applyBorder="1"/>
    <xf numFmtId="165" fontId="4" fillId="3" borderId="4" xfId="0" applyNumberFormat="1" applyFont="1" applyFill="1" applyBorder="1"/>
    <xf numFmtId="165" fontId="4" fillId="4" borderId="4" xfId="0" applyNumberFormat="1" applyFont="1" applyFill="1" applyBorder="1"/>
    <xf numFmtId="165" fontId="4" fillId="5" borderId="4" xfId="0" applyNumberFormat="1" applyFont="1" applyFill="1" applyBorder="1"/>
    <xf numFmtId="165" fontId="4" fillId="6" borderId="5" xfId="0" applyNumberFormat="1" applyFont="1" applyFill="1" applyBorder="1"/>
    <xf numFmtId="10" fontId="4" fillId="0" borderId="12" xfId="1" applyNumberFormat="1" applyFont="1" applyBorder="1" applyAlignment="1">
      <alignment vertical="justify"/>
    </xf>
    <xf numFmtId="165" fontId="4" fillId="7" borderId="7" xfId="1" applyNumberFormat="1" applyFont="1" applyFill="1" applyBorder="1"/>
    <xf numFmtId="165" fontId="4" fillId="0" borderId="0" xfId="0" applyNumberFormat="1" applyFont="1"/>
    <xf numFmtId="165" fontId="4" fillId="3" borderId="0" xfId="0" applyNumberFormat="1" applyFont="1" applyFill="1"/>
    <xf numFmtId="165" fontId="4" fillId="4" borderId="0" xfId="0" applyNumberFormat="1" applyFont="1" applyFill="1"/>
    <xf numFmtId="165" fontId="4" fillId="5" borderId="1" xfId="1" applyNumberFormat="1" applyFont="1" applyFill="1" applyBorder="1"/>
    <xf numFmtId="165" fontId="4" fillId="8" borderId="7" xfId="1" applyNumberFormat="1" applyFont="1" applyFill="1" applyBorder="1"/>
    <xf numFmtId="165" fontId="4" fillId="7" borderId="0" xfId="0" applyNumberFormat="1" applyFont="1" applyFill="1"/>
    <xf numFmtId="165" fontId="4" fillId="4" borderId="1" xfId="1" applyNumberFormat="1" applyFont="1" applyFill="1" applyBorder="1"/>
    <xf numFmtId="165" fontId="4" fillId="9" borderId="7" xfId="1" applyNumberFormat="1" applyFont="1" applyFill="1" applyBorder="1"/>
    <xf numFmtId="165" fontId="4" fillId="8" borderId="0" xfId="0" applyNumberFormat="1" applyFont="1" applyFill="1"/>
    <xf numFmtId="165" fontId="4" fillId="3" borderId="1" xfId="1" applyNumberFormat="1" applyFont="1" applyFill="1" applyBorder="1"/>
    <xf numFmtId="10" fontId="4" fillId="0" borderId="13" xfId="1" applyNumberFormat="1" applyFont="1" applyBorder="1" applyAlignment="1">
      <alignment vertical="justify"/>
    </xf>
    <xf numFmtId="165" fontId="4" fillId="2" borderId="14" xfId="1" applyNumberFormat="1" applyFont="1" applyFill="1" applyBorder="1"/>
    <xf numFmtId="165" fontId="4" fillId="9" borderId="2" xfId="1" applyNumberFormat="1" applyFont="1" applyFill="1" applyBorder="1"/>
    <xf numFmtId="165" fontId="4" fillId="8" borderId="2" xfId="1" applyNumberFormat="1" applyFont="1" applyFill="1" applyBorder="1"/>
    <xf numFmtId="165" fontId="4" fillId="7" borderId="2" xfId="1" applyNumberFormat="1" applyFont="1" applyFill="1" applyBorder="1"/>
    <xf numFmtId="165" fontId="4" fillId="0" borderId="3" xfId="1" applyNumberFormat="1" applyFont="1" applyFill="1" applyBorder="1"/>
    <xf numFmtId="0" fontId="5" fillId="0" borderId="1" xfId="0" applyFont="1" applyBorder="1" applyAlignment="1">
      <alignment horizontal="center" vertical="justify" textRotation="90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textRotation="90" wrapText="1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6DA39725-C523-49F6-99EB-D938ACE676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19</xdr:row>
      <xdr:rowOff>114300</xdr:rowOff>
    </xdr:from>
    <xdr:to>
      <xdr:col>17</xdr:col>
      <xdr:colOff>408793</xdr:colOff>
      <xdr:row>33</xdr:row>
      <xdr:rowOff>83947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36E65-53E7-4832-B6E8-0142A2519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85700" y="3613150"/>
          <a:ext cx="3844143" cy="25477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endix%20Illustr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"/>
      <sheetName val="Board of Directors"/>
      <sheetName val="Shareholders &amp; Insider Transact"/>
      <sheetName val="Porter's Five Forces"/>
      <sheetName val="Peer Comparison"/>
      <sheetName val="Revenue Projection"/>
      <sheetName val="Income statement"/>
      <sheetName val="Balance Sheet"/>
      <sheetName val="Cash flow statement"/>
      <sheetName val="Relative valuation"/>
      <sheetName val="Other illustrations"/>
      <sheetName val="Sheet1"/>
      <sheetName val="Monte Carlo"/>
      <sheetName val="Monte Carlo NPV"/>
    </sheetNames>
    <sheetDataSet>
      <sheetData sheetId="0"/>
      <sheetData sheetId="1"/>
      <sheetData sheetId="2"/>
      <sheetData sheetId="3"/>
      <sheetData sheetId="4"/>
      <sheetData sheetId="5">
        <row r="29">
          <cell r="C29">
            <v>0.14985825736684832</v>
          </cell>
        </row>
      </sheetData>
      <sheetData sheetId="6">
        <row r="2">
          <cell r="F2">
            <v>391171</v>
          </cell>
        </row>
        <row r="27">
          <cell r="F27">
            <v>25308</v>
          </cell>
          <cell r="G27">
            <v>26987.472263546846</v>
          </cell>
          <cell r="H27">
            <v>31031.767827698128</v>
          </cell>
          <cell r="I27">
            <v>35682.134477369596</v>
          </cell>
          <cell r="J27">
            <v>37610.280555171266</v>
          </cell>
          <cell r="K27">
            <v>43246.491658247483</v>
          </cell>
        </row>
        <row r="29">
          <cell r="G29">
            <v>15860.185658320241</v>
          </cell>
          <cell r="H29">
            <v>18754.161573052384</v>
          </cell>
          <cell r="I29">
            <v>22159.32978605587</v>
          </cell>
          <cell r="J29">
            <v>29583.02802913935</v>
          </cell>
          <cell r="K29">
            <v>34802.588905552577</v>
          </cell>
        </row>
        <row r="30">
          <cell r="F30">
            <v>4.612560747090147E-2</v>
          </cell>
          <cell r="G30">
            <v>3.5261217879400918E-2</v>
          </cell>
          <cell r="H30">
            <v>3.6261217879400835E-2</v>
          </cell>
          <cell r="I30">
            <v>3.7261217879400926E-2</v>
          </cell>
          <cell r="J30">
            <v>4.3261217879401043E-2</v>
          </cell>
          <cell r="K30">
            <v>4.4261217879401044E-2</v>
          </cell>
        </row>
        <row r="32">
          <cell r="G32">
            <v>4497.9120439244743</v>
          </cell>
          <cell r="H32">
            <v>5171.9613046163549</v>
          </cell>
          <cell r="I32">
            <v>5947.022412894933</v>
          </cell>
          <cell r="J32">
            <v>6838.2328282129565</v>
          </cell>
          <cell r="K32">
            <v>7862.998483317725</v>
          </cell>
        </row>
      </sheetData>
      <sheetData sheetId="7"/>
      <sheetData sheetId="8">
        <row r="12">
          <cell r="G12">
            <v>6687.4</v>
          </cell>
          <cell r="H12">
            <v>7689.5621103150606</v>
          </cell>
          <cell r="I12">
            <v>8841.9064880810201</v>
          </cell>
          <cell r="J12">
            <v>10166.939186185471</v>
          </cell>
          <cell r="K12">
            <v>11690.538975381949</v>
          </cell>
        </row>
        <row r="18">
          <cell r="F18">
            <v>-901</v>
          </cell>
          <cell r="G18">
            <v>-1000</v>
          </cell>
          <cell r="H18">
            <v>-1000</v>
          </cell>
          <cell r="I18">
            <v>-1000</v>
          </cell>
          <cell r="J18">
            <v>-1000</v>
          </cell>
          <cell r="K18">
            <v>-1000</v>
          </cell>
        </row>
        <row r="19">
          <cell r="F19">
            <v>-15831</v>
          </cell>
          <cell r="G19">
            <v>-18422.348805176749</v>
          </cell>
          <cell r="H19">
            <v>-21437.87098096123</v>
          </cell>
          <cell r="I19">
            <v>-24946.998727284721</v>
          </cell>
          <cell r="J19">
            <v>-29030.529479902696</v>
          </cell>
          <cell r="K19">
            <v>-33782.486266043452</v>
          </cell>
        </row>
      </sheetData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O-SE (2)"/>
      <sheetName val="FCFF"/>
      <sheetName val="Log returns (2)"/>
      <sheetName val="sadsadsa"/>
      <sheetName val="Sweden Small Cap"/>
      <sheetName val="(OMXS30-OMX)"/>
      <sheetName val="Beta"/>
      <sheetName val="LEO-SE"/>
      <sheetName val="KIND-SE"/>
      <sheetName val="BETS.B-SE"/>
      <sheetName val="Raw data"/>
      <sheetName val="Comparables"/>
      <sheetName val="Log returns"/>
      <sheetName val="DCF"/>
      <sheetName val="Sheet1"/>
      <sheetName val="OLS"/>
      <sheetName val="WACC"/>
      <sheetName val="Peers"/>
      <sheetName val="European Gambling Market"/>
      <sheetName val="American Online Gambling (2)"/>
      <sheetName val="Relative Valuation"/>
      <sheetName val="Risks"/>
      <sheetName val="Sensitivity &amp; Scenario analysis"/>
    </sheetNames>
    <sheetDataSet>
      <sheetData sheetId="0">
        <row r="11">
          <cell r="B11">
            <v>18042.999</v>
          </cell>
        </row>
        <row r="17">
          <cell r="A17" t="str">
            <v>Interest paid</v>
          </cell>
          <cell r="B17">
            <v>-3399</v>
          </cell>
        </row>
        <row r="19">
          <cell r="B19">
            <v>8946</v>
          </cell>
        </row>
        <row r="20">
          <cell r="A20" t="str">
            <v>Increase / decrease in operating receivables</v>
          </cell>
          <cell r="B20">
            <v>4188</v>
          </cell>
        </row>
        <row r="23">
          <cell r="A23" t="str">
            <v>Acquisition of property, plant and equipment</v>
          </cell>
          <cell r="B23">
            <v>-901</v>
          </cell>
        </row>
        <row r="24">
          <cell r="A24" t="str">
            <v>Acquisition of intangible assets</v>
          </cell>
          <cell r="B24">
            <v>-15831</v>
          </cell>
        </row>
        <row r="41">
          <cell r="A41" t="str">
            <v>Net increase / decrease in cash and cash equivalents</v>
          </cell>
          <cell r="B41">
            <v>11821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8">
          <cell r="C8">
            <v>0.20599999999999999</v>
          </cell>
        </row>
      </sheetData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4381-7633-4653-A69A-636660DFB306}">
  <dimension ref="A1:AH44"/>
  <sheetViews>
    <sheetView tabSelected="1" topLeftCell="A15" zoomScale="70" zoomScaleNormal="70" workbookViewId="0">
      <selection activeCell="I19" sqref="I19"/>
    </sheetView>
  </sheetViews>
  <sheetFormatPr defaultRowHeight="14.5" x14ac:dyDescent="0.35"/>
  <cols>
    <col min="1" max="1" width="45" bestFit="1" customWidth="1"/>
    <col min="2" max="2" width="14.1796875" bestFit="1" customWidth="1"/>
    <col min="3" max="3" width="11.7265625" bestFit="1" customWidth="1"/>
    <col min="4" max="4" width="11.54296875" bestFit="1" customWidth="1"/>
    <col min="5" max="8" width="12.81640625" bestFit="1" customWidth="1"/>
    <col min="9" max="11" width="14.1796875" bestFit="1" customWidth="1"/>
    <col min="12" max="12" width="9.26953125" bestFit="1" customWidth="1"/>
    <col min="27" max="27" width="10.90625" customWidth="1"/>
    <col min="28" max="28" width="5.08984375" customWidth="1"/>
    <col min="29" max="29" width="7.08984375" bestFit="1" customWidth="1"/>
    <col min="30" max="30" width="7.1796875" bestFit="1" customWidth="1"/>
  </cols>
  <sheetData>
    <row r="1" spans="1:34" x14ac:dyDescent="0.35">
      <c r="A1" t="s">
        <v>0</v>
      </c>
      <c r="B1" s="1" t="s">
        <v>1</v>
      </c>
      <c r="C1">
        <v>2021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34" x14ac:dyDescent="0.35">
      <c r="B2" s="1" t="s">
        <v>7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 t="s">
        <v>8</v>
      </c>
    </row>
    <row r="3" spans="1:34" x14ac:dyDescent="0.35">
      <c r="A3" s="2" t="s">
        <v>9</v>
      </c>
      <c r="B3" s="3"/>
      <c r="C3" s="4"/>
      <c r="D3" s="4"/>
      <c r="E3" s="4"/>
      <c r="F3" s="4"/>
      <c r="G3" s="4"/>
      <c r="H3" s="4"/>
      <c r="I3" s="4"/>
    </row>
    <row r="4" spans="1:34" x14ac:dyDescent="0.35">
      <c r="A4" s="18" t="s">
        <v>10</v>
      </c>
      <c r="B4" s="1"/>
      <c r="C4" s="5">
        <f>'[1]Income statement'!$F$2</f>
        <v>391171</v>
      </c>
      <c r="D4" s="5">
        <f>C4*(1+$E$17)</f>
        <v>449791.20439244743</v>
      </c>
      <c r="E4" s="5">
        <f>D4*(1+$E$17)</f>
        <v>517196.13046163548</v>
      </c>
      <c r="F4" s="5">
        <f>E4*(1+$E$17)</f>
        <v>594702.24128949328</v>
      </c>
      <c r="G4" s="5">
        <f>F4*(1+$E$17)</f>
        <v>683823.28282129567</v>
      </c>
      <c r="H4" s="5">
        <f>G4*(1+$E$17)</f>
        <v>786299.84833177249</v>
      </c>
    </row>
    <row r="5" spans="1:34" x14ac:dyDescent="0.35">
      <c r="A5" s="18" t="s">
        <v>11</v>
      </c>
      <c r="B5" s="1"/>
      <c r="C5" s="15">
        <f>'[1]Income statement'!$F$30</f>
        <v>4.612560747090147E-2</v>
      </c>
      <c r="D5" s="15">
        <f>'[1]Income statement'!G30</f>
        <v>3.5261217879400918E-2</v>
      </c>
      <c r="E5" s="15">
        <f>'[1]Income statement'!H30</f>
        <v>3.6261217879400835E-2</v>
      </c>
      <c r="F5" s="15">
        <f>'[1]Income statement'!I30</f>
        <v>3.7261217879400926E-2</v>
      </c>
      <c r="G5" s="15">
        <f>'[1]Income statement'!J30</f>
        <v>4.3261217879401043E-2</v>
      </c>
      <c r="H5" s="15">
        <f>'[1]Income statement'!K30</f>
        <v>4.4261217879401044E-2</v>
      </c>
    </row>
    <row r="6" spans="1:34" x14ac:dyDescent="0.35">
      <c r="A6" s="18" t="s">
        <v>12</v>
      </c>
      <c r="B6" s="1"/>
      <c r="C6" s="5">
        <f>C4*C5</f>
        <v>18043</v>
      </c>
      <c r="D6" s="5">
        <f t="shared" ref="D6:H6" si="0">D4*D5</f>
        <v>15860.185658320239</v>
      </c>
      <c r="E6" s="5">
        <f t="shared" si="0"/>
        <v>18754.161573052384</v>
      </c>
      <c r="F6" s="5">
        <f t="shared" si="0"/>
        <v>22159.32978605587</v>
      </c>
      <c r="G6" s="5">
        <f t="shared" si="0"/>
        <v>29583.028029139354</v>
      </c>
      <c r="H6" s="5">
        <f t="shared" si="0"/>
        <v>34802.588905552577</v>
      </c>
    </row>
    <row r="7" spans="1:34" x14ac:dyDescent="0.35">
      <c r="A7" t="s">
        <v>13</v>
      </c>
      <c r="B7" s="1"/>
      <c r="C7" s="5">
        <f>'[2]LEO-SE (2)'!B11</f>
        <v>18042.999</v>
      </c>
      <c r="D7" s="5">
        <f>'[1]Income statement'!G29</f>
        <v>15860.185658320241</v>
      </c>
      <c r="E7" s="5">
        <f>'[1]Income statement'!H29</f>
        <v>18754.161573052384</v>
      </c>
      <c r="F7" s="5">
        <f>'[1]Income statement'!I29</f>
        <v>22159.32978605587</v>
      </c>
      <c r="G7" s="5">
        <f>'[1]Income statement'!J29</f>
        <v>29583.02802913935</v>
      </c>
      <c r="H7" s="5">
        <f>'[1]Income statement'!K29</f>
        <v>34802.588905552577</v>
      </c>
      <c r="I7" s="6"/>
    </row>
    <row r="8" spans="1:34" x14ac:dyDescent="0.35">
      <c r="A8" t="s">
        <v>14</v>
      </c>
      <c r="B8" s="1"/>
      <c r="C8" s="7">
        <f>[2]WACC!$C$8</f>
        <v>0.20599999999999999</v>
      </c>
      <c r="D8" s="7">
        <f>[2]WACC!$C$8</f>
        <v>0.20599999999999999</v>
      </c>
      <c r="E8" s="7">
        <f>[2]WACC!$C$8</f>
        <v>0.20599999999999999</v>
      </c>
      <c r="F8" s="7">
        <f>[2]WACC!$C$8</f>
        <v>0.20599999999999999</v>
      </c>
      <c r="G8" s="7">
        <f>[2]WACC!$C$8</f>
        <v>0.20599999999999999</v>
      </c>
      <c r="H8" s="7">
        <f>[2]WACC!$C$8</f>
        <v>0.20599999999999999</v>
      </c>
      <c r="K8" s="8"/>
    </row>
    <row r="9" spans="1:34" x14ac:dyDescent="0.35">
      <c r="A9" t="s">
        <v>15</v>
      </c>
      <c r="C9" s="5">
        <f>C6*(1-C8)</f>
        <v>14326.142</v>
      </c>
      <c r="D9" s="5">
        <f t="shared" ref="D9:H9" si="1">D6*(1-D8)</f>
        <v>12592.98741270627</v>
      </c>
      <c r="E9" s="5">
        <f t="shared" si="1"/>
        <v>14890.804289003594</v>
      </c>
      <c r="F9" s="5">
        <f t="shared" si="1"/>
        <v>17594.507850128361</v>
      </c>
      <c r="G9" s="5">
        <f t="shared" si="1"/>
        <v>23488.924255136648</v>
      </c>
      <c r="H9" s="5">
        <f t="shared" si="1"/>
        <v>27633.255591008747</v>
      </c>
      <c r="K9">
        <f>(H7/C7)^(1/6)-1</f>
        <v>0.11570780465488562</v>
      </c>
    </row>
    <row r="10" spans="1:34" x14ac:dyDescent="0.35">
      <c r="A10" t="str">
        <f>'[2]LEO-SE (2)'!A17</f>
        <v>Interest paid</v>
      </c>
      <c r="B10" s="1"/>
      <c r="C10" s="5">
        <f>'[2]LEO-SE (2)'!B17</f>
        <v>-3399</v>
      </c>
      <c r="D10" s="5">
        <f>-'[1]Income statement'!G32</f>
        <v>-4497.9120439244743</v>
      </c>
      <c r="E10" s="5">
        <f>-'[1]Income statement'!H32</f>
        <v>-5171.9613046163549</v>
      </c>
      <c r="F10" s="5">
        <f>-'[1]Income statement'!I32</f>
        <v>-5947.022412894933</v>
      </c>
      <c r="G10" s="5">
        <f>-'[1]Income statement'!J32</f>
        <v>-6838.2328282129565</v>
      </c>
      <c r="H10" s="5">
        <f>-'[1]Income statement'!K32</f>
        <v>-7862.998483317725</v>
      </c>
    </row>
    <row r="11" spans="1:34" x14ac:dyDescent="0.35">
      <c r="A11" t="s">
        <v>16</v>
      </c>
      <c r="B11" s="1"/>
      <c r="C11" s="5">
        <f>'[1]Income statement'!F27</f>
        <v>25308</v>
      </c>
      <c r="D11" s="5">
        <f>'[1]Income statement'!G27</f>
        <v>26987.472263546846</v>
      </c>
      <c r="E11" s="5">
        <f>'[1]Income statement'!H27</f>
        <v>31031.767827698128</v>
      </c>
      <c r="F11" s="5">
        <f>'[1]Income statement'!I27</f>
        <v>35682.134477369596</v>
      </c>
      <c r="G11" s="5">
        <f>'[1]Income statement'!J27</f>
        <v>37610.280555171266</v>
      </c>
      <c r="H11" s="5">
        <f>'[1]Income statement'!K27</f>
        <v>43246.491658247483</v>
      </c>
      <c r="K11" s="8"/>
    </row>
    <row r="12" spans="1:34" x14ac:dyDescent="0.35">
      <c r="A12" t="s">
        <v>17</v>
      </c>
      <c r="B12" s="1"/>
      <c r="C12" s="5">
        <f>'[2]LEO-SE (2)'!B19</f>
        <v>8946</v>
      </c>
      <c r="D12" s="9">
        <f>'[1]Cash flow statement'!G12</f>
        <v>6687.4</v>
      </c>
      <c r="E12" s="9">
        <f>'[1]Cash flow statement'!H12</f>
        <v>7689.5621103150606</v>
      </c>
      <c r="F12" s="9">
        <f>'[1]Cash flow statement'!I12</f>
        <v>8841.9064880810201</v>
      </c>
      <c r="G12" s="9">
        <f>'[1]Cash flow statement'!J12</f>
        <v>10166.939186185471</v>
      </c>
      <c r="H12" s="9">
        <f>'[1]Cash flow statement'!K12</f>
        <v>11690.538975381949</v>
      </c>
      <c r="K12" s="8"/>
    </row>
    <row r="13" spans="1:34" x14ac:dyDescent="0.35">
      <c r="A13" t="s">
        <v>18</v>
      </c>
      <c r="B13" s="1"/>
      <c r="C13" s="5">
        <f>SUM('[1]Cash flow statement'!F18:F19)</f>
        <v>-16732</v>
      </c>
      <c r="D13" s="5">
        <f>SUM('[1]Cash flow statement'!G18:G19)</f>
        <v>-19422.348805176749</v>
      </c>
      <c r="E13" s="5">
        <f>SUM('[1]Cash flow statement'!H18:H19)</f>
        <v>-22437.87098096123</v>
      </c>
      <c r="F13" s="5">
        <f>SUM('[1]Cash flow statement'!I18:I19)</f>
        <v>-25946.998727284721</v>
      </c>
      <c r="G13" s="5">
        <f>SUM('[1]Cash flow statement'!J18:J19)</f>
        <v>-30030.529479902696</v>
      </c>
      <c r="H13" s="5">
        <f>SUM('[1]Cash flow statement'!K18:K19)</f>
        <v>-34782.486266043452</v>
      </c>
      <c r="K13" s="8"/>
    </row>
    <row r="14" spans="1:34" ht="17.5" x14ac:dyDescent="0.35">
      <c r="A14" s="10" t="s">
        <v>19</v>
      </c>
      <c r="B14" s="11"/>
      <c r="C14" s="12">
        <f>C9+C11-C12+C13</f>
        <v>13956.142</v>
      </c>
      <c r="D14" s="12">
        <f>D9+D11-D12+D13</f>
        <v>13470.710871076364</v>
      </c>
      <c r="E14" s="12">
        <f t="shared" ref="E14:H14" si="2">E9+E11-E12+E13</f>
        <v>15795.139025425426</v>
      </c>
      <c r="F14" s="12">
        <f t="shared" si="2"/>
        <v>18487.737112132221</v>
      </c>
      <c r="G14" s="12">
        <f t="shared" si="2"/>
        <v>20901.736144219751</v>
      </c>
      <c r="H14" s="12">
        <f t="shared" si="2"/>
        <v>24406.722007830838</v>
      </c>
      <c r="I14" s="12">
        <f>(H14*(1+$B20))/(B21-B20)</f>
        <v>588632.70724768483</v>
      </c>
      <c r="AD14" s="57" t="s">
        <v>32</v>
      </c>
      <c r="AE14" s="57"/>
      <c r="AF14" s="57"/>
      <c r="AG14" s="57"/>
      <c r="AH14" s="57"/>
    </row>
    <row r="15" spans="1:34" x14ac:dyDescent="0.35">
      <c r="A15" t="s">
        <v>20</v>
      </c>
      <c r="C15" s="8">
        <f>C14/((1+$B$21)^C2)</f>
        <v>13956.142</v>
      </c>
      <c r="D15" s="8">
        <f>D14/((1+$B$21)^D2)</f>
        <v>12618.932900305728</v>
      </c>
      <c r="E15" s="8">
        <f t="shared" ref="E15:H15" si="3">E14/((1+$B$21)^E2)</f>
        <v>13860.780479616893</v>
      </c>
      <c r="F15" s="8">
        <f t="shared" si="3"/>
        <v>15197.778337009348</v>
      </c>
      <c r="G15" s="8">
        <f t="shared" si="3"/>
        <v>16095.735484086734</v>
      </c>
      <c r="H15" s="8">
        <f t="shared" si="3"/>
        <v>17606.378583079375</v>
      </c>
      <c r="I15" s="8">
        <f>I14/((1+$B$21)^H2)</f>
        <v>424624.42465073784</v>
      </c>
      <c r="J15" s="8">
        <f>SUM(D15:I15)</f>
        <v>500004.03043483594</v>
      </c>
      <c r="K15" s="8">
        <f>J15/B18</f>
        <v>5.0650245695760194</v>
      </c>
      <c r="L15" s="13">
        <f>K15*10.4</f>
        <v>52.676255523590605</v>
      </c>
      <c r="AC15" s="26">
        <v>5.0469951499924743</v>
      </c>
      <c r="AD15" s="29">
        <v>8.3400000000000002E-2</v>
      </c>
      <c r="AE15" s="19">
        <v>0.10340000000000001</v>
      </c>
      <c r="AF15" s="19">
        <v>0.1234</v>
      </c>
      <c r="AG15" s="19">
        <v>0.1434</v>
      </c>
      <c r="AH15" s="30">
        <v>0.16339999999999999</v>
      </c>
    </row>
    <row r="16" spans="1:34" x14ac:dyDescent="0.35">
      <c r="C16" s="8">
        <f>(((C4*C5)*(1-C8))+(C11-C12+C13))/((1+$B$21)^C2)</f>
        <v>13956.142</v>
      </c>
      <c r="D16" s="8">
        <f>((((C4*(1+$E$17))*D5)*(1-D8))+(D11-D12+D13))/((1+$B$21)^D2)</f>
        <v>12618.932900305734</v>
      </c>
      <c r="E16" s="8">
        <f>((((D4*(1+$E$17))*E5)*(1-E8))+(E11-E12+E13))/((1+$B$21)^E2)</f>
        <v>13860.7804796169</v>
      </c>
      <c r="F16" s="8">
        <f>((((E4*(1+$E$17))*F5)*(1-F8))+(F11-F12+F13))/((1+$B$21)^F2)</f>
        <v>15197.778337009346</v>
      </c>
      <c r="G16" s="8">
        <f>((((F4*(1+$E$17))*G5)*(1-G8))+(G11-G12+G13))/((1+$B$21)^G2)</f>
        <v>16095.735484086732</v>
      </c>
      <c r="H16" s="8">
        <f>((((G4*(1+$E$17))*H5)*(1-H8))+(H11-H12+H13))/((1+$B$21)^H2)</f>
        <v>17606.378583079371</v>
      </c>
      <c r="I16" s="8">
        <f>(H14*(1+$B20))/(B21-B20)/((1+B21)^H2)</f>
        <v>424624.42465073784</v>
      </c>
      <c r="J16" s="8">
        <f>SUM(D16:I16)</f>
        <v>500004.03043483594</v>
      </c>
      <c r="K16" s="8">
        <f>J16/B18</f>
        <v>5.0650245695760194</v>
      </c>
      <c r="AB16" s="58" t="s">
        <v>26</v>
      </c>
      <c r="AC16" s="31">
        <v>5.8799999999999998E-2</v>
      </c>
      <c r="AD16" s="32">
        <v>6.3716360921946098</v>
      </c>
      <c r="AE16" s="33">
        <v>6.3856358135622306</v>
      </c>
      <c r="AF16" s="34">
        <v>6.3996355349298506</v>
      </c>
      <c r="AG16" s="35">
        <v>6.4136352562974697</v>
      </c>
      <c r="AH16" s="36">
        <v>6.4276349776650905</v>
      </c>
    </row>
    <row r="17" spans="1:34" x14ac:dyDescent="0.35">
      <c r="A17" t="s">
        <v>21</v>
      </c>
      <c r="B17" s="8">
        <f>3.82</f>
        <v>3.82</v>
      </c>
      <c r="D17" s="18" t="s">
        <v>22</v>
      </c>
      <c r="E17" s="24">
        <f>'[1]Revenue Projection'!$C$29</f>
        <v>0.14985825736684832</v>
      </c>
      <c r="F17" s="15"/>
      <c r="K17" s="14">
        <f>(K15-B17)/B17</f>
        <v>0.32592266219267529</v>
      </c>
      <c r="AB17" s="58"/>
      <c r="AC17" s="37">
        <v>6.3100000000000003E-2</v>
      </c>
      <c r="AD17" s="38">
        <v>5.6260444900414912</v>
      </c>
      <c r="AE17" s="39">
        <v>5.6398589188903117</v>
      </c>
      <c r="AF17" s="40">
        <v>5.6536733477391303</v>
      </c>
      <c r="AG17" s="41">
        <v>5.6674877765879499</v>
      </c>
      <c r="AH17" s="42">
        <v>5.6813022054367694</v>
      </c>
    </row>
    <row r="18" spans="1:34" x14ac:dyDescent="0.35">
      <c r="A18" t="s">
        <v>23</v>
      </c>
      <c r="B18" s="5">
        <v>98717</v>
      </c>
      <c r="E18" s="21"/>
      <c r="F18" s="17"/>
      <c r="AB18" s="58"/>
      <c r="AC18" s="37">
        <v>6.7500000000000004E-2</v>
      </c>
      <c r="AD18" s="43">
        <v>5.0197379964565281</v>
      </c>
      <c r="AE18" s="44">
        <v>5.0333665732245016</v>
      </c>
      <c r="AF18" s="39">
        <v>5.0469951499924743</v>
      </c>
      <c r="AG18" s="40">
        <v>5.0606237267604479</v>
      </c>
      <c r="AH18" s="45">
        <v>5.0742523035284215</v>
      </c>
    </row>
    <row r="19" spans="1:34" x14ac:dyDescent="0.35">
      <c r="A19" t="s">
        <v>24</v>
      </c>
      <c r="B19" s="15">
        <f>'[1]Revenue Projection'!$C$29</f>
        <v>0.14985825736684832</v>
      </c>
      <c r="E19" s="22"/>
      <c r="F19" s="26">
        <f>E40</f>
        <v>5.0650530142100401</v>
      </c>
      <c r="AB19" s="58"/>
      <c r="AC19" s="37">
        <v>7.1800000000000003E-2</v>
      </c>
      <c r="AD19" s="46">
        <v>4.5377486095008823</v>
      </c>
      <c r="AE19" s="47">
        <v>4.5511991317469889</v>
      </c>
      <c r="AF19" s="44">
        <v>4.5646496539930954</v>
      </c>
      <c r="AG19" s="39">
        <v>4.5781001762392028</v>
      </c>
      <c r="AH19" s="48">
        <v>4.5915506984853085</v>
      </c>
    </row>
    <row r="20" spans="1:34" x14ac:dyDescent="0.35">
      <c r="A20" t="s">
        <v>25</v>
      </c>
      <c r="B20" s="15">
        <v>2.5000000000000001E-2</v>
      </c>
      <c r="D20" s="16"/>
      <c r="AB20" s="58"/>
      <c r="AC20" s="49">
        <v>7.6100000000000001E-2</v>
      </c>
      <c r="AD20" s="50">
        <v>4.1372199988576561</v>
      </c>
      <c r="AE20" s="51">
        <v>4.1504959121174929</v>
      </c>
      <c r="AF20" s="52">
        <v>4.1637718253773297</v>
      </c>
      <c r="AG20" s="53">
        <v>4.1770477386371674</v>
      </c>
      <c r="AH20" s="54">
        <v>4.1903236518970033</v>
      </c>
    </row>
    <row r="21" spans="1:34" x14ac:dyDescent="0.35">
      <c r="A21" t="s">
        <v>26</v>
      </c>
      <c r="B21" s="15">
        <v>6.7500000000000004E-2</v>
      </c>
      <c r="D21" s="16"/>
    </row>
    <row r="22" spans="1:34" x14ac:dyDescent="0.35">
      <c r="A22" t="s">
        <v>27</v>
      </c>
      <c r="B22" s="8">
        <f>J15</f>
        <v>500004.03043483594</v>
      </c>
      <c r="D22" s="16"/>
      <c r="H22" s="15"/>
    </row>
    <row r="23" spans="1:34" x14ac:dyDescent="0.35">
      <c r="A23" s="16" t="s">
        <v>28</v>
      </c>
      <c r="D23" s="16"/>
    </row>
    <row r="24" spans="1:34" x14ac:dyDescent="0.35">
      <c r="B24" s="15">
        <v>0.1234</v>
      </c>
      <c r="D24" s="16"/>
    </row>
    <row r="25" spans="1:34" x14ac:dyDescent="0.35">
      <c r="D25" s="16"/>
      <c r="E25" s="23"/>
    </row>
    <row r="26" spans="1:34" x14ac:dyDescent="0.35">
      <c r="A26" s="18" t="s">
        <v>29</v>
      </c>
    </row>
    <row r="27" spans="1:34" x14ac:dyDescent="0.35">
      <c r="A27" t="str">
        <f>'[2]LEO-SE (2)'!A20</f>
        <v>Increase / decrease in operating receivables</v>
      </c>
      <c r="B27" s="5">
        <f>'[2]LEO-SE (2)'!B20</f>
        <v>4188</v>
      </c>
    </row>
    <row r="28" spans="1:34" x14ac:dyDescent="0.35">
      <c r="A28" t="str">
        <f>'[2]LEO-SE (2)'!A23</f>
        <v>Acquisition of property, plant and equipment</v>
      </c>
      <c r="B28" s="5">
        <f>'[2]LEO-SE (2)'!B23</f>
        <v>-901</v>
      </c>
    </row>
    <row r="29" spans="1:34" x14ac:dyDescent="0.35">
      <c r="A29" t="str">
        <f>'[2]LEO-SE (2)'!A24</f>
        <v>Acquisition of intangible assets</v>
      </c>
      <c r="B29" s="5">
        <f>'[2]LEO-SE (2)'!B24</f>
        <v>-15831</v>
      </c>
    </row>
    <row r="30" spans="1:34" x14ac:dyDescent="0.35">
      <c r="A30" s="5" t="str">
        <f>'[2]LEO-SE (2)'!A41</f>
        <v>Net increase / decrease in cash and cash equivalents</v>
      </c>
      <c r="B30" s="5">
        <f>'[2]LEO-SE (2)'!B41</f>
        <v>11821</v>
      </c>
      <c r="D30" s="5">
        <f>B27+B28+B29+B30</f>
        <v>-723</v>
      </c>
      <c r="F30" t="s">
        <v>30</v>
      </c>
    </row>
    <row r="35" spans="1:8" x14ac:dyDescent="0.35">
      <c r="H35" t="s">
        <v>31</v>
      </c>
    </row>
    <row r="36" spans="1:8" x14ac:dyDescent="0.35">
      <c r="B36" s="56" t="s">
        <v>32</v>
      </c>
      <c r="C36" s="56"/>
      <c r="D36" s="56"/>
      <c r="E36" s="56"/>
      <c r="F36" s="56"/>
      <c r="G36" s="56"/>
    </row>
    <row r="37" spans="1:8" x14ac:dyDescent="0.35">
      <c r="B37" s="26">
        <f>F19</f>
        <v>5.0650530142100401</v>
      </c>
      <c r="C37" s="19">
        <v>0.1099</v>
      </c>
      <c r="D37" s="19">
        <v>0.12989999999999999</v>
      </c>
      <c r="E37" s="19">
        <v>0.14990000000000001</v>
      </c>
      <c r="F37" s="19">
        <v>0.1699</v>
      </c>
      <c r="G37" s="19">
        <v>0.18990000000000001</v>
      </c>
    </row>
    <row r="38" spans="1:8" x14ac:dyDescent="0.35">
      <c r="A38" s="55" t="s">
        <v>26</v>
      </c>
      <c r="B38" s="20">
        <v>5.8799999999999998E-2</v>
      </c>
      <c r="C38" s="25">
        <f>(((((C4*(1+$C$37))*D5)*(1-D8))+(D11-D12+D13))/((1+$B$38)^D2)+((((D4*(1+$C$37))*E5)*(1-E8))+(E11-E12+E13))/((1+$B$38)^E2)+((((E4*(1+$C$37))*F5)*(1-F8))+(F11-F12+F13))/((1+$B$38)^F2)+((((F4*(1+$C$37))*G5)*(1-G8))+(G11-G12+G13))/((1+$B$38)^G2)+((((G4*(1+$C$37))*H5)*(1-H8))+(H11-H12+H13))/((1+$B$38)^H2)+(H14*(1+$B20))/(B38-B20)/((1+B38)^H2))/B18</f>
        <v>6.3901857230067076</v>
      </c>
      <c r="D38" s="27">
        <f>(((((C4*(1+$D$37))*D5)*(1-D8))+(D11-D12+D13))/((1+$B$38)^D2)+((((D4*(1+$D$37))*E5)*(1-E8))+(E11-E12+E13))/((1+$B$38)^E2)+((((E4*(1+$D$37))*F5)*(1-F8))+(F11-F12+F13))/((1+$B$38)^F2)+((((F4*(1+$D$37))*G5)*(1-G8))+(G11-G12+G13))/((1+$B$38)^G2)+((((G4*(1+$D$37))*H5)*(1-H8))+(H11-H12+H13))/((1+$B$38)^H2)+(H14*(1+$B20))/(B38-B20)/((1+B38)^H2))/B18</f>
        <v>6.4041854443743276</v>
      </c>
      <c r="E38" s="27">
        <f>(((((C4*(1+$E$37))*D5)*(1-D8))+(D11-D12+D13))/((1+$B$38)^D2)+((((D4*(1+$E$37))*E5)*(1-E8))+(E11-E12+E13))/((1+$B$38)^E2)+((((E4*(1+$E$37))*F5)*(1-F8))+(F11-F12+F13))/((1+$B$38)^F2)+((((F4*(1+$E$37))*G5)*(1-G8))+(G11-G12+G13))/((1+$B$38)^G2)+((((G4*(1+$E$37))*H5)*(1-H8))+(H11-H12+H13))/((1+$B$38)^H2)+(H14*(1+$B20))/(B38-B20)/((1+B38)^H2))/B18</f>
        <v>6.4181851657419466</v>
      </c>
      <c r="F38" s="27">
        <f>(((((C4*(1+$F$37))*D5)*(1-D8))+(D11-D12+D13))/((1+$B$38)^D2)+((((D4*(1+$F$37))*E5)*(1-E8))+(E11-E12+E13))/((1+$B$38)^E2)+((((E4*(1+$F$37))*F5)*(1-F8))+(F11-F12+F13))/((1+$B$38)^F2)+((((F4*(1+$F$37))*G5)*(1-G8))+(G11-G12+G13))/((1+$B$38)^G2)+((((G4*(1+$F$37))*H5)*(1-H8))+(H11-H12+H13))/((1+$B$38)^H2)+(H14*(1+$B20))/(B38-B20)/((1+B38)^H2))/B18</f>
        <v>6.4321848871095666</v>
      </c>
      <c r="G38" s="27">
        <f>(((((C4*(1+$G$37))*D5)*(1-D8))+(D11-D12+D13))/((1+$B$38)^D2)+((((D4*(1+$G$37))*E5)*(1-E8))+(E11-E12+E13))/((1+$B$38)^E2)+((((E4*(1+$G$37))*F5)*(1-F8))+(F11-F12+F13))/((1+$B$38)^F2)+((((F4*(1+$G$37))*G5)*(1-G8))+(G11-G12+G13))/((1+$B$38)^G2)+((((G4*(1+$G$37))*H5)*(1-H8))+(H11-H12+H13))/((1+$B$38)^H2)+(H14*(1+$B20))/(B38-B20)/((1+B38)^H2))/B18</f>
        <v>6.4461846084771866</v>
      </c>
    </row>
    <row r="39" spans="1:8" x14ac:dyDescent="0.35">
      <c r="A39" s="55"/>
      <c r="B39" s="20">
        <v>6.3100000000000003E-2</v>
      </c>
      <c r="C39" s="28">
        <f>(((((C4*(1+$C$37))*D5)*(1-D8))+(D11-D12+D13))/((1+$B$39)^D2)+((((D4*(1+$C$37))*E5)*(1-E8))+(E11-E12+E13))/((1+$B$39)^E2)+((((E4*(1+$C$37))*F5)*(1-F8))+(F11-F12+F13))/((1+$B$39)^F2)+((((F4*(1+$C$37))*G5)*(1-G8))+(G11-G12+G13))/((1+$B$39)^G2)+((((G4*(1+$C$37))*H5)*(1-H8))+(H11-H12+H13))/((1+$B$39)^H2)+(H14*(1+$B20))/(B39-B20)/((1+B39)^H2))/B18</f>
        <v>5.6443486082661778</v>
      </c>
      <c r="D39" s="27">
        <f>(((((C4*(1+$D$37))*D5)*(1-D8))+(D11-D12+D13))/((1+$B$39)^D2)+((((D4*(1+$D$37))*E5)*(1-E8))+(E11-E12+E13))/((1+$B$39)^E2)+((((E4*(1+$D$37))*F5)*(1-F8))+(F11-F12+F13))/((1+$B$39)^F2)+((((F4*(1+$D$37))*G5)*(1-G8))+(G11-G12+G13))/((1+$B$39)^G2)+((((G4*(1+$D$37))*H5)*(1-H8))+(H11-H12+H13))/((1+$B$39)^H2)+(H14*(1+$B20))/(B39-B20)/((1+B39)^H2))/B18</f>
        <v>5.6581630371149965</v>
      </c>
      <c r="E39" s="27">
        <f>(((((C4*(1+$E$37))*D5)*(1-D8))+(D11-D12+D13))/((1+$B$39)^D2)+((((D4*(1+$E$37))*E5)*(1-E8))+(E11-E12+E13))/((1+$B$39)^E2)+((((E4*(1+$E$37))*F5)*(1-F8))+(F11-F12+F13))/((1+$B$39)^F2)+((((F4*(1+$E$37))*G5)*(1-G8))+(G11-G12+G13))/((1+$B$39)^G2)+((((G4*(1+$E$37))*H5)*(1-H8))+(H11-H12+H13))/((1+$B$39)^H2)+(H14*(1+$B20))/(B39-B20)/((1+B39)^H2))/B18</f>
        <v>5.671977465963816</v>
      </c>
      <c r="F39" s="27">
        <f>(((((C4*(1+$F$37))*D5)*(1-D8))+(D11-D12+D13))/((1+$B$39)^D2)+((((D4*(1+$F$37))*E5)*(1-E8))+(E11-E12+E13))/((1+$B$39)^E2)+((((E4*(1+$F$37))*F5)*(1-F8))+(F11-F12+F13))/((1+$B$39)^F2)+((((F4*(1+$F$37))*G5)*(1-G8))+(G11-G12+G13))/((1+$B$39)^G2)+((((G4*(1+$F$37))*H5)*(1-H8))+(H11-H12+H13))/((1+$B$39)^H2)+(H14*(1+$B20))/(B39-B20)/((1+B39)^H2))/B18</f>
        <v>5.6857918948126365</v>
      </c>
      <c r="G39" s="27">
        <f>(((((C4*(1+$G$37))*D5)*(1-D8))+(D11-D12+D13))/((1+$B$39)^D2)+((((D4*(1+$G$37))*E5)*(1-E8))+(E11-E12+E13))/((1+$B$39)^E2)+((((E4*(1+$G$37))*F5)*(1-F8))+(F11-F12+F13))/((1+$B$39)^F2)+((((F4*(1+$G$37))*G5)*(1-G8))+(G11-G12+G13))/((1+$B$39)^G2)+((((G4*(1+$G$37))*H5)*(1-H8))+(H11-H12+H13))/((1+$B$39)^H2)+(H14*(1+$B20))/(B39-B20)/((1+B39)^H2))/B18</f>
        <v>5.6996063236614551</v>
      </c>
    </row>
    <row r="40" spans="1:8" x14ac:dyDescent="0.35">
      <c r="A40" s="55"/>
      <c r="B40" s="20">
        <v>6.7500000000000004E-2</v>
      </c>
      <c r="C40" s="28">
        <f>(((((C4*(1+$C$37))*D5)*(1-D8))+(D11-D12+D13))/((1+$B$40)^D2)+((((D4*(1+$C$37))*E5)*(1-E8))+(E11-E12+E13))/((1+$B$40)^E2)+((((E4*(1+$C$37))*F5)*(1-F8))+(F11-F12+F13))/((1+$B$40)^F2)+((((F4*(1+$C$37))*G5)*(1-G8))+(G11-G12+G13))/((1+$B$40)^G2)+((((G4*(1+$C$37))*H5)*(1-H8))+(H11-H12+H13))/((1+$B$40)^H2)+(H14*(1+$B20))/(B40-B20)/((1+B40)^H2))/B18</f>
        <v>5.0377958606740938</v>
      </c>
      <c r="D40" s="27">
        <f>(((((C4*(1+$D$37))*D5)*(1-D8))+(D11-D12+D13))/((1+$B$40)^D2)+((((D4*(1+$D$37))*E5)*(1-E8))+(E11-E12+E13))/((1+$B$40)^E2)+((((E4*(1+$D$37))*F5)*(1-F8))+(F11-F12+F13))/((1+$B$40)^F2)+((((F4*(1+$D$37))*G5)*(1-G8))+(G11-G12+G13))/((1+$B$40)^G2)+((((G4*(1+$D$37))*H5)*(1-H8))+(H11-H12+H13))/((1+$B$40)^H2)+(H14*(1+$B20))/(B40-B20)/((1+B40)^H2))/B18</f>
        <v>5.0514244374420665</v>
      </c>
      <c r="E40" s="25">
        <f>(((((C4*(1+$E$37))*D5)*(1-D8))+(D11-D12+D13))/((1+$B$40)^D2)+((((D4*(1+$E$37))*E5)*(1-E8))+(E11-E12+E13))/((1+$B$40)^E2)+((((E4*(1+$E$37))*F5)*(1-F8))+(F11-F12+F13))/((1+$B$40)^F2)+((((F4*(1+$E$37))*G5)*(1-G8))+(G11-G12+G13))/((1+$B$40)^G2)+((((G4*(1+$E$37))*H5)*(1-H8))+(H11-H12+H13))/((1+$B$40)^H2)+(H14*(1+$B20))/(B40-B20)/((1+B40)^H2))/B18</f>
        <v>5.0650530142100401</v>
      </c>
      <c r="F40" s="27">
        <f>(((((C4*(1+$F$37))*D5)*(1-D8))+(D11-D12+D13))/((1+$B$40)^D2)+((((D4*(1+$F$37))*E5)*(1-E8))+(E11-E12+E13))/((1+$B$40)^E2)+((((E4*(1+$F$37))*F5)*(1-F8))+(F11-F12+F13))/((1+$B$40)^F2)+((((F4*(1+$F$37))*G5)*(1-G8))+(G11-G12+G13))/((1+$B$40)^G2)+((((G4*(1+$F$37))*H5)*(1-H8))+(H11-H12+H13))/((1+$B$40)^H2)+(H14*(1+$B20))/(B40-B20)/((1+B40)^H2))/B18</f>
        <v>5.0786815909780136</v>
      </c>
      <c r="G40" s="27">
        <f>(((((C4*(1+$G$37))*D5)*(1-D8))+(D11-D12+D13))/((1+$B$40)^D2)+((((D4*(1+$G$37))*E5)*(1-E8))+(E11-E12+E13))/((1+$B$40)^E2)+((((E4*(1+$G$37))*F5)*(1-F8))+(F11-F12+F13))/((1+$B$40)^F2)+((((F4*(1+$G$37))*G5)*(1-G8))+(G11-G12+G13))/((1+$B$40)^G2)+((((G4*(1+$G$37))*H5)*(1-H8))+(H11-H12+H13))/((1+$B$40)^H2)+(H14*(1+$B20))/(B40-B20)/((1+B40)^H2))/B18</f>
        <v>5.0923101677459863</v>
      </c>
    </row>
    <row r="41" spans="1:8" x14ac:dyDescent="0.35">
      <c r="A41" s="55"/>
      <c r="B41" s="20">
        <v>7.1800000000000003E-2</v>
      </c>
      <c r="C41" s="28">
        <f>(((((C4*(1+$C$37))*D5)*(1-D8))+(D11-D12+D13))/((1+$B$41)^D2)+((((D4*(1+$C$37))*E5)*(1-E8))+(E11-E12+E13))/((1+$B$41)^E2)+((((E4*(1+$C$37))*F5)*(1-F8))+(F11-F12+F13))/((1+$B$41)^F2)+((((F4*(1+$C$37))*G5)*(1-G8))+(G11-G12+G13))/((1+$B$41)^G2)+((((G4*(1+$C$37))*H5)*(1-H8))+(H11-H12+H13))/((1+$B$41)^H2)+(H14*(1+$B20))/(B41-B20)/((1+B41)^H2))/B18</f>
        <v>4.5555705514769738</v>
      </c>
      <c r="D41" s="27">
        <f>(((((C4*(1+$D$37))*D5)*(1-D8))+(D11-D12+D13))/((1+$B$41)^D2)+((((D4*(1+$D$37))*E5)*(1-E8))+(E11-E12+E13))/((1+$B$41)^E2)+((((E4*(1+$D$37))*F5)*(1-F8))+(F11-F12+F13))/((1+$B$41)^F2)+((((F4*(1+$D$37))*G5)*(1-G8))+(G11-G12+G13))/((1+$B$41)^G2)+((((G4*(1+$D$37))*H5)*(1-H8))+(H11-H12+H13))/((1+$B$41)^H2)+(H14*(1+$B20))/(B41-B20)/((1+B41)^H2))/B18</f>
        <v>4.5690210737230803</v>
      </c>
      <c r="E41" s="27">
        <f>(((((C4*(1+$E$37))*D5)*(1-D8))+(D11-D12+D13))/((1+$B$41)^D2)+((((D4*(1+$E$37))*E5)*(1-E8))+(E11-E12+E13))/((1+$B$41)^E2)+((((E4*(1+$E$37))*F5)*(1-F8))+(F11-F12+F13))/((1+$B$41)^F2)+((((F4*(1+$E$37))*G5)*(1-G8))+(G11-G12+G13))/((1+$B$41)^G2)+((((G4*(1+$E$37))*H5)*(1-H8))+(H11-H12+H13))/((1+$B$41)^H2)+(H14*(1+$B20))/(B41-B20)/((1+B41)^H2))/B18</f>
        <v>4.5824715959691869</v>
      </c>
      <c r="F41" s="27">
        <f>(((((C4*(1+$F$37))*D5)*(1-D8))+(D11-D12+D13))/((1+$B$41)^D2)+((((D4*(1+$F$37))*E5)*(1-E8))+(E11-E12+E13))/((1+$B$41)^E2)+((((E4*(1+$F$37))*F5)*(1-F8))+(F11-F12+F13))/((1+$B$41)^F2)+((((F4*(1+$F$37))*G5)*(1-G8))+(G11-G12+G13))/((1+$B$41)^G2)+((((G4*(1+$F$37))*H5)*(1-H8))+(H11-H12+H13))/((1+$B$41)^H2)+(H14*(1+$B20))/(B41-B20)/((1+B41)^H2))/B18</f>
        <v>4.5959221182152934</v>
      </c>
      <c r="G41" s="27">
        <f>(((((C4*(1+$G$37))*D5)*(1-D8))+(D11-D12+D13))/((1+$B$41)^D2)+((((D4*(1+$G$37))*E5)*(1-E8))+(E11-E12+E13))/((1+$B$41)^E2)+((((E4*(1+$G$37))*F5)*(1-F8))+(F11-F12+F13))/((1+$B$41)^F2)+((((F4*(1+$G$37))*G5)*(1-G8))+(G11-G12+G13))/((1+$B$41)^G2)+((((G4*(1+$G$37))*H5)*(1-H8))+(H11-H12+H13))/((1+$B$41)^H2)+(H14*(1+$B20))/(B41-B20)/((1+B41)^H2))/B18</f>
        <v>4.6093726404613999</v>
      </c>
    </row>
    <row r="42" spans="1:8" x14ac:dyDescent="0.35">
      <c r="A42" s="55"/>
      <c r="B42" s="20">
        <v>7.6100000000000001E-2</v>
      </c>
      <c r="C42" s="28">
        <f>(((((C4*(1+$C$37))*D5)*(1-D8))+(D11-D12+D13))/((1+$B$42)^D2)+((((D4*(1+$C$37))*E5)*(1-E8))+(E11-E12+E13))/((1+$B$42)^E2)+((((E4*(1+$C$37))*F5)*(1-F8))+(F11-F12+F13))/((1+$B$42)^F2)+((((F4*(1+$C$37))*G5)*(1-G8))+(G11-G12+G13))/((1+$B$42)^G2)+((((G4*(1+$C$37))*H5)*(1-H8))+(H11-H12+H13))/((1+$B$42)^H2)+(H14*(1+$B20))/(B42-B20)/((1+B42)^H2))/B18</f>
        <v>4.15481058392694</v>
      </c>
      <c r="D42" s="27">
        <f>(((((C4*(1+$D$37))*D5)*(1-D8))+(D11-D12+D13))/((1+$B$42)^D2)+((((D4*(1+$D$37))*E5)*(1-E8))+(E11-E12+E13))/((1+$B$42)^E2)+((((E4*(1+$D$37))*F5)*(1-F8))+(F11-F12+F13))/((1+$B$42)^F2)+((((F4*(1+$D$37))*G5)*(1-G8))+(G11-G12+G13))/((1+$B$42)^G2)+((((G4*(1+$D$37))*H5)*(1-H8))+(H11-H12+H13))/((1+$B$42)^H2)+(H14*(1+$B20))/(B42-B20)/((1+B42)^H2))/B18</f>
        <v>4.1680864971867777</v>
      </c>
      <c r="E42" s="27">
        <f>(((((C4*(1+$E$37))*D5)*(1-D8))+(D11-D12+D13))/((1+$B$42)^D2)+((((D4*(1+$E$37))*E5)*(1-E8))+(E11-E12+E13))/((1+$B$42)^E2)+((((E4*(1+$E$37))*F5)*(1-F8))+(F11-F12+F13))/((1+$B$42)^F2)+((((F4*(1+$E$37))*G5)*(1-G8))+(G11-G12+G13))/((1+$B$42)^G2)+((((G4*(1+$E$37))*H5)*(1-H8))+(H11-H12+H13))/((1+$B$42)^H2)+(H14*(1+$B20))/(B42-B20)/((1+B42)^H2))/B18</f>
        <v>4.1813624104466136</v>
      </c>
      <c r="F42" s="27">
        <f>(((((C4*(1+$F$37))*D5)*(1-D8))+(D11-D12+D13))/((1+$B$42)^D2)+((((D4*(1+$F$37))*E5)*(1-E8))+(E11-E12+E13))/((1+$B$42)^E2)+((((E4*(1+$F$37))*F5)*(1-F8))+(F11-F12+F13))/((1+$B$42)^F2)+((((F4*(1+$F$37))*G5)*(1-G8))+(G11-G12+G13))/((1+$B$42)^G2)+((((G4*(1+$F$37))*H5)*(1-H8))+(H11-H12+H13))/((1+$B$42)^H2)+(H14*(1+$B20))/(B42-B20)/((1+B42)^H2))/B18</f>
        <v>4.1946383237064504</v>
      </c>
      <c r="G42" s="27">
        <f>(((((C4*(1+$G$37))*D5)*(1-D8))+(D11-D12+D13))/((1+$B$42)^D2)+((((D4*(1+$G$37))*E5)*(1-E8))+(E11-E12+E13))/((1+$B$42)^E2)+((((E4*(1+$G$37))*F5)*(1-F8))+(F11-F12+F13))/((1+$B$42)^F2)+((((F4*(1+$G$37))*G5)*(1-G8))+(G11-G12+G13))/((1+$B$42)^G2)+((((G4*(1+$G$37))*H5)*(1-H8))+(H11-H12+H13))/((1+$B$42)^H2)+(H14*(1+$B20))/(B42-B20)/((1+B42)^H2))/B18</f>
        <v>4.2079142369662881</v>
      </c>
    </row>
    <row r="44" spans="1:8" ht="24.65" customHeight="1" x14ac:dyDescent="0.35"/>
  </sheetData>
  <mergeCells count="4">
    <mergeCell ref="A38:A42"/>
    <mergeCell ref="B36:G36"/>
    <mergeCell ref="AD14:AH14"/>
    <mergeCell ref="AB16:AB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382B4-3680-41A0-B33A-DC541C6A859F}">
  <dimension ref="A1"/>
  <sheetViews>
    <sheetView workbookViewId="0">
      <selection activeCell="N9" sqref="N9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56D9C9617D0A41849BF36C35AD2D6F" ma:contentTypeVersion="4" ma:contentTypeDescription="Opret et nyt dokument." ma:contentTypeScope="" ma:versionID="89dcd67d1052c82c404bcfe396b38481">
  <xsd:schema xmlns:xsd="http://www.w3.org/2001/XMLSchema" xmlns:xs="http://www.w3.org/2001/XMLSchema" xmlns:p="http://schemas.microsoft.com/office/2006/metadata/properties" xmlns:ns2="1753885f-5637-49b9-a5ae-e7ab5f9c8676" targetNamespace="http://schemas.microsoft.com/office/2006/metadata/properties" ma:root="true" ma:fieldsID="e22f051f8c77f9e9e124dbab011c15ff" ns2:_="">
    <xsd:import namespace="1753885f-5637-49b9-a5ae-e7ab5f9c86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3885f-5637-49b9-a5ae-e7ab5f9c86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D23686-5B00-42E3-AAAD-0A5CF61465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53885f-5637-49b9-a5ae-e7ab5f9c86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1D1379-2741-4825-8E88-46A1928F3F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300360-39F3-443B-8535-BE9363E0842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753885f-5637-49b9-a5ae-e7ab5f9c8676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Poulsen</dc:creator>
  <cp:keywords/>
  <dc:description/>
  <cp:lastModifiedBy>Thomas Poulsen</cp:lastModifiedBy>
  <cp:revision/>
  <dcterms:created xsi:type="dcterms:W3CDTF">2022-05-04T13:15:48Z</dcterms:created>
  <dcterms:modified xsi:type="dcterms:W3CDTF">2022-06-05T12:16:17Z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0x010100DF56D9C9617D0A41849BF36C35AD2D6F</vt:lpwstr>
  </property>
</Properties>
</file>