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khaSingh\Documents\Personal\gits\embedded_c_lookup_table\doco_and_tools\"/>
    </mc:Choice>
  </mc:AlternateContent>
  <xr:revisionPtr revIDLastSave="0" documentId="13_ncr:1_{E898BB69-6765-4501-97E8-EE63A92EB1CE}" xr6:coauthVersionLast="47" xr6:coauthVersionMax="47" xr10:uidLastSave="{00000000-0000-0000-0000-000000000000}"/>
  <bookViews>
    <workbookView xWindow="-120" yWindow="-120" windowWidth="29040" windowHeight="15840" tabRatio="427" xr2:uid="{D64D4634-202D-45AA-88E4-0352A8883FE2}"/>
  </bookViews>
  <sheets>
    <sheet name="CodeGenerator" sheetId="1" r:id="rId1"/>
  </sheets>
  <definedNames>
    <definedName name="DecPlaces">CodeGenerator!$G$10</definedName>
    <definedName name="DecPlaces_X">CodeGenerator!$F$10</definedName>
    <definedName name="DecPlaces_Y">CodeGenerator!$G$10</definedName>
    <definedName name="MAKE_FUNC_BIDIRECTIONAL">CodeGenerator!$AS$39</definedName>
    <definedName name="TEMPLATE_X_TO_Y">CodeGenerator!$AS$36</definedName>
    <definedName name="TEMPLATE_Y_TO_X">CodeGenerator!$AS$37</definedName>
    <definedName name="VARNAME_IN">CodeGenerator!$AS$32</definedName>
    <definedName name="X_LIST">CodeGenerator!$AS$28</definedName>
    <definedName name="X_VARNAME">CodeGenerator!$AS$32</definedName>
    <definedName name="Y_LIST">CodeGenerator!$AT$28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30" i="1" l="1"/>
  <c r="AT31" i="1" s="1"/>
  <c r="AS30" i="1"/>
  <c r="AS31" i="1" s="1"/>
  <c r="K33" i="1"/>
  <c r="K32" i="1"/>
  <c r="K31" i="1"/>
  <c r="K28" i="1"/>
  <c r="K34" i="1"/>
  <c r="K30" i="1"/>
  <c r="AS35" i="1"/>
  <c r="AT35" i="1"/>
  <c r="BJ17" i="1"/>
  <c r="BM17" i="1" s="1"/>
  <c r="BV17" i="1" s="1"/>
  <c r="BJ20" i="1"/>
  <c r="BM20" i="1" s="1"/>
  <c r="BV20" i="1" s="1"/>
  <c r="BJ21" i="1"/>
  <c r="BM21" i="1" s="1"/>
  <c r="BV21" i="1" s="1"/>
  <c r="BJ28" i="1"/>
  <c r="BM28" i="1" s="1"/>
  <c r="BV28" i="1" s="1"/>
  <c r="BJ29" i="1"/>
  <c r="BM29" i="1" s="1"/>
  <c r="BV29" i="1" s="1"/>
  <c r="AL15" i="1"/>
  <c r="AL13" i="1"/>
  <c r="AL14" i="1"/>
  <c r="AL19" i="1"/>
  <c r="AL22" i="1"/>
  <c r="BJ27" i="1"/>
  <c r="BM27" i="1" s="1"/>
  <c r="BV27" i="1" s="1"/>
  <c r="AL30" i="1"/>
  <c r="AS33" i="1"/>
  <c r="AT22" i="1"/>
  <c r="AT23" i="1" s="1"/>
  <c r="AS22" i="1"/>
  <c r="AS23" i="1" s="1"/>
  <c r="AT24" i="1"/>
  <c r="AT25" i="1"/>
  <c r="AT27" i="1" s="1"/>
  <c r="AS25" i="1"/>
  <c r="AS27" i="1" s="1"/>
  <c r="AK14" i="1"/>
  <c r="AL16" i="1"/>
  <c r="AL24" i="1"/>
  <c r="AL31" i="1"/>
  <c r="AL32" i="1"/>
  <c r="AL33" i="1"/>
  <c r="AL34" i="1"/>
  <c r="AL35" i="1"/>
  <c r="AL36" i="1"/>
  <c r="AL37" i="1"/>
  <c r="AL38" i="1"/>
  <c r="AP39" i="1" s="1"/>
  <c r="AL39" i="1"/>
  <c r="AL40" i="1"/>
  <c r="AL41" i="1"/>
  <c r="AL42" i="1"/>
  <c r="AL43" i="1"/>
  <c r="AL44" i="1"/>
  <c r="AL45" i="1"/>
  <c r="AL46" i="1"/>
  <c r="AP47" i="1" s="1"/>
  <c r="AL47" i="1"/>
  <c r="AL48" i="1"/>
  <c r="AP48" i="1" s="1"/>
  <c r="AK34" i="1"/>
  <c r="AK35" i="1"/>
  <c r="AK36" i="1"/>
  <c r="AK37" i="1"/>
  <c r="AK38" i="1"/>
  <c r="AK39" i="1"/>
  <c r="AK40" i="1"/>
  <c r="AK41" i="1"/>
  <c r="AK42" i="1"/>
  <c r="AO42" i="1" s="1"/>
  <c r="AK43" i="1"/>
  <c r="AK44" i="1"/>
  <c r="AK45" i="1"/>
  <c r="AK46" i="1"/>
  <c r="AK47" i="1"/>
  <c r="AK48" i="1"/>
  <c r="AK13" i="1"/>
  <c r="AM48" i="1"/>
  <c r="AN48" i="1"/>
  <c r="BJ16" i="1"/>
  <c r="BM16" i="1" s="1"/>
  <c r="BV16" i="1" s="1"/>
  <c r="BJ22" i="1"/>
  <c r="BM22" i="1" s="1"/>
  <c r="BV22" i="1" s="1"/>
  <c r="BJ24" i="1"/>
  <c r="BM24" i="1" s="1"/>
  <c r="BV24" i="1" s="1"/>
  <c r="BJ30" i="1"/>
  <c r="BM30" i="1" s="1"/>
  <c r="BV30" i="1" s="1"/>
  <c r="BJ31" i="1"/>
  <c r="BM31" i="1" s="1"/>
  <c r="BV31" i="1" s="1"/>
  <c r="BJ32" i="1"/>
  <c r="BM32" i="1" s="1"/>
  <c r="BV32" i="1" s="1"/>
  <c r="BJ33" i="1"/>
  <c r="BM33" i="1" s="1"/>
  <c r="BV33" i="1" s="1"/>
  <c r="BI34" i="1"/>
  <c r="BL34" i="1" s="1"/>
  <c r="BU34" i="1" s="1"/>
  <c r="BJ34" i="1"/>
  <c r="BM34" i="1" s="1"/>
  <c r="BV34" i="1" s="1"/>
  <c r="BI35" i="1"/>
  <c r="BL35" i="1" s="1"/>
  <c r="BU35" i="1" s="1"/>
  <c r="BJ35" i="1"/>
  <c r="BM35" i="1" s="1"/>
  <c r="BV35" i="1" s="1"/>
  <c r="BI36" i="1"/>
  <c r="BL36" i="1" s="1"/>
  <c r="BU36" i="1" s="1"/>
  <c r="BJ36" i="1"/>
  <c r="BM36" i="1" s="1"/>
  <c r="BV36" i="1" s="1"/>
  <c r="BI37" i="1"/>
  <c r="BL37" i="1" s="1"/>
  <c r="BU37" i="1" s="1"/>
  <c r="BJ37" i="1"/>
  <c r="BM37" i="1" s="1"/>
  <c r="BV37" i="1" s="1"/>
  <c r="BI38" i="1"/>
  <c r="BL38" i="1" s="1"/>
  <c r="BU38" i="1" s="1"/>
  <c r="BJ38" i="1"/>
  <c r="BM38" i="1" s="1"/>
  <c r="BV38" i="1" s="1"/>
  <c r="BI39" i="1"/>
  <c r="BL39" i="1" s="1"/>
  <c r="BU39" i="1" s="1"/>
  <c r="BJ39" i="1"/>
  <c r="BM39" i="1" s="1"/>
  <c r="BV39" i="1" s="1"/>
  <c r="BI40" i="1"/>
  <c r="BL40" i="1" s="1"/>
  <c r="BU40" i="1" s="1"/>
  <c r="BJ40" i="1"/>
  <c r="BM40" i="1" s="1"/>
  <c r="BV40" i="1" s="1"/>
  <c r="BI41" i="1"/>
  <c r="BL41" i="1" s="1"/>
  <c r="BU41" i="1" s="1"/>
  <c r="BJ41" i="1"/>
  <c r="BM41" i="1" s="1"/>
  <c r="BV41" i="1" s="1"/>
  <c r="BI42" i="1"/>
  <c r="BL42" i="1" s="1"/>
  <c r="BU42" i="1" s="1"/>
  <c r="BJ42" i="1"/>
  <c r="BM42" i="1" s="1"/>
  <c r="BV42" i="1" s="1"/>
  <c r="BI43" i="1"/>
  <c r="BL43" i="1" s="1"/>
  <c r="BU43" i="1" s="1"/>
  <c r="BJ43" i="1"/>
  <c r="BM43" i="1" s="1"/>
  <c r="BV43" i="1" s="1"/>
  <c r="BI44" i="1"/>
  <c r="BL44" i="1" s="1"/>
  <c r="BU44" i="1" s="1"/>
  <c r="BJ44" i="1"/>
  <c r="BM44" i="1" s="1"/>
  <c r="BV44" i="1" s="1"/>
  <c r="BI45" i="1"/>
  <c r="BL45" i="1" s="1"/>
  <c r="BU45" i="1" s="1"/>
  <c r="BJ45" i="1"/>
  <c r="BM45" i="1" s="1"/>
  <c r="BV45" i="1" s="1"/>
  <c r="BI46" i="1"/>
  <c r="BL46" i="1" s="1"/>
  <c r="BU46" i="1" s="1"/>
  <c r="BJ46" i="1"/>
  <c r="BM46" i="1" s="1"/>
  <c r="BV46" i="1" s="1"/>
  <c r="BI47" i="1"/>
  <c r="BL47" i="1" s="1"/>
  <c r="BU47" i="1" s="1"/>
  <c r="BJ47" i="1"/>
  <c r="BM47" i="1" s="1"/>
  <c r="BV47" i="1" s="1"/>
  <c r="BI48" i="1"/>
  <c r="BL48" i="1" s="1"/>
  <c r="BU48" i="1" s="1"/>
  <c r="BJ48" i="1"/>
  <c r="BM48" i="1" s="1"/>
  <c r="BV48" i="1" s="1"/>
  <c r="AP42" i="1" l="1"/>
  <c r="AP40" i="1"/>
  <c r="AP44" i="1"/>
  <c r="AP36" i="1"/>
  <c r="AP41" i="1"/>
  <c r="AT28" i="1"/>
  <c r="AO43" i="1"/>
  <c r="AO35" i="1"/>
  <c r="AP34" i="1"/>
  <c r="AP33" i="1"/>
  <c r="AS28" i="1"/>
  <c r="BJ25" i="1"/>
  <c r="BM25" i="1" s="1"/>
  <c r="BV25" i="1" s="1"/>
  <c r="AL25" i="1"/>
  <c r="AP25" i="1" s="1"/>
  <c r="AP15" i="1"/>
  <c r="BJ26" i="1"/>
  <c r="BM26" i="1" s="1"/>
  <c r="BV26" i="1" s="1"/>
  <c r="AL26" i="1"/>
  <c r="BJ18" i="1"/>
  <c r="BM18" i="1" s="1"/>
  <c r="BV18" i="1" s="1"/>
  <c r="AL18" i="1"/>
  <c r="AP19" i="1" s="1"/>
  <c r="AL23" i="1"/>
  <c r="AP23" i="1" s="1"/>
  <c r="BJ23" i="1"/>
  <c r="BM23" i="1" s="1"/>
  <c r="BV23" i="1" s="1"/>
  <c r="AL27" i="1"/>
  <c r="AL17" i="1"/>
  <c r="AP17" i="1" s="1"/>
  <c r="AP16" i="1"/>
  <c r="BJ19" i="1"/>
  <c r="BM19" i="1" s="1"/>
  <c r="BV19" i="1" s="1"/>
  <c r="AL29" i="1"/>
  <c r="AL21" i="1"/>
  <c r="AL28" i="1"/>
  <c r="AL20" i="1"/>
  <c r="AP20" i="1" s="1"/>
  <c r="AP14" i="1"/>
  <c r="AP43" i="1"/>
  <c r="AP45" i="1"/>
  <c r="AP37" i="1"/>
  <c r="AV25" i="1"/>
  <c r="AV27" i="1"/>
  <c r="AP46" i="1"/>
  <c r="AP38" i="1"/>
  <c r="AS26" i="1"/>
  <c r="AV23" i="1"/>
  <c r="AP32" i="1"/>
  <c r="AT26" i="1"/>
  <c r="BJ12" i="1" s="1"/>
  <c r="AV22" i="1"/>
  <c r="AP35" i="1"/>
  <c r="AP31" i="1"/>
  <c r="BI33" i="1"/>
  <c r="BL33" i="1" s="1"/>
  <c r="BU33" i="1" s="1"/>
  <c r="AK33" i="1"/>
  <c r="AO34" i="1" s="1"/>
  <c r="AK32" i="1"/>
  <c r="BI32" i="1"/>
  <c r="BL32" i="1" s="1"/>
  <c r="BU32" i="1" s="1"/>
  <c r="AK30" i="1"/>
  <c r="BI30" i="1"/>
  <c r="BL30" i="1" s="1"/>
  <c r="BU30" i="1" s="1"/>
  <c r="AO45" i="1"/>
  <c r="AO37" i="1"/>
  <c r="AO36" i="1"/>
  <c r="AO48" i="1"/>
  <c r="AO40" i="1"/>
  <c r="AO46" i="1"/>
  <c r="AO38" i="1"/>
  <c r="AO47" i="1"/>
  <c r="AO39" i="1"/>
  <c r="AO14" i="1"/>
  <c r="AO44" i="1"/>
  <c r="AO41" i="1"/>
  <c r="AS36" i="1" l="1"/>
  <c r="AV28" i="1"/>
  <c r="AO33" i="1"/>
  <c r="AP21" i="1"/>
  <c r="AP26" i="1"/>
  <c r="AP28" i="1"/>
  <c r="AS37" i="1"/>
  <c r="AP18" i="1"/>
  <c r="AP22" i="1"/>
  <c r="AP24" i="1"/>
  <c r="AP27" i="1"/>
  <c r="AP29" i="1"/>
  <c r="AP30" i="1"/>
  <c r="AK15" i="1"/>
  <c r="AO15" i="1" s="1"/>
  <c r="BI12" i="1"/>
  <c r="AS42" i="1" s="1"/>
  <c r="AV26" i="1"/>
  <c r="AK31" i="1"/>
  <c r="BI31" i="1"/>
  <c r="BL31" i="1" s="1"/>
  <c r="BU31" i="1" s="1"/>
  <c r="AP13" i="1" l="1"/>
  <c r="BI16" i="1"/>
  <c r="BL16" i="1" s="1"/>
  <c r="BU16" i="1" s="1"/>
  <c r="AK16" i="1"/>
  <c r="AO16" i="1" s="1"/>
  <c r="AO32" i="1"/>
  <c r="AO31" i="1"/>
  <c r="AS39" i="1" l="1"/>
  <c r="K29" i="1" s="1"/>
  <c r="U26" i="1"/>
  <c r="BI17" i="1"/>
  <c r="BL17" i="1" s="1"/>
  <c r="BU17" i="1" s="1"/>
  <c r="AK17" i="1"/>
  <c r="AO17" i="1" s="1"/>
  <c r="AS32" i="1" l="1"/>
  <c r="AS44" i="1" s="1"/>
  <c r="AS34" i="1"/>
  <c r="K48" i="1"/>
  <c r="K47" i="1"/>
  <c r="K45" i="1"/>
  <c r="K44" i="1"/>
  <c r="K43" i="1"/>
  <c r="K41" i="1"/>
  <c r="AK18" i="1"/>
  <c r="AO18" i="1" s="1"/>
  <c r="BI18" i="1"/>
  <c r="BL18" i="1" s="1"/>
  <c r="BU18" i="1" s="1"/>
  <c r="K42" i="1" l="1"/>
  <c r="K46" i="1"/>
  <c r="K40" i="1"/>
  <c r="K35" i="1"/>
  <c r="AK19" i="1"/>
  <c r="AO19" i="1" s="1"/>
  <c r="BI19" i="1"/>
  <c r="BL19" i="1" s="1"/>
  <c r="BU19" i="1" s="1"/>
  <c r="N23" i="1"/>
  <c r="Q23" i="1" s="1"/>
  <c r="F51" i="1"/>
  <c r="I51" i="1" s="1"/>
  <c r="BI13" i="1"/>
  <c r="BL13" i="1" s="1"/>
  <c r="BU13" i="1" s="1"/>
  <c r="G12" i="1"/>
  <c r="AL12" i="1" s="1"/>
  <c r="AS24" i="1"/>
  <c r="F49" i="1"/>
  <c r="I49" i="1" s="1"/>
  <c r="L14" i="1"/>
  <c r="L15" i="1" s="1"/>
  <c r="L16" i="1" s="1"/>
  <c r="BJ13" i="1"/>
  <c r="BI14" i="1"/>
  <c r="BL14" i="1" s="1"/>
  <c r="BU14" i="1" s="1"/>
  <c r="BI15" i="1"/>
  <c r="BL15" i="1" s="1"/>
  <c r="BU15" i="1" s="1"/>
  <c r="BJ14" i="1"/>
  <c r="BM14" i="1" s="1"/>
  <c r="BV14" i="1" s="1"/>
  <c r="BJ15" i="1"/>
  <c r="BM15" i="1" s="1"/>
  <c r="BV15" i="1" s="1"/>
  <c r="F12" i="1" l="1"/>
  <c r="AK12" i="1" s="1"/>
  <c r="AV24" i="1"/>
  <c r="AK20" i="1"/>
  <c r="AO20" i="1" s="1"/>
  <c r="BI20" i="1"/>
  <c r="BL20" i="1" s="1"/>
  <c r="BU20" i="1" s="1"/>
  <c r="BU52" i="1"/>
  <c r="BM13" i="1"/>
  <c r="BV13" i="1" s="1"/>
  <c r="BV11" i="1" s="1"/>
  <c r="BI21" i="1" l="1"/>
  <c r="BL21" i="1" s="1"/>
  <c r="BU21" i="1" s="1"/>
  <c r="AK21" i="1"/>
  <c r="AO21" i="1" s="1"/>
  <c r="AK22" i="1" l="1"/>
  <c r="AO22" i="1" s="1"/>
  <c r="BI22" i="1"/>
  <c r="BL22" i="1" s="1"/>
  <c r="BU22" i="1" s="1"/>
  <c r="AK23" i="1" l="1"/>
  <c r="AO23" i="1" s="1"/>
  <c r="BI23" i="1"/>
  <c r="BL23" i="1" s="1"/>
  <c r="BU23" i="1" s="1"/>
  <c r="AK24" i="1" l="1"/>
  <c r="AO24" i="1" s="1"/>
  <c r="BI24" i="1"/>
  <c r="BL24" i="1" s="1"/>
  <c r="BU24" i="1" s="1"/>
  <c r="AK25" i="1" l="1"/>
  <c r="AO25" i="1" s="1"/>
  <c r="BI25" i="1"/>
  <c r="BL25" i="1" s="1"/>
  <c r="BU25" i="1" s="1"/>
  <c r="AK26" i="1" l="1"/>
  <c r="AO26" i="1" s="1"/>
  <c r="BI26" i="1"/>
  <c r="BL26" i="1" s="1"/>
  <c r="BU26" i="1" s="1"/>
  <c r="AK27" i="1" l="1"/>
  <c r="AO27" i="1" s="1"/>
  <c r="BI27" i="1"/>
  <c r="BL27" i="1" s="1"/>
  <c r="BU27" i="1" s="1"/>
  <c r="BI28" i="1" l="1"/>
  <c r="BL28" i="1" s="1"/>
  <c r="BU28" i="1" s="1"/>
  <c r="AK28" i="1"/>
  <c r="AO28" i="1" s="1"/>
  <c r="BI29" i="1" l="1"/>
  <c r="BL29" i="1" s="1"/>
  <c r="BU29" i="1" s="1"/>
  <c r="BU11" i="1" s="1"/>
  <c r="BS10" i="1" s="1"/>
  <c r="AK29" i="1"/>
  <c r="BO14" i="1" l="1"/>
  <c r="BO18" i="1"/>
  <c r="BO22" i="1"/>
  <c r="BO26" i="1"/>
  <c r="BO30" i="1"/>
  <c r="BO34" i="1"/>
  <c r="BO38" i="1"/>
  <c r="BO42" i="1"/>
  <c r="BO46" i="1"/>
  <c r="BP14" i="1"/>
  <c r="BP18" i="1"/>
  <c r="BP22" i="1"/>
  <c r="BP26" i="1"/>
  <c r="BP30" i="1"/>
  <c r="BP34" i="1"/>
  <c r="BP38" i="1"/>
  <c r="BP42" i="1"/>
  <c r="BP46" i="1"/>
  <c r="BP16" i="1"/>
  <c r="BP28" i="1"/>
  <c r="BP36" i="1"/>
  <c r="BP44" i="1"/>
  <c r="BO15" i="1"/>
  <c r="BO19" i="1"/>
  <c r="BO23" i="1"/>
  <c r="BO27" i="1"/>
  <c r="BO31" i="1"/>
  <c r="BO35" i="1"/>
  <c r="BO39" i="1"/>
  <c r="BO43" i="1"/>
  <c r="BO47" i="1"/>
  <c r="BP20" i="1"/>
  <c r="BP24" i="1"/>
  <c r="BP32" i="1"/>
  <c r="BP40" i="1"/>
  <c r="BP48" i="1"/>
  <c r="BP15" i="1"/>
  <c r="BP19" i="1"/>
  <c r="BP23" i="1"/>
  <c r="BP27" i="1"/>
  <c r="BP31" i="1"/>
  <c r="BP35" i="1"/>
  <c r="BP39" i="1"/>
  <c r="BP43" i="1"/>
  <c r="BP47" i="1"/>
  <c r="BO16" i="1"/>
  <c r="BO20" i="1"/>
  <c r="BO24" i="1"/>
  <c r="BO28" i="1"/>
  <c r="BO32" i="1"/>
  <c r="BO36" i="1"/>
  <c r="BO40" i="1"/>
  <c r="BO44" i="1"/>
  <c r="BO48" i="1"/>
  <c r="BO17" i="1"/>
  <c r="BO21" i="1"/>
  <c r="BO25" i="1"/>
  <c r="BO29" i="1"/>
  <c r="BO33" i="1"/>
  <c r="BO37" i="1"/>
  <c r="BO41" i="1"/>
  <c r="BO45" i="1"/>
  <c r="BP13" i="1"/>
  <c r="BS13" i="1" s="1"/>
  <c r="BP17" i="1"/>
  <c r="BP21" i="1"/>
  <c r="BP25" i="1"/>
  <c r="BP29" i="1"/>
  <c r="BP33" i="1"/>
  <c r="BP37" i="1"/>
  <c r="BP41" i="1"/>
  <c r="BP45" i="1"/>
  <c r="BO13" i="1"/>
  <c r="BR13" i="1" s="1"/>
  <c r="AO29" i="1"/>
  <c r="AO30" i="1"/>
  <c r="BR14" i="1" l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54" i="1" s="1"/>
  <c r="K37" i="1" s="1"/>
  <c r="BS14" i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R55" i="1" s="1"/>
  <c r="K38" i="1" s="1"/>
  <c r="AO13" i="1"/>
  <c r="O3" i="1" s="1"/>
</calcChain>
</file>

<file path=xl/sharedStrings.xml><?xml version="1.0" encoding="utf-8"?>
<sst xmlns="http://schemas.openxmlformats.org/spreadsheetml/2006/main" count="189" uniqueCount="45">
  <si>
    <t>|</t>
  </si>
  <si>
    <t>X</t>
  </si>
  <si>
    <t>Y</t>
  </si>
  <si>
    <t>n</t>
  </si>
  <si>
    <t>Title</t>
  </si>
  <si>
    <t>Units</t>
  </si>
  <si>
    <t>DecPlaces</t>
  </si>
  <si>
    <t>{</t>
  </si>
  <si>
    <t xml:space="preserve">                                                                </t>
  </si>
  <si>
    <t>Suffix</t>
  </si>
  <si>
    <t>Formatted Output:</t>
  </si>
  <si>
    <t>Graph to Review</t>
  </si>
  <si>
    <t xml:space="preserve">Digit Padding: </t>
  </si>
  <si>
    <t>Data Reference:</t>
  </si>
  <si>
    <t>Enter Data in the White Cells</t>
  </si>
  <si>
    <t>Rev 1.0</t>
  </si>
  <si>
    <t>Verify Monotonic</t>
  </si>
  <si>
    <t>Monotonic Checks</t>
  </si>
  <si>
    <t>X varname</t>
  </si>
  <si>
    <t>Template_X_to_Y</t>
  </si>
  <si>
    <t>Template_Y_to_X</t>
  </si>
  <si>
    <t>y_list</t>
  </si>
  <si>
    <t>°C</t>
  </si>
  <si>
    <t>Temperature</t>
  </si>
  <si>
    <t>bits</t>
  </si>
  <si>
    <t>x</t>
  </si>
  <si>
    <t>y</t>
  </si>
  <si>
    <t>title</t>
  </si>
  <si>
    <t>suffix</t>
  </si>
  <si>
    <t>name [lower]</t>
  </si>
  <si>
    <t>name [upper]</t>
  </si>
  <si>
    <t>list</t>
  </si>
  <si>
    <t>nicened</t>
  </si>
  <si>
    <t>ADC</t>
  </si>
  <si>
    <t>Lookup Name</t>
  </si>
  <si>
    <t>Module</t>
  </si>
  <si>
    <t>Temperature Conversion</t>
  </si>
  <si>
    <t>Function Name</t>
  </si>
  <si>
    <t>Out of Range rule:</t>
  </si>
  <si>
    <t>Bidrectional:</t>
  </si>
  <si>
    <t>Bidirectional</t>
  </si>
  <si>
    <t>LI_CLIP</t>
  </si>
  <si>
    <t>Rounding note</t>
  </si>
  <si>
    <t>Unit info</t>
  </si>
  <si>
    <t>From Test Unit A-01.  (Initial test sweep)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</si>
</sst>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0"/>
      <color theme="1"/>
      <name val="Courier New"/>
      <family val="3"/>
    </font>
    <font>
      <sz val="11"/>
      <color rgb="FF172B4D"/>
      <name val="Segoe UI"/>
      <family val="2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sz val="12"/>
      <name val="Courier New"/>
      <family val="3"/>
    </font>
    <font>
      <b/>
      <sz val="12"/>
      <name val="Courier New"/>
      <family val="3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ourier New"/>
      <family val="3"/>
    </font>
    <font>
      <sz val="9"/>
      <color theme="1"/>
      <name val="Courier New"/>
      <family val="3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rgb="FFC1C7D0"/>
      </left>
      <right/>
      <top/>
      <bottom/>
      <diagonal/>
    </border>
    <border>
      <left style="medium">
        <color rgb="FFC1C7D0"/>
      </left>
      <right style="medium">
        <color rgb="FFC1C7D0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7D0"/>
      </left>
      <right/>
      <top/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3" xfId="0" applyFill="1" applyBorder="1"/>
    <xf numFmtId="0" fontId="6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Alignment="1"/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0" fillId="2" borderId="8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2" fillId="2" borderId="10" xfId="0" applyFont="1" applyFill="1" applyBorder="1" applyAlignment="1">
      <alignment vertical="center"/>
    </xf>
    <xf numFmtId="0" fontId="0" fillId="2" borderId="11" xfId="0" applyFill="1" applyBorder="1"/>
    <xf numFmtId="0" fontId="0" fillId="2" borderId="10" xfId="0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 applyAlignment="1"/>
    <xf numFmtId="0" fontId="6" fillId="2" borderId="16" xfId="0" applyFont="1" applyFill="1" applyBorder="1" applyAlignment="1">
      <alignment horizontal="left" vertical="center"/>
    </xf>
    <xf numFmtId="0" fontId="0" fillId="2" borderId="16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2" fillId="2" borderId="20" xfId="0" applyFont="1" applyFill="1" applyBorder="1" applyAlignment="1">
      <alignment vertical="center"/>
    </xf>
    <xf numFmtId="0" fontId="0" fillId="2" borderId="21" xfId="0" applyFill="1" applyBorder="1"/>
    <xf numFmtId="0" fontId="1" fillId="2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right" vertical="center"/>
    </xf>
    <xf numFmtId="0" fontId="0" fillId="2" borderId="22" xfId="0" applyFill="1" applyBorder="1" applyAlignment="1">
      <alignment horizontal="center"/>
    </xf>
    <xf numFmtId="0" fontId="0" fillId="2" borderId="22" xfId="0" applyFill="1" applyBorder="1"/>
    <xf numFmtId="0" fontId="2" fillId="2" borderId="22" xfId="0" applyFont="1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0" fillId="2" borderId="5" xfId="0" applyFill="1" applyBorder="1"/>
    <xf numFmtId="0" fontId="13" fillId="2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indent="2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right" indent="2"/>
    </xf>
    <xf numFmtId="0" fontId="14" fillId="0" borderId="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 indent="1"/>
    </xf>
    <xf numFmtId="0" fontId="0" fillId="0" borderId="3" xfId="0" applyFill="1" applyBorder="1" applyAlignment="1" applyProtection="1">
      <alignment horizontal="left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164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164" fontId="4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6" xfId="0" applyFont="1" applyFill="1" applyBorder="1" applyAlignment="1" applyProtection="1">
      <alignment horizontal="center" vertical="center" wrapText="1"/>
      <protection locked="0"/>
    </xf>
    <xf numFmtId="164" fontId="4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Protection="1">
      <protection locked="0"/>
    </xf>
    <xf numFmtId="0" fontId="0" fillId="2" borderId="3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8" fillId="3" borderId="7" xfId="0" quotePrefix="1" applyFont="1" applyFill="1" applyBorder="1" applyAlignment="1">
      <alignment vertical="center"/>
    </xf>
    <xf numFmtId="0" fontId="0" fillId="3" borderId="0" xfId="0" applyFill="1" applyBorder="1"/>
    <xf numFmtId="0" fontId="0" fillId="3" borderId="8" xfId="0" applyFill="1" applyBorder="1"/>
    <xf numFmtId="0" fontId="6" fillId="2" borderId="16" xfId="0" applyFont="1" applyFill="1" applyBorder="1" applyAlignment="1">
      <alignment horizontal="right" vertical="top" indent="1"/>
    </xf>
    <xf numFmtId="0" fontId="7" fillId="5" borderId="23" xfId="0" applyFont="1" applyFill="1" applyBorder="1" applyAlignment="1" applyProtection="1">
      <alignment horizontal="left" vertical="center"/>
      <protection locked="0"/>
    </xf>
    <xf numFmtId="0" fontId="7" fillId="5" borderId="25" xfId="0" applyFont="1" applyFill="1" applyBorder="1" applyAlignment="1" applyProtection="1">
      <alignment horizontal="left" vertical="center"/>
      <protection locked="0"/>
    </xf>
    <xf numFmtId="0" fontId="7" fillId="5" borderId="24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15" fillId="2" borderId="28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8" xfId="0" applyBorder="1" applyAlignment="1"/>
    <xf numFmtId="0" fontId="10" fillId="2" borderId="0" xfId="0" applyFont="1" applyFill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CodeGenerator!$BU$52</c:f>
          <c:strCache>
            <c:ptCount val="1"/>
            <c:pt idx="0">
              <c:v>Interpolation : Temperature [°C] .v. ADC[bits]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40247582270312E-2"/>
          <c:y val="8.6694110547170272E-2"/>
          <c:w val="0.91394254386141904"/>
          <c:h val="0.8095176658554482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CodeGenerator!$F$13:$F$48</c:f>
              <c:numCache>
                <c:formatCode>General</c:formatCode>
                <c:ptCount val="3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480</c:v>
                </c:pt>
                <c:pt idx="8">
                  <c:v>680</c:v>
                </c:pt>
                <c:pt idx="9">
                  <c:v>880</c:v>
                </c:pt>
                <c:pt idx="10">
                  <c:v>1080</c:v>
                </c:pt>
                <c:pt idx="11">
                  <c:v>1280</c:v>
                </c:pt>
                <c:pt idx="12">
                  <c:v>1580</c:v>
                </c:pt>
                <c:pt idx="13">
                  <c:v>2180</c:v>
                </c:pt>
                <c:pt idx="14">
                  <c:v>2780</c:v>
                </c:pt>
                <c:pt idx="15">
                  <c:v>3380</c:v>
                </c:pt>
                <c:pt idx="16">
                  <c:v>3980</c:v>
                </c:pt>
                <c:pt idx="17">
                  <c:v>4095</c:v>
                </c:pt>
              </c:numCache>
            </c:numRef>
          </c:xVal>
          <c:yVal>
            <c:numRef>
              <c:f>CodeGenerator!$G$13:$G$48</c:f>
              <c:numCache>
                <c:formatCode>0.0</c:formatCode>
                <c:ptCount val="36"/>
                <c:pt idx="0">
                  <c:v>-40</c:v>
                </c:pt>
                <c:pt idx="1">
                  <c:v>-39.832935798193262</c:v>
                </c:pt>
                <c:pt idx="2">
                  <c:v>-39.723832645992943</c:v>
                </c:pt>
                <c:pt idx="3">
                  <c:v>-39.587453705742547</c:v>
                </c:pt>
                <c:pt idx="4">
                  <c:v>-39.232868461091513</c:v>
                </c:pt>
                <c:pt idx="5">
                  <c:v>-39.014662156690882</c:v>
                </c:pt>
                <c:pt idx="6">
                  <c:v>-38.76918006424016</c:v>
                </c:pt>
                <c:pt idx="7">
                  <c:v>-37.132632781235394</c:v>
                </c:pt>
                <c:pt idx="8">
                  <c:v>-34.814190796978636</c:v>
                </c:pt>
                <c:pt idx="9">
                  <c:v>-31.813854111469894</c:v>
                </c:pt>
                <c:pt idx="10">
                  <c:v>-29</c:v>
                </c:pt>
                <c:pt idx="11">
                  <c:v>-23.767496636696446</c:v>
                </c:pt>
                <c:pt idx="12">
                  <c:v>-15.942754939829893</c:v>
                </c:pt>
                <c:pt idx="13">
                  <c:v>4.3095176873541305</c:v>
                </c:pt>
                <c:pt idx="14">
                  <c:v>30.698842625806023</c:v>
                </c:pt>
                <c:pt idx="15">
                  <c:v>63.225219875525809</c:v>
                </c:pt>
                <c:pt idx="16">
                  <c:v>101.88864943651348</c:v>
                </c:pt>
                <c:pt idx="1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B-4752-A020-8FA1AAECF2B7}"/>
            </c:ext>
          </c:extLst>
        </c:ser>
        <c:ser>
          <c:idx val="1"/>
          <c:order val="1"/>
          <c:xVal>
            <c:numRef>
              <c:f>CodeGenerator!$AK$13:$AK$48</c:f>
              <c:numCache>
                <c:formatCode>General</c:formatCode>
                <c:ptCount val="3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480</c:v>
                </c:pt>
                <c:pt idx="8">
                  <c:v>680</c:v>
                </c:pt>
                <c:pt idx="9">
                  <c:v>880</c:v>
                </c:pt>
                <c:pt idx="10">
                  <c:v>1080</c:v>
                </c:pt>
                <c:pt idx="11">
                  <c:v>1280</c:v>
                </c:pt>
                <c:pt idx="12">
                  <c:v>1580</c:v>
                </c:pt>
                <c:pt idx="13">
                  <c:v>2180</c:v>
                </c:pt>
                <c:pt idx="14">
                  <c:v>2780</c:v>
                </c:pt>
                <c:pt idx="15">
                  <c:v>3380</c:v>
                </c:pt>
                <c:pt idx="16">
                  <c:v>3980</c:v>
                </c:pt>
                <c:pt idx="17">
                  <c:v>4095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CodeGenerator!$AL$13:$AL$48</c:f>
              <c:numCache>
                <c:formatCode>General</c:formatCode>
                <c:ptCount val="36"/>
                <c:pt idx="0">
                  <c:v>-40</c:v>
                </c:pt>
                <c:pt idx="1">
                  <c:v>-39.799999999999997</c:v>
                </c:pt>
                <c:pt idx="2">
                  <c:v>-39.700000000000003</c:v>
                </c:pt>
                <c:pt idx="3">
                  <c:v>-39.6</c:v>
                </c:pt>
                <c:pt idx="4">
                  <c:v>-39.200000000000003</c:v>
                </c:pt>
                <c:pt idx="5">
                  <c:v>-39</c:v>
                </c:pt>
                <c:pt idx="6">
                  <c:v>-38.799999999999997</c:v>
                </c:pt>
                <c:pt idx="7">
                  <c:v>-37.1</c:v>
                </c:pt>
                <c:pt idx="8">
                  <c:v>-34.799999999999997</c:v>
                </c:pt>
                <c:pt idx="9">
                  <c:v>-31.8</c:v>
                </c:pt>
                <c:pt idx="10">
                  <c:v>-29</c:v>
                </c:pt>
                <c:pt idx="11">
                  <c:v>-23.8</c:v>
                </c:pt>
                <c:pt idx="12">
                  <c:v>-15.9</c:v>
                </c:pt>
                <c:pt idx="13">
                  <c:v>4.3</c:v>
                </c:pt>
                <c:pt idx="14">
                  <c:v>30.7</c:v>
                </c:pt>
                <c:pt idx="15">
                  <c:v>63.2</c:v>
                </c:pt>
                <c:pt idx="16">
                  <c:v>101.9</c:v>
                </c:pt>
                <c:pt idx="17">
                  <c:v>110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752-A020-8FA1AAEC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06831"/>
        <c:axId val="845607247"/>
      </c:scatterChart>
      <c:valAx>
        <c:axId val="8456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CodeGenerator!$AS$24</c:f>
              <c:strCache>
                <c:ptCount val="1"/>
                <c:pt idx="0">
                  <c:v>ADC[bits]</c:v>
                </c:pt>
              </c:strCache>
            </c:strRef>
          </c:tx>
          <c:layout>
            <c:manualLayout>
              <c:xMode val="edge"/>
              <c:yMode val="edge"/>
              <c:x val="0.48450202371536161"/>
              <c:y val="0.9414290265508225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07247"/>
        <c:crosses val="autoZero"/>
        <c:crossBetween val="midCat"/>
      </c:valAx>
      <c:valAx>
        <c:axId val="8456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CodeGenerator!$AT$24</c:f>
              <c:strCache>
                <c:ptCount val="1"/>
                <c:pt idx="0">
                  <c:v>Temperature [°C]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068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44943</xdr:colOff>
      <xdr:row>4</xdr:row>
      <xdr:rowOff>1484</xdr:rowOff>
    </xdr:from>
    <xdr:to>
      <xdr:col>24</xdr:col>
      <xdr:colOff>504266</xdr:colOff>
      <xdr:row>22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593913</xdr:colOff>
          <xdr:row>25</xdr:row>
          <xdr:rowOff>75079</xdr:rowOff>
        </xdr:from>
        <xdr:to>
          <xdr:col>19</xdr:col>
          <xdr:colOff>417420</xdr:colOff>
          <xdr:row>26</xdr:row>
          <xdr:rowOff>158003</xdr:rowOff>
        </xdr:to>
        <xdr:sp macro="" textlink="">
          <xdr:nvSpPr>
            <xdr:cNvPr id="1028" name="makeBidirectionalFunction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A750-8217-4B08-810A-6762ED8763D6}">
  <sheetPr codeName="Sheet1"/>
  <dimension ref="A1:CC113"/>
  <sheetViews>
    <sheetView tabSelected="1" topLeftCell="B1" zoomScale="85" zoomScaleNormal="85" workbookViewId="0">
      <selection activeCell="AC10" sqref="AC10"/>
    </sheetView>
  </sheetViews>
  <sheetFormatPr defaultRowHeight="15" x14ac:dyDescent="0.25"/>
  <cols>
    <col min="1" max="1" width="2" style="1" customWidth="1"/>
    <col min="2" max="2" width="2.140625" style="1" customWidth="1"/>
    <col min="3" max="3" width="4" style="2" customWidth="1"/>
    <col min="4" max="4" width="1.5703125" style="2" customWidth="1"/>
    <col min="5" max="5" width="5.140625" style="1" customWidth="1"/>
    <col min="6" max="6" width="12.5703125" style="1" customWidth="1"/>
    <col min="7" max="7" width="13.28515625" style="1" customWidth="1"/>
    <col min="8" max="8" width="1.42578125" style="1" customWidth="1"/>
    <col min="9" max="9" width="1.140625" style="1" customWidth="1"/>
    <col min="10" max="10" width="2.140625" style="1" customWidth="1"/>
    <col min="11" max="11" width="10.28515625" style="1" bestFit="1" customWidth="1"/>
    <col min="12" max="17" width="9.140625" style="1"/>
    <col min="18" max="18" width="13.42578125" style="1" customWidth="1"/>
    <col min="19" max="26" width="9.140625" style="1"/>
    <col min="27" max="27" width="18.7109375" style="1" customWidth="1"/>
    <col min="28" max="33" width="12.28515625" style="1" customWidth="1"/>
    <col min="34" max="34" width="16.42578125" style="1" customWidth="1"/>
    <col min="35" max="35" width="3.7109375" style="1" customWidth="1"/>
    <col min="36" max="36" width="6.140625" style="1" customWidth="1"/>
    <col min="37" max="37" width="14.85546875" style="1" bestFit="1" customWidth="1"/>
    <col min="38" max="38" width="20.7109375" style="1" bestFit="1" customWidth="1"/>
    <col min="39" max="40" width="3.85546875" style="1" customWidth="1"/>
    <col min="41" max="43" width="12.28515625" style="1" customWidth="1"/>
    <col min="44" max="44" width="19.85546875" style="1" bestFit="1" customWidth="1"/>
    <col min="45" max="46" width="51.140625" style="1" customWidth="1"/>
    <col min="47" max="47" width="10.42578125" style="1" customWidth="1"/>
    <col min="48" max="48" width="9.140625" style="1"/>
    <col min="49" max="49" width="4" style="1" bestFit="1" customWidth="1"/>
    <col min="50" max="50" width="2" style="1" bestFit="1" customWidth="1"/>
    <col min="51" max="60" width="9.140625" style="1"/>
    <col min="61" max="61" width="21.140625" style="1" bestFit="1" customWidth="1"/>
    <col min="62" max="65" width="9.140625" style="1"/>
    <col min="66" max="66" width="2" style="1" bestFit="1" customWidth="1"/>
    <col min="67" max="68" width="9.140625" style="1"/>
    <col min="69" max="69" width="2.85546875" style="1" bestFit="1" customWidth="1"/>
    <col min="70" max="71" width="9.140625" style="1"/>
    <col min="72" max="72" width="2" style="1" bestFit="1" customWidth="1"/>
    <col min="73" max="16384" width="9.140625" style="1"/>
  </cols>
  <sheetData>
    <row r="1" spans="2:75" ht="15.75" thickBot="1" x14ac:dyDescent="0.3"/>
    <row r="2" spans="2:75" ht="7.5" customHeight="1" x14ac:dyDescent="0.25">
      <c r="B2" s="26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2:75" ht="26.25" x14ac:dyDescent="0.4">
      <c r="B3" s="30"/>
      <c r="C3" s="58" t="s">
        <v>14</v>
      </c>
      <c r="D3" s="10"/>
      <c r="E3" s="10"/>
      <c r="F3" s="10"/>
      <c r="G3" s="10"/>
      <c r="H3" s="10"/>
      <c r="I3" s="10"/>
      <c r="J3" s="10"/>
      <c r="K3" s="48" t="s">
        <v>11</v>
      </c>
      <c r="L3" s="10"/>
      <c r="M3" s="10"/>
      <c r="N3" s="10"/>
      <c r="O3" s="65" t="str">
        <f>IFERROR(IF(NOT(AO13),"❌ Warning: The 'x' list is not monotonic - standard code assumes monotonicity","✓ Passes checks"),"❌ Invalid Data")</f>
        <v>✓ Passes checks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H3" s="63"/>
      <c r="AI3" s="88" t="s">
        <v>15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75" ht="6" customHeight="1" thickBot="1" x14ac:dyDescent="0.35">
      <c r="B4" s="30"/>
      <c r="C4" s="2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7"/>
      <c r="AF4" s="17"/>
      <c r="AG4" s="17"/>
      <c r="AH4" s="17"/>
      <c r="AI4" s="33"/>
      <c r="AO4" s="7"/>
      <c r="AP4" s="7"/>
      <c r="AQ4" s="7"/>
      <c r="AR4" s="7"/>
      <c r="AS4" s="7"/>
      <c r="AT4" s="7"/>
    </row>
    <row r="5" spans="2:75" ht="10.5" customHeight="1" x14ac:dyDescent="0.25">
      <c r="B5" s="30"/>
      <c r="C5" s="12"/>
      <c r="D5" s="8"/>
      <c r="E5" s="8"/>
      <c r="F5" s="8"/>
      <c r="G5" s="8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7"/>
      <c r="AF5" s="17"/>
      <c r="AG5" s="17"/>
      <c r="AH5" s="17"/>
      <c r="AI5" s="33"/>
      <c r="AO5" s="7"/>
      <c r="AP5" s="7"/>
      <c r="AQ5" s="7"/>
      <c r="AR5" s="7"/>
      <c r="AS5" s="7"/>
      <c r="AT5" s="7"/>
    </row>
    <row r="6" spans="2:75" ht="16.5" x14ac:dyDescent="0.25">
      <c r="B6" s="30"/>
      <c r="C6" s="13"/>
      <c r="D6" s="10"/>
      <c r="E6" s="14" t="s">
        <v>35</v>
      </c>
      <c r="F6" s="72" t="s">
        <v>36</v>
      </c>
      <c r="G6" s="70"/>
      <c r="H6" s="5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7"/>
      <c r="AF6" s="17"/>
      <c r="AG6" s="17"/>
      <c r="AH6" s="17"/>
      <c r="AI6" s="33"/>
      <c r="AO6" s="7"/>
      <c r="AP6" s="7"/>
      <c r="AQ6" s="7"/>
      <c r="AR6" s="7"/>
      <c r="AS6" s="7"/>
      <c r="AT6" s="7"/>
    </row>
    <row r="7" spans="2:75" ht="5.25" customHeight="1" x14ac:dyDescent="0.25">
      <c r="B7" s="30"/>
      <c r="C7" s="13"/>
      <c r="D7" s="10"/>
      <c r="E7" s="10"/>
      <c r="F7" s="10"/>
      <c r="G7" s="10"/>
      <c r="H7" s="5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7"/>
      <c r="AF7" s="17"/>
      <c r="AG7" s="17"/>
      <c r="AH7" s="17"/>
      <c r="AI7" s="33"/>
      <c r="AO7" s="7"/>
      <c r="AP7" s="7"/>
      <c r="AQ7" s="7"/>
      <c r="AR7" s="7"/>
      <c r="AS7" s="7"/>
      <c r="AT7" s="7"/>
    </row>
    <row r="8" spans="2:75" ht="16.5" x14ac:dyDescent="0.25">
      <c r="B8" s="30"/>
      <c r="C8" s="13"/>
      <c r="D8" s="10"/>
      <c r="E8" s="14" t="s">
        <v>4</v>
      </c>
      <c r="F8" s="73" t="s">
        <v>33</v>
      </c>
      <c r="G8" s="73" t="s">
        <v>23</v>
      </c>
      <c r="H8" s="15"/>
      <c r="I8" s="17"/>
      <c r="J8" s="1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7"/>
      <c r="AF8" s="17"/>
      <c r="AG8" s="17"/>
      <c r="AH8" s="17"/>
      <c r="AI8" s="33"/>
      <c r="AO8" s="7"/>
      <c r="AP8" s="7" t="s">
        <v>16</v>
      </c>
      <c r="AQ8" s="7"/>
      <c r="AR8" s="7"/>
      <c r="AS8" s="7"/>
      <c r="AT8" s="7"/>
    </row>
    <row r="9" spans="2:75" ht="16.5" x14ac:dyDescent="0.25">
      <c r="B9" s="30"/>
      <c r="C9" s="13"/>
      <c r="D9" s="10"/>
      <c r="E9" s="14" t="s">
        <v>5</v>
      </c>
      <c r="F9" s="74" t="s">
        <v>24</v>
      </c>
      <c r="G9" s="73" t="s">
        <v>22</v>
      </c>
      <c r="H9" s="15"/>
      <c r="I9" s="17"/>
      <c r="J9" s="1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7"/>
      <c r="AF9" s="17"/>
      <c r="AG9" s="17"/>
      <c r="AH9" s="17"/>
      <c r="AI9" s="33"/>
      <c r="AO9" s="7"/>
      <c r="AQ9" s="7"/>
      <c r="AR9" s="7"/>
      <c r="AS9" s="7"/>
      <c r="AT9" s="7"/>
    </row>
    <row r="10" spans="2:75" ht="18.75" x14ac:dyDescent="0.25">
      <c r="B10" s="30"/>
      <c r="C10" s="13"/>
      <c r="D10" s="10"/>
      <c r="E10" s="14" t="s">
        <v>6</v>
      </c>
      <c r="F10" s="74"/>
      <c r="G10" s="74">
        <v>1</v>
      </c>
      <c r="H10" s="15"/>
      <c r="I10" s="17"/>
      <c r="J10" s="1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7"/>
      <c r="AF10" s="17"/>
      <c r="AG10" s="17"/>
      <c r="AH10" s="17"/>
      <c r="AI10" s="33"/>
      <c r="AO10" s="7"/>
      <c r="AP10" s="7"/>
      <c r="AQ10" s="7"/>
      <c r="AR10" s="7"/>
      <c r="AS10" s="7"/>
      <c r="AT10" s="7"/>
      <c r="BR10" s="49" t="s">
        <v>12</v>
      </c>
      <c r="BS10" s="62">
        <f>MAX(BU11:BV11)</f>
        <v>4</v>
      </c>
    </row>
    <row r="11" spans="2:75" ht="7.5" customHeight="1" x14ac:dyDescent="0.25">
      <c r="B11" s="30"/>
      <c r="C11" s="16"/>
      <c r="D11" s="18"/>
      <c r="E11" s="17"/>
      <c r="F11" s="18"/>
      <c r="G11" s="18"/>
      <c r="H11" s="1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3"/>
      <c r="AP11" s="7"/>
      <c r="AQ11" s="7"/>
      <c r="AR11" s="7"/>
      <c r="AS11" s="7"/>
      <c r="AT11" s="7"/>
      <c r="BU11" s="1">
        <f>MAX(BU13:BU48)</f>
        <v>4</v>
      </c>
      <c r="BV11" s="1">
        <f>MAX(BV13:BV48)</f>
        <v>4</v>
      </c>
    </row>
    <row r="12" spans="2:75" ht="17.25" thickBot="1" x14ac:dyDescent="0.3">
      <c r="B12" s="30"/>
      <c r="C12" s="16"/>
      <c r="D12" s="18"/>
      <c r="E12" s="17"/>
      <c r="F12" s="39" t="str">
        <f>AS24</f>
        <v>ADC[bits]</v>
      </c>
      <c r="G12" s="39" t="str">
        <f>AT24</f>
        <v>Temperature [°C]</v>
      </c>
      <c r="H12" s="15"/>
      <c r="I12" s="17"/>
      <c r="J12" s="17"/>
      <c r="K12" s="17"/>
      <c r="L12" s="18" t="s">
        <v>3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33"/>
      <c r="AK12" s="39" t="str">
        <f>F12</f>
        <v>ADC[bits]</v>
      </c>
      <c r="AL12" s="39" t="str">
        <f>G12</f>
        <v>Temperature [°C]</v>
      </c>
      <c r="AO12" s="7" t="s">
        <v>17</v>
      </c>
      <c r="AP12" s="7"/>
      <c r="AQ12" s="7"/>
      <c r="AR12" s="7"/>
      <c r="AS12" s="7"/>
      <c r="AT12" s="7"/>
      <c r="BI12" s="1" t="str">
        <f>AS26</f>
        <v>adc_bits</v>
      </c>
      <c r="BJ12" s="1" t="str">
        <f>AT26</f>
        <v>temperature_f1_oC</v>
      </c>
    </row>
    <row r="13" spans="2:75" ht="16.5" x14ac:dyDescent="0.25">
      <c r="B13" s="30"/>
      <c r="C13" s="16"/>
      <c r="D13" s="18"/>
      <c r="E13" s="17"/>
      <c r="F13" s="75">
        <v>0</v>
      </c>
      <c r="G13" s="76">
        <v>-40</v>
      </c>
      <c r="H13" s="15"/>
      <c r="I13" s="17"/>
      <c r="J13" s="17"/>
      <c r="K13" s="17"/>
      <c r="L13" s="18">
        <v>0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33"/>
      <c r="AK13" s="66">
        <f>IF(F13="",NA(),ROUND(F13,F$10))</f>
        <v>0</v>
      </c>
      <c r="AL13" s="66">
        <f>IF(G13="",NA(),ROUND(G13,G$10))</f>
        <v>-40</v>
      </c>
      <c r="AO13" s="7" t="b">
        <f>COUNT(AO14:AO48)*AO14=SUM(AO14:AO48)</f>
        <v>1</v>
      </c>
      <c r="AP13" s="7" t="b">
        <f>COUNT(AP14:AP48)*AP14=SUM(AP14:AP48)</f>
        <v>1</v>
      </c>
      <c r="AQ13" s="7"/>
      <c r="AR13" s="7"/>
      <c r="AS13" s="7"/>
      <c r="AT13" s="7"/>
      <c r="BI13" s="1">
        <f t="shared" ref="BI13:BI48" si="0">IF(F13="","",ROUND(F13*10^DecPlaces_X,0))</f>
        <v>0</v>
      </c>
      <c r="BJ13" s="1">
        <f t="shared" ref="BJ13:BJ48" si="1">IF(G13="","",ROUND(G13*10^DecPlaces_Y,0))</f>
        <v>-400</v>
      </c>
      <c r="BL13" s="1" t="str">
        <f t="shared" ref="BL13:BM13" si="2">IF(BI13="","",TEXT(BI13,"0"))</f>
        <v>0</v>
      </c>
      <c r="BM13" s="1" t="str">
        <f t="shared" si="2"/>
        <v>-400</v>
      </c>
      <c r="BN13" s="1" t="s">
        <v>0</v>
      </c>
      <c r="BO13" s="1" t="str">
        <f>REPT(" ",MAX(0,$BS$10-LEN(BL13)))&amp;BL13</f>
        <v xml:space="preserve">   0</v>
      </c>
      <c r="BP13" s="1" t="str">
        <f>REPT(" ",MAX(0,$BS$10-LEN(BM13)))&amp;BM13</f>
        <v>-400</v>
      </c>
      <c r="BQ13" s="1" t="s">
        <v>0</v>
      </c>
      <c r="BR13" s="1" t="str">
        <f t="shared" ref="BR13:BS18" si="3">BR12&amp;IF(F13="","",BO13&amp;",")</f>
        <v xml:space="preserve">   0,</v>
      </c>
      <c r="BS13" s="1" t="str">
        <f t="shared" si="3"/>
        <v>-400,</v>
      </c>
      <c r="BT13" s="1" t="s">
        <v>0</v>
      </c>
      <c r="BU13" s="1">
        <f>LEN(BL13)</f>
        <v>1</v>
      </c>
      <c r="BV13" s="1">
        <f>LEN(BM13)</f>
        <v>4</v>
      </c>
      <c r="BW13" s="1" t="s">
        <v>0</v>
      </c>
    </row>
    <row r="14" spans="2:75" ht="17.25" customHeight="1" x14ac:dyDescent="0.25">
      <c r="B14" s="30"/>
      <c r="C14" s="16"/>
      <c r="D14" s="18"/>
      <c r="E14" s="17"/>
      <c r="F14" s="77">
        <v>40</v>
      </c>
      <c r="G14" s="78">
        <v>-39.832935798193262</v>
      </c>
      <c r="H14" s="15"/>
      <c r="I14" s="17"/>
      <c r="J14" s="17"/>
      <c r="K14" s="17"/>
      <c r="L14" s="18">
        <f t="shared" ref="L14:L16" si="4">IF(F14="","",L13+1)</f>
        <v>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33"/>
      <c r="AK14" s="66">
        <f t="shared" ref="AK14:AL48" si="5">IF(F14="",NA(),ROUND(F14,F$10))</f>
        <v>40</v>
      </c>
      <c r="AL14" s="66">
        <f t="shared" si="5"/>
        <v>-39.799999999999997</v>
      </c>
      <c r="AO14" s="7">
        <f>IFERROR(SIGN(AK14-AK13),"")</f>
        <v>1</v>
      </c>
      <c r="AP14" s="7">
        <f>IFERROR(SIGN(AL14-AL13),"")</f>
        <v>1</v>
      </c>
      <c r="AQ14" s="7"/>
      <c r="AR14" s="7"/>
      <c r="AS14" s="7"/>
      <c r="AT14" s="7"/>
      <c r="AU14" s="7"/>
      <c r="AV14" s="7"/>
      <c r="AW14" s="7"/>
      <c r="BI14" s="1">
        <f t="shared" si="0"/>
        <v>40</v>
      </c>
      <c r="BJ14" s="1">
        <f t="shared" si="1"/>
        <v>-398</v>
      </c>
      <c r="BL14" s="1" t="str">
        <f t="shared" ref="BL14:BL15" si="6">IF(BI14="","",TEXT(BI14,"0"))</f>
        <v>40</v>
      </c>
      <c r="BM14" s="1" t="str">
        <f t="shared" ref="BM14:BM15" si="7">IF(BJ14="","",TEXT(BJ14,"0"))</f>
        <v>-398</v>
      </c>
      <c r="BN14" s="1" t="s">
        <v>0</v>
      </c>
      <c r="BO14" s="1" t="str">
        <f t="shared" ref="BO14:BO48" si="8">REPT(" ",MAX(0,$BS$10-LEN(BL14)))&amp;BL14</f>
        <v xml:space="preserve">  40</v>
      </c>
      <c r="BP14" s="1" t="str">
        <f t="shared" ref="BP14:BP48" si="9">REPT(" ",MAX(0,$BS$10-LEN(BM14)))&amp;BM14</f>
        <v>-398</v>
      </c>
      <c r="BQ14" s="1" t="s">
        <v>0</v>
      </c>
      <c r="BR14" s="1" t="str">
        <f t="shared" si="3"/>
        <v xml:space="preserve">   0,  40,</v>
      </c>
      <c r="BS14" s="1" t="str">
        <f t="shared" si="3"/>
        <v>-400,-398,</v>
      </c>
      <c r="BT14" s="1" t="s">
        <v>0</v>
      </c>
      <c r="BU14" s="1">
        <f t="shared" ref="BU14:BV48" si="10">LEN(BL14)</f>
        <v>2</v>
      </c>
      <c r="BV14" s="1">
        <f t="shared" si="10"/>
        <v>4</v>
      </c>
      <c r="BW14" s="1" t="s">
        <v>0</v>
      </c>
    </row>
    <row r="15" spans="2:75" ht="17.25" customHeight="1" x14ac:dyDescent="0.25">
      <c r="B15" s="30"/>
      <c r="C15" s="16"/>
      <c r="D15" s="18"/>
      <c r="E15" s="17"/>
      <c r="F15" s="77">
        <v>80</v>
      </c>
      <c r="G15" s="78">
        <v>-39.723832645992943</v>
      </c>
      <c r="H15" s="15"/>
      <c r="I15" s="17"/>
      <c r="J15" s="17"/>
      <c r="K15" s="17"/>
      <c r="L15" s="18">
        <f t="shared" si="4"/>
        <v>2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33"/>
      <c r="AK15" s="66">
        <f t="shared" si="5"/>
        <v>80</v>
      </c>
      <c r="AL15" s="66">
        <f t="shared" si="5"/>
        <v>-39.700000000000003</v>
      </c>
      <c r="AO15" s="7">
        <f t="shared" ref="AO15:AO48" si="11">IFERROR(SIGN(AK15-AK14),"")</f>
        <v>1</v>
      </c>
      <c r="AP15" s="7">
        <f t="shared" ref="AP15:AP48" si="12">IFERROR(SIGN(AL15-AL14),"")</f>
        <v>1</v>
      </c>
      <c r="AQ15" s="7"/>
      <c r="AR15" s="7"/>
      <c r="AS15" s="7"/>
      <c r="AT15" s="7"/>
      <c r="AU15" s="7"/>
      <c r="AV15" s="7"/>
      <c r="AW15" s="7"/>
      <c r="BI15" s="1">
        <f t="shared" si="0"/>
        <v>80</v>
      </c>
      <c r="BJ15" s="1">
        <f t="shared" si="1"/>
        <v>-397</v>
      </c>
      <c r="BL15" s="1" t="str">
        <f t="shared" si="6"/>
        <v>80</v>
      </c>
      <c r="BM15" s="1" t="str">
        <f t="shared" si="7"/>
        <v>-397</v>
      </c>
      <c r="BN15" s="1" t="s">
        <v>0</v>
      </c>
      <c r="BO15" s="1" t="str">
        <f t="shared" si="8"/>
        <v xml:space="preserve">  80</v>
      </c>
      <c r="BP15" s="1" t="str">
        <f t="shared" si="9"/>
        <v>-397</v>
      </c>
      <c r="BQ15" s="1" t="s">
        <v>0</v>
      </c>
      <c r="BR15" s="1" t="str">
        <f t="shared" si="3"/>
        <v xml:space="preserve">   0,  40,  80,</v>
      </c>
      <c r="BS15" s="1" t="str">
        <f t="shared" si="3"/>
        <v>-400,-398,-397,</v>
      </c>
      <c r="BT15" s="1" t="s">
        <v>0</v>
      </c>
      <c r="BU15" s="1">
        <f t="shared" si="10"/>
        <v>2</v>
      </c>
      <c r="BV15" s="1">
        <f t="shared" si="10"/>
        <v>4</v>
      </c>
      <c r="BW15" s="1" t="s">
        <v>0</v>
      </c>
    </row>
    <row r="16" spans="2:75" ht="17.25" customHeight="1" x14ac:dyDescent="0.25">
      <c r="B16" s="30"/>
      <c r="C16" s="16"/>
      <c r="D16" s="18"/>
      <c r="E16" s="17"/>
      <c r="F16" s="77">
        <v>120</v>
      </c>
      <c r="G16" s="78">
        <v>-39.587453705742547</v>
      </c>
      <c r="H16" s="15"/>
      <c r="I16" s="17"/>
      <c r="J16" s="17"/>
      <c r="K16" s="17"/>
      <c r="L16" s="18">
        <f t="shared" si="4"/>
        <v>3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33"/>
      <c r="AK16" s="66">
        <f t="shared" si="5"/>
        <v>120</v>
      </c>
      <c r="AL16" s="66">
        <f t="shared" si="5"/>
        <v>-39.6</v>
      </c>
      <c r="AO16" s="7">
        <f t="shared" si="11"/>
        <v>1</v>
      </c>
      <c r="AP16" s="7">
        <f t="shared" si="12"/>
        <v>1</v>
      </c>
      <c r="AQ16" s="7"/>
      <c r="AR16" s="7"/>
      <c r="AS16" s="7"/>
      <c r="AT16" s="7"/>
      <c r="AU16" s="7"/>
      <c r="AV16" s="7"/>
      <c r="AW16" s="7"/>
      <c r="AX16" s="7"/>
      <c r="AY16" s="7"/>
      <c r="BI16" s="1">
        <f t="shared" si="0"/>
        <v>120</v>
      </c>
      <c r="BJ16" s="1">
        <f t="shared" si="1"/>
        <v>-396</v>
      </c>
      <c r="BL16" s="1" t="str">
        <f t="shared" ref="BL16:BL48" si="13">IF(BI16="","",TEXT(BI16,"0"))</f>
        <v>120</v>
      </c>
      <c r="BM16" s="1" t="str">
        <f t="shared" ref="BM16:BM48" si="14">IF(BJ16="","",TEXT(BJ16,"0"))</f>
        <v>-396</v>
      </c>
      <c r="BN16" s="1" t="s">
        <v>0</v>
      </c>
      <c r="BO16" s="1" t="str">
        <f t="shared" si="8"/>
        <v xml:space="preserve"> 120</v>
      </c>
      <c r="BP16" s="1" t="str">
        <f t="shared" si="9"/>
        <v>-396</v>
      </c>
      <c r="BQ16" s="1" t="s">
        <v>0</v>
      </c>
      <c r="BR16" s="1" t="str">
        <f t="shared" si="3"/>
        <v xml:space="preserve">   0,  40,  80, 120,</v>
      </c>
      <c r="BS16" s="1" t="str">
        <f t="shared" si="3"/>
        <v>-400,-398,-397,-396,</v>
      </c>
      <c r="BT16" s="1" t="s">
        <v>0</v>
      </c>
      <c r="BU16" s="1">
        <f t="shared" si="10"/>
        <v>3</v>
      </c>
      <c r="BV16" s="1">
        <f t="shared" si="10"/>
        <v>4</v>
      </c>
      <c r="BW16" s="1" t="s">
        <v>0</v>
      </c>
    </row>
    <row r="17" spans="2:75" ht="17.25" customHeight="1" x14ac:dyDescent="0.25">
      <c r="B17" s="30"/>
      <c r="C17" s="16"/>
      <c r="D17" s="18"/>
      <c r="E17" s="17"/>
      <c r="F17" s="77">
        <v>200</v>
      </c>
      <c r="G17" s="78">
        <v>-39.232868461091513</v>
      </c>
      <c r="H17" s="15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33"/>
      <c r="AK17" s="66">
        <f t="shared" si="5"/>
        <v>200</v>
      </c>
      <c r="AL17" s="66">
        <f t="shared" si="5"/>
        <v>-39.200000000000003</v>
      </c>
      <c r="AO17" s="7">
        <f t="shared" si="11"/>
        <v>1</v>
      </c>
      <c r="AP17" s="7">
        <f t="shared" si="12"/>
        <v>1</v>
      </c>
      <c r="AQ17" s="7"/>
      <c r="AR17" s="7"/>
      <c r="AS17" s="7"/>
      <c r="AT17" s="7"/>
      <c r="AU17" s="7"/>
      <c r="AV17" s="7"/>
      <c r="AW17" s="7"/>
      <c r="AX17" s="7"/>
      <c r="AY17" s="7"/>
      <c r="BI17" s="1">
        <f t="shared" si="0"/>
        <v>200</v>
      </c>
      <c r="BJ17" s="1">
        <f t="shared" si="1"/>
        <v>-392</v>
      </c>
      <c r="BL17" s="1" t="str">
        <f t="shared" si="13"/>
        <v>200</v>
      </c>
      <c r="BM17" s="1" t="str">
        <f t="shared" si="14"/>
        <v>-392</v>
      </c>
      <c r="BN17" s="1" t="s">
        <v>0</v>
      </c>
      <c r="BO17" s="1" t="str">
        <f t="shared" si="8"/>
        <v xml:space="preserve"> 200</v>
      </c>
      <c r="BP17" s="1" t="str">
        <f t="shared" si="9"/>
        <v>-392</v>
      </c>
      <c r="BQ17" s="1" t="s">
        <v>0</v>
      </c>
      <c r="BR17" s="1" t="str">
        <f t="shared" si="3"/>
        <v xml:space="preserve">   0,  40,  80, 120, 200,</v>
      </c>
      <c r="BS17" s="1" t="str">
        <f t="shared" si="3"/>
        <v>-400,-398,-397,-396,-392,</v>
      </c>
      <c r="BT17" s="1" t="s">
        <v>0</v>
      </c>
      <c r="BU17" s="1">
        <f t="shared" si="10"/>
        <v>3</v>
      </c>
      <c r="BV17" s="1">
        <f t="shared" si="10"/>
        <v>4</v>
      </c>
      <c r="BW17" s="1" t="s">
        <v>0</v>
      </c>
    </row>
    <row r="18" spans="2:75" ht="17.25" customHeight="1" x14ac:dyDescent="0.25">
      <c r="B18" s="30"/>
      <c r="C18" s="16"/>
      <c r="D18" s="18"/>
      <c r="E18" s="17"/>
      <c r="F18" s="77">
        <v>240</v>
      </c>
      <c r="G18" s="78">
        <v>-39.014662156690882</v>
      </c>
      <c r="H18" s="15"/>
      <c r="I18" s="17"/>
      <c r="J18" s="17"/>
      <c r="K18" s="17"/>
      <c r="L18" s="18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33"/>
      <c r="AK18" s="66">
        <f t="shared" si="5"/>
        <v>240</v>
      </c>
      <c r="AL18" s="66">
        <f t="shared" si="5"/>
        <v>-39</v>
      </c>
      <c r="AO18" s="7">
        <f t="shared" si="11"/>
        <v>1</v>
      </c>
      <c r="AP18" s="7">
        <f t="shared" si="12"/>
        <v>1</v>
      </c>
      <c r="AQ18" s="7"/>
      <c r="AR18" s="7"/>
      <c r="AS18" s="7"/>
      <c r="AT18" s="7"/>
      <c r="AU18" s="7"/>
      <c r="AV18" s="7"/>
      <c r="AW18" s="7"/>
      <c r="AX18" s="7"/>
      <c r="AY18" s="7"/>
      <c r="BI18" s="1">
        <f t="shared" si="0"/>
        <v>240</v>
      </c>
      <c r="BJ18" s="1">
        <f t="shared" si="1"/>
        <v>-390</v>
      </c>
      <c r="BL18" s="1" t="str">
        <f t="shared" si="13"/>
        <v>240</v>
      </c>
      <c r="BM18" s="1" t="str">
        <f t="shared" si="14"/>
        <v>-390</v>
      </c>
      <c r="BN18" s="1" t="s">
        <v>0</v>
      </c>
      <c r="BO18" s="1" t="str">
        <f t="shared" si="8"/>
        <v xml:space="preserve"> 240</v>
      </c>
      <c r="BP18" s="1" t="str">
        <f t="shared" si="9"/>
        <v>-390</v>
      </c>
      <c r="BQ18" s="1" t="s">
        <v>0</v>
      </c>
      <c r="BR18" s="1" t="str">
        <f t="shared" si="3"/>
        <v xml:space="preserve">   0,  40,  80, 120, 200, 240,</v>
      </c>
      <c r="BS18" s="1" t="str">
        <f t="shared" si="3"/>
        <v>-400,-398,-397,-396,-392,-390,</v>
      </c>
      <c r="BT18" s="1" t="s">
        <v>0</v>
      </c>
      <c r="BU18" s="1">
        <f t="shared" si="10"/>
        <v>3</v>
      </c>
      <c r="BV18" s="1">
        <f t="shared" si="10"/>
        <v>4</v>
      </c>
      <c r="BW18" s="1" t="s">
        <v>0</v>
      </c>
    </row>
    <row r="19" spans="2:75" ht="17.25" customHeight="1" x14ac:dyDescent="0.25">
      <c r="B19" s="30"/>
      <c r="C19" s="16"/>
      <c r="D19" s="18"/>
      <c r="E19" s="17"/>
      <c r="F19" s="77">
        <v>280</v>
      </c>
      <c r="G19" s="78">
        <v>-38.76918006424016</v>
      </c>
      <c r="H19" s="15"/>
      <c r="I19" s="17"/>
      <c r="J19" s="17"/>
      <c r="K19" s="17"/>
      <c r="L19" s="18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33"/>
      <c r="AK19" s="66">
        <f t="shared" si="5"/>
        <v>280</v>
      </c>
      <c r="AL19" s="66">
        <f t="shared" si="5"/>
        <v>-38.799999999999997</v>
      </c>
      <c r="AO19" s="7">
        <f t="shared" si="11"/>
        <v>1</v>
      </c>
      <c r="AP19" s="7">
        <f t="shared" si="12"/>
        <v>1</v>
      </c>
      <c r="AQ19" s="7"/>
      <c r="AR19" s="7"/>
      <c r="AS19" s="7"/>
      <c r="AT19" s="7"/>
      <c r="AU19" s="7"/>
      <c r="AV19" s="7"/>
      <c r="AW19" s="7"/>
      <c r="AX19" s="7"/>
      <c r="AY19" s="7"/>
      <c r="BI19" s="1">
        <f t="shared" si="0"/>
        <v>280</v>
      </c>
      <c r="BJ19" s="1">
        <f t="shared" si="1"/>
        <v>-388</v>
      </c>
      <c r="BL19" s="1" t="str">
        <f t="shared" si="13"/>
        <v>280</v>
      </c>
      <c r="BM19" s="1" t="str">
        <f t="shared" si="14"/>
        <v>-388</v>
      </c>
      <c r="BN19" s="1" t="s">
        <v>0</v>
      </c>
      <c r="BO19" s="1" t="str">
        <f t="shared" si="8"/>
        <v xml:space="preserve"> 280</v>
      </c>
      <c r="BP19" s="1" t="str">
        <f t="shared" si="9"/>
        <v>-388</v>
      </c>
      <c r="BQ19" s="1" t="s">
        <v>0</v>
      </c>
      <c r="BR19" s="1" t="str">
        <f t="shared" ref="BR19:BR47" si="15">BR18&amp;IF(F19="","",BO19&amp;",")</f>
        <v xml:space="preserve">   0,  40,  80, 120, 200, 240, 280,</v>
      </c>
      <c r="BS19" s="1" t="str">
        <f t="shared" ref="BS19:BS47" si="16">BS18&amp;IF(G19="","",BP19&amp;",")</f>
        <v>-400,-398,-397,-396,-392,-390,-388,</v>
      </c>
      <c r="BT19" s="1" t="s">
        <v>0</v>
      </c>
      <c r="BU19" s="1">
        <f t="shared" si="10"/>
        <v>3</v>
      </c>
      <c r="BV19" s="1">
        <f t="shared" si="10"/>
        <v>4</v>
      </c>
      <c r="BW19" s="1" t="s">
        <v>0</v>
      </c>
    </row>
    <row r="20" spans="2:75" ht="17.25" customHeight="1" x14ac:dyDescent="0.25">
      <c r="B20" s="30"/>
      <c r="C20" s="16"/>
      <c r="D20" s="18"/>
      <c r="E20" s="17"/>
      <c r="F20" s="77">
        <v>480</v>
      </c>
      <c r="G20" s="78">
        <v>-37.132632781235394</v>
      </c>
      <c r="H20" s="15"/>
      <c r="I20" s="17"/>
      <c r="J20" s="17"/>
      <c r="K20" s="17"/>
      <c r="L20" s="18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33"/>
      <c r="AK20" s="66">
        <f t="shared" si="5"/>
        <v>480</v>
      </c>
      <c r="AL20" s="66">
        <f t="shared" si="5"/>
        <v>-37.1</v>
      </c>
      <c r="AO20" s="7">
        <f t="shared" si="11"/>
        <v>1</v>
      </c>
      <c r="AP20" s="7">
        <f t="shared" si="12"/>
        <v>1</v>
      </c>
      <c r="AQ20" s="7"/>
      <c r="AR20" s="7"/>
      <c r="AS20" s="7"/>
      <c r="AT20" s="7"/>
      <c r="AU20" s="7"/>
      <c r="AV20" s="7"/>
      <c r="AW20" s="7"/>
      <c r="AX20" s="7"/>
      <c r="AY20" s="7"/>
      <c r="BI20" s="1">
        <f t="shared" si="0"/>
        <v>480</v>
      </c>
      <c r="BJ20" s="1">
        <f t="shared" si="1"/>
        <v>-371</v>
      </c>
      <c r="BL20" s="1" t="str">
        <f t="shared" si="13"/>
        <v>480</v>
      </c>
      <c r="BM20" s="1" t="str">
        <f t="shared" si="14"/>
        <v>-371</v>
      </c>
      <c r="BN20" s="1" t="s">
        <v>0</v>
      </c>
      <c r="BO20" s="1" t="str">
        <f t="shared" si="8"/>
        <v xml:space="preserve"> 480</v>
      </c>
      <c r="BP20" s="1" t="str">
        <f t="shared" si="9"/>
        <v>-371</v>
      </c>
      <c r="BQ20" s="1" t="s">
        <v>0</v>
      </c>
      <c r="BR20" s="1" t="str">
        <f t="shared" si="15"/>
        <v xml:space="preserve">   0,  40,  80, 120, 200, 240, 280, 480,</v>
      </c>
      <c r="BS20" s="1" t="str">
        <f t="shared" si="16"/>
        <v>-400,-398,-397,-396,-392,-390,-388,-371,</v>
      </c>
      <c r="BT20" s="1" t="s">
        <v>0</v>
      </c>
      <c r="BU20" s="1">
        <f t="shared" si="10"/>
        <v>3</v>
      </c>
      <c r="BV20" s="1">
        <f t="shared" si="10"/>
        <v>4</v>
      </c>
      <c r="BW20" s="1" t="s">
        <v>0</v>
      </c>
    </row>
    <row r="21" spans="2:75" ht="17.25" customHeight="1" x14ac:dyDescent="0.25">
      <c r="B21" s="30"/>
      <c r="C21" s="16"/>
      <c r="D21" s="18"/>
      <c r="E21" s="17"/>
      <c r="F21" s="77">
        <v>680</v>
      </c>
      <c r="G21" s="78">
        <v>-34.814190796978636</v>
      </c>
      <c r="H21" s="15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33"/>
      <c r="AK21" s="66">
        <f t="shared" si="5"/>
        <v>680</v>
      </c>
      <c r="AL21" s="66">
        <f t="shared" si="5"/>
        <v>-34.799999999999997</v>
      </c>
      <c r="AO21" s="7">
        <f t="shared" si="11"/>
        <v>1</v>
      </c>
      <c r="AP21" s="7">
        <f t="shared" si="12"/>
        <v>1</v>
      </c>
      <c r="AQ21" s="7"/>
      <c r="AR21" s="69"/>
      <c r="AS21" s="68" t="s">
        <v>25</v>
      </c>
      <c r="AT21" s="68" t="s">
        <v>26</v>
      </c>
      <c r="AU21" s="7"/>
      <c r="AV21" s="7"/>
      <c r="AW21" s="7"/>
      <c r="AX21" s="7"/>
      <c r="AY21" s="7"/>
      <c r="BI21" s="1">
        <f t="shared" si="0"/>
        <v>680</v>
      </c>
      <c r="BJ21" s="1">
        <f t="shared" si="1"/>
        <v>-348</v>
      </c>
      <c r="BL21" s="1" t="str">
        <f t="shared" si="13"/>
        <v>680</v>
      </c>
      <c r="BM21" s="1" t="str">
        <f t="shared" si="14"/>
        <v>-348</v>
      </c>
      <c r="BN21" s="1" t="s">
        <v>0</v>
      </c>
      <c r="BO21" s="1" t="str">
        <f t="shared" si="8"/>
        <v xml:space="preserve"> 680</v>
      </c>
      <c r="BP21" s="1" t="str">
        <f t="shared" si="9"/>
        <v>-348</v>
      </c>
      <c r="BQ21" s="1" t="s">
        <v>0</v>
      </c>
      <c r="BR21" s="1" t="str">
        <f t="shared" si="15"/>
        <v xml:space="preserve">   0,  40,  80, 120, 200, 240, 280, 480, 680,</v>
      </c>
      <c r="BS21" s="1" t="str">
        <f t="shared" si="16"/>
        <v>-400,-398,-397,-396,-392,-390,-388,-371,-348,</v>
      </c>
      <c r="BT21" s="1" t="s">
        <v>0</v>
      </c>
      <c r="BU21" s="1">
        <f t="shared" si="10"/>
        <v>3</v>
      </c>
      <c r="BV21" s="1">
        <f t="shared" si="10"/>
        <v>4</v>
      </c>
      <c r="BW21" s="1" t="s">
        <v>0</v>
      </c>
    </row>
    <row r="22" spans="2:75" ht="17.25" customHeight="1" x14ac:dyDescent="0.25">
      <c r="B22" s="30"/>
      <c r="C22" s="16"/>
      <c r="D22" s="18"/>
      <c r="E22" s="17"/>
      <c r="F22" s="77">
        <v>880</v>
      </c>
      <c r="G22" s="78">
        <v>-31.813854111469894</v>
      </c>
      <c r="H22" s="15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33"/>
      <c r="AK22" s="66">
        <f t="shared" si="5"/>
        <v>880</v>
      </c>
      <c r="AL22" s="66">
        <f t="shared" si="5"/>
        <v>-31.8</v>
      </c>
      <c r="AO22" s="7">
        <f t="shared" si="11"/>
        <v>1</v>
      </c>
      <c r="AP22" s="7">
        <f t="shared" si="12"/>
        <v>1</v>
      </c>
      <c r="AQ22" s="7"/>
      <c r="AR22" s="69" t="s">
        <v>27</v>
      </c>
      <c r="AS22" s="6" t="str">
        <f>F8</f>
        <v>ADC</v>
      </c>
      <c r="AT22" s="6" t="str">
        <f>G8</f>
        <v>Temperature</v>
      </c>
      <c r="AU22" s="7"/>
      <c r="AV22" s="7">
        <f>MAX(LEN(AS22),LEN(AT22))</f>
        <v>11</v>
      </c>
      <c r="AW22" s="7"/>
      <c r="AX22" s="7"/>
      <c r="AY22" s="7"/>
      <c r="BI22" s="1">
        <f t="shared" si="0"/>
        <v>880</v>
      </c>
      <c r="BJ22" s="1">
        <f t="shared" si="1"/>
        <v>-318</v>
      </c>
      <c r="BL22" s="1" t="str">
        <f t="shared" si="13"/>
        <v>880</v>
      </c>
      <c r="BM22" s="1" t="str">
        <f t="shared" si="14"/>
        <v>-318</v>
      </c>
      <c r="BN22" s="1" t="s">
        <v>0</v>
      </c>
      <c r="BO22" s="1" t="str">
        <f t="shared" si="8"/>
        <v xml:space="preserve"> 880</v>
      </c>
      <c r="BP22" s="1" t="str">
        <f t="shared" si="9"/>
        <v>-318</v>
      </c>
      <c r="BQ22" s="1" t="s">
        <v>0</v>
      </c>
      <c r="BR22" s="1" t="str">
        <f t="shared" si="15"/>
        <v xml:space="preserve">   0,  40,  80, 120, 200, 240, 280, 480, 680, 880,</v>
      </c>
      <c r="BS22" s="1" t="str">
        <f t="shared" si="16"/>
        <v>-400,-398,-397,-396,-392,-390,-388,-371,-348,-318,</v>
      </c>
      <c r="BT22" s="1" t="s">
        <v>0</v>
      </c>
      <c r="BU22" s="1">
        <f t="shared" si="10"/>
        <v>3</v>
      </c>
      <c r="BV22" s="1">
        <f t="shared" si="10"/>
        <v>4</v>
      </c>
      <c r="BW22" s="1" t="s">
        <v>0</v>
      </c>
    </row>
    <row r="23" spans="2:75" ht="17.25" customHeight="1" x14ac:dyDescent="0.25">
      <c r="B23" s="30"/>
      <c r="C23" s="16"/>
      <c r="D23" s="18"/>
      <c r="E23" s="17"/>
      <c r="F23" s="77">
        <v>1080</v>
      </c>
      <c r="G23" s="78">
        <v>-29</v>
      </c>
      <c r="H23" s="15"/>
      <c r="I23" s="17"/>
      <c r="J23" s="17"/>
      <c r="K23" s="50"/>
      <c r="L23" s="50"/>
      <c r="M23" s="51"/>
      <c r="N23" s="51" t="str">
        <f>IF(K23="","",F49+1)</f>
        <v/>
      </c>
      <c r="O23" s="52"/>
      <c r="P23" s="51"/>
      <c r="Q23" s="50" t="str">
        <f>IF(N23="","",I49+1)</f>
        <v/>
      </c>
      <c r="R23" s="51"/>
      <c r="S23" s="53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33"/>
      <c r="AK23" s="66">
        <f t="shared" si="5"/>
        <v>1080</v>
      </c>
      <c r="AL23" s="66">
        <f t="shared" si="5"/>
        <v>-29</v>
      </c>
      <c r="AO23" s="7">
        <f t="shared" si="11"/>
        <v>1</v>
      </c>
      <c r="AP23" s="7">
        <f t="shared" si="12"/>
        <v>1</v>
      </c>
      <c r="AQ23" s="7"/>
      <c r="AR23" s="69" t="s">
        <v>32</v>
      </c>
      <c r="AS23" s="6" t="str">
        <f>SUBSTITUTE(TRIM(AS22)," ","_")</f>
        <v>ADC</v>
      </c>
      <c r="AT23" s="6" t="str">
        <f>SUBSTITUTE(TRIM(AT22)," ","_")</f>
        <v>Temperature</v>
      </c>
      <c r="AU23" s="7"/>
      <c r="AV23" s="7">
        <f t="shared" ref="AV23:AV28" si="17">MAX(LEN(AS23),LEN(AT23))</f>
        <v>11</v>
      </c>
      <c r="AW23" s="7"/>
      <c r="AX23" s="7"/>
      <c r="AY23" s="7"/>
      <c r="BI23" s="1">
        <f t="shared" si="0"/>
        <v>1080</v>
      </c>
      <c r="BJ23" s="1">
        <f t="shared" si="1"/>
        <v>-290</v>
      </c>
      <c r="BL23" s="1" t="str">
        <f t="shared" si="13"/>
        <v>1080</v>
      </c>
      <c r="BM23" s="1" t="str">
        <f t="shared" si="14"/>
        <v>-290</v>
      </c>
      <c r="BN23" s="1" t="s">
        <v>0</v>
      </c>
      <c r="BO23" s="1" t="str">
        <f t="shared" si="8"/>
        <v>1080</v>
      </c>
      <c r="BP23" s="1" t="str">
        <f t="shared" si="9"/>
        <v>-290</v>
      </c>
      <c r="BQ23" s="1" t="s">
        <v>0</v>
      </c>
      <c r="BR23" s="1" t="str">
        <f t="shared" si="15"/>
        <v xml:space="preserve">   0,  40,  80, 120, 200, 240, 280, 480, 680, 880,1080,</v>
      </c>
      <c r="BS23" s="1" t="str">
        <f t="shared" si="16"/>
        <v>-400,-398,-397,-396,-392,-390,-388,-371,-348,-318,-290,</v>
      </c>
      <c r="BT23" s="1" t="s">
        <v>0</v>
      </c>
      <c r="BU23" s="1">
        <f t="shared" si="10"/>
        <v>4</v>
      </c>
      <c r="BV23" s="1">
        <f t="shared" si="10"/>
        <v>4</v>
      </c>
      <c r="BW23" s="1" t="s">
        <v>0</v>
      </c>
    </row>
    <row r="24" spans="2:75" ht="17.25" customHeight="1" x14ac:dyDescent="0.25">
      <c r="B24" s="30"/>
      <c r="C24" s="16"/>
      <c r="D24" s="18"/>
      <c r="E24" s="17"/>
      <c r="F24" s="77">
        <v>1280</v>
      </c>
      <c r="G24" s="78">
        <v>-23.767496636696446</v>
      </c>
      <c r="H24" s="15"/>
      <c r="I24" s="17"/>
      <c r="J24" s="17"/>
      <c r="AI24" s="33"/>
      <c r="AK24" s="66">
        <f t="shared" si="5"/>
        <v>1280</v>
      </c>
      <c r="AL24" s="66">
        <f t="shared" si="5"/>
        <v>-23.8</v>
      </c>
      <c r="AO24" s="7">
        <f t="shared" si="11"/>
        <v>1</v>
      </c>
      <c r="AP24" s="7">
        <f t="shared" si="12"/>
        <v>1</v>
      </c>
      <c r="AQ24" s="7"/>
      <c r="AR24" s="69" t="s">
        <v>27</v>
      </c>
      <c r="AS24" s="6" t="str">
        <f>F8&amp;IF(F9="","","["&amp;F9&amp;"]")</f>
        <v>ADC[bits]</v>
      </c>
      <c r="AT24" s="6" t="str">
        <f>G8&amp;IF(G9="",""," ["&amp;G9&amp;"]")</f>
        <v>Temperature [°C]</v>
      </c>
      <c r="AU24" s="7"/>
      <c r="AV24" s="7">
        <f t="shared" si="17"/>
        <v>16</v>
      </c>
      <c r="AW24" s="7"/>
      <c r="AX24" s="7"/>
      <c r="AY24" s="7"/>
      <c r="BI24" s="1">
        <f t="shared" si="0"/>
        <v>1280</v>
      </c>
      <c r="BJ24" s="1">
        <f t="shared" si="1"/>
        <v>-238</v>
      </c>
      <c r="BL24" s="1" t="str">
        <f t="shared" si="13"/>
        <v>1280</v>
      </c>
      <c r="BM24" s="1" t="str">
        <f t="shared" si="14"/>
        <v>-238</v>
      </c>
      <c r="BN24" s="1" t="s">
        <v>0</v>
      </c>
      <c r="BO24" s="1" t="str">
        <f t="shared" si="8"/>
        <v>1280</v>
      </c>
      <c r="BP24" s="1" t="str">
        <f t="shared" si="9"/>
        <v>-238</v>
      </c>
      <c r="BQ24" s="1" t="s">
        <v>0</v>
      </c>
      <c r="BR24" s="1" t="str">
        <f t="shared" si="15"/>
        <v xml:space="preserve">   0,  40,  80, 120, 200, 240, 280, 480, 680, 880,1080,1280,</v>
      </c>
      <c r="BS24" s="1" t="str">
        <f t="shared" si="16"/>
        <v>-400,-398,-397,-396,-392,-390,-388,-371,-348,-318,-290,-238,</v>
      </c>
      <c r="BT24" s="1" t="s">
        <v>0</v>
      </c>
      <c r="BU24" s="1">
        <f t="shared" si="10"/>
        <v>4</v>
      </c>
      <c r="BV24" s="1">
        <f t="shared" si="10"/>
        <v>4</v>
      </c>
      <c r="BW24" s="1" t="s">
        <v>0</v>
      </c>
    </row>
    <row r="25" spans="2:75" ht="17.25" customHeight="1" x14ac:dyDescent="0.25">
      <c r="B25" s="30"/>
      <c r="C25" s="16"/>
      <c r="D25" s="18"/>
      <c r="E25" s="17"/>
      <c r="F25" s="77">
        <v>1580</v>
      </c>
      <c r="G25" s="78">
        <v>-15.942754939829893</v>
      </c>
      <c r="H25" s="15"/>
      <c r="I25" s="17"/>
      <c r="J25" s="17"/>
      <c r="K25" s="99" t="s">
        <v>10</v>
      </c>
      <c r="L25" s="100"/>
      <c r="M25" s="100"/>
      <c r="N25" s="100"/>
      <c r="O25" s="25"/>
      <c r="P25" s="71" t="s">
        <v>38</v>
      </c>
      <c r="Q25" s="89" t="s">
        <v>41</v>
      </c>
      <c r="R25" s="90"/>
      <c r="S25" s="25"/>
      <c r="T25" s="49" t="s">
        <v>13</v>
      </c>
      <c r="U25" s="89" t="s">
        <v>44</v>
      </c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0"/>
      <c r="AI25" s="33"/>
      <c r="AK25" s="66">
        <f t="shared" si="5"/>
        <v>1580</v>
      </c>
      <c r="AL25" s="66">
        <f t="shared" si="5"/>
        <v>-15.9</v>
      </c>
      <c r="AO25" s="7">
        <f t="shared" si="11"/>
        <v>1</v>
      </c>
      <c r="AP25" s="7">
        <f t="shared" si="12"/>
        <v>1</v>
      </c>
      <c r="AQ25" s="7"/>
      <c r="AR25" s="69" t="s">
        <v>28</v>
      </c>
      <c r="AS25" s="6" t="str">
        <f>SUBSTITUTE(IF(OR(F10="",F10=0),"",IF(F10&lt;0,"_x"&amp;POWER(10,-F10),"_f"&amp;F10))&amp;IF(F9="","",IF(F10&lt;0,"","_")&amp;F9),"°","o")</f>
        <v>_bits</v>
      </c>
      <c r="AT25" s="6" t="str">
        <f>SUBSTITUTE(IF(OR(G10="",G10=0),"",IF(G10&lt;0,"_x"&amp;POWER(10,-G10),"_f"&amp;G10))&amp;IF(G9="","",IF(G10&lt;0,"","_")&amp;G9),"°","o")</f>
        <v>_f1_oC</v>
      </c>
      <c r="AU25" s="7"/>
      <c r="AV25" s="7">
        <f t="shared" si="17"/>
        <v>6</v>
      </c>
      <c r="AW25" s="7"/>
      <c r="AX25" s="7"/>
      <c r="AY25" s="7"/>
      <c r="BI25" s="1">
        <f t="shared" si="0"/>
        <v>1580</v>
      </c>
      <c r="BJ25" s="1">
        <f t="shared" si="1"/>
        <v>-159</v>
      </c>
      <c r="BL25" s="1" t="str">
        <f t="shared" si="13"/>
        <v>1580</v>
      </c>
      <c r="BM25" s="1" t="str">
        <f t="shared" si="14"/>
        <v>-159</v>
      </c>
      <c r="BN25" s="1" t="s">
        <v>0</v>
      </c>
      <c r="BO25" s="1" t="str">
        <f t="shared" si="8"/>
        <v>1580</v>
      </c>
      <c r="BP25" s="1" t="str">
        <f t="shared" si="9"/>
        <v>-159</v>
      </c>
      <c r="BQ25" s="1" t="s">
        <v>0</v>
      </c>
      <c r="BR25" s="1" t="str">
        <f t="shared" si="15"/>
        <v xml:space="preserve">   0,  40,  80, 120, 200, 240, 280, 480, 680, 880,1080,1280,1580,</v>
      </c>
      <c r="BS25" s="1" t="str">
        <f t="shared" si="16"/>
        <v>-400,-398,-397,-396,-392,-390,-388,-371,-348,-318,-290,-238,-159,</v>
      </c>
      <c r="BT25" s="1" t="s">
        <v>0</v>
      </c>
      <c r="BU25" s="1">
        <f t="shared" si="10"/>
        <v>4</v>
      </c>
      <c r="BV25" s="1">
        <f t="shared" si="10"/>
        <v>4</v>
      </c>
      <c r="BW25" s="1" t="s">
        <v>0</v>
      </c>
    </row>
    <row r="26" spans="2:75" ht="17.25" customHeight="1" x14ac:dyDescent="0.25">
      <c r="B26" s="30"/>
      <c r="C26" s="16"/>
      <c r="D26" s="18"/>
      <c r="E26" s="17"/>
      <c r="F26" s="77">
        <v>2180</v>
      </c>
      <c r="G26" s="78">
        <v>4.3095176873541305</v>
      </c>
      <c r="H26" s="15"/>
      <c r="I26" s="17"/>
      <c r="K26" s="100"/>
      <c r="L26" s="100"/>
      <c r="M26" s="100"/>
      <c r="N26" s="100"/>
      <c r="O26" s="93" t="s">
        <v>39</v>
      </c>
      <c r="P26" s="94"/>
      <c r="Q26" s="92"/>
      <c r="R26" s="92"/>
      <c r="S26" s="92"/>
      <c r="T26" s="92"/>
      <c r="U26" s="96" t="str">
        <f>IF(AP13,"Lookups in both directions are available","NOTE: Lookups can't be done in reverse as the 'Y' values aren't monotonic")</f>
        <v>Lookups in both directions are available</v>
      </c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I26" s="33"/>
      <c r="AK26" s="66">
        <f t="shared" si="5"/>
        <v>2180</v>
      </c>
      <c r="AL26" s="66">
        <f t="shared" si="5"/>
        <v>4.3</v>
      </c>
      <c r="AO26" s="7">
        <f t="shared" si="11"/>
        <v>1</v>
      </c>
      <c r="AP26" s="7">
        <f t="shared" si="12"/>
        <v>1</v>
      </c>
      <c r="AQ26" s="7"/>
      <c r="AR26" s="69" t="s">
        <v>29</v>
      </c>
      <c r="AS26" s="6" t="str">
        <f>LOWER(AS23)&amp;AS25</f>
        <v>adc_bits</v>
      </c>
      <c r="AT26" s="6" t="str">
        <f>LOWER(AT23)&amp;AT25</f>
        <v>temperature_f1_oC</v>
      </c>
      <c r="AU26" s="7"/>
      <c r="AV26" s="7">
        <f t="shared" si="17"/>
        <v>17</v>
      </c>
      <c r="AW26" s="7"/>
      <c r="AX26" s="7"/>
      <c r="AY26" s="7"/>
      <c r="BI26" s="1">
        <f t="shared" si="0"/>
        <v>2180</v>
      </c>
      <c r="BJ26" s="1">
        <f t="shared" si="1"/>
        <v>43</v>
      </c>
      <c r="BL26" s="1" t="str">
        <f t="shared" si="13"/>
        <v>2180</v>
      </c>
      <c r="BM26" s="1" t="str">
        <f t="shared" si="14"/>
        <v>43</v>
      </c>
      <c r="BN26" s="1" t="s">
        <v>0</v>
      </c>
      <c r="BO26" s="1" t="str">
        <f t="shared" si="8"/>
        <v>2180</v>
      </c>
      <c r="BP26" s="1" t="str">
        <f t="shared" si="9"/>
        <v xml:space="preserve">  43</v>
      </c>
      <c r="BQ26" s="1" t="s">
        <v>0</v>
      </c>
      <c r="BR26" s="1" t="str">
        <f t="shared" si="15"/>
        <v xml:space="preserve">   0,  40,  80, 120, 200, 240, 280, 480, 680, 880,1080,1280,1580,2180,</v>
      </c>
      <c r="BS26" s="1" t="str">
        <f t="shared" si="16"/>
        <v>-400,-398,-397,-396,-392,-390,-388,-371,-348,-318,-290,-238,-159,  43,</v>
      </c>
      <c r="BT26" s="1" t="s">
        <v>0</v>
      </c>
      <c r="BU26" s="1">
        <f t="shared" si="10"/>
        <v>4</v>
      </c>
      <c r="BV26" s="1">
        <f t="shared" si="10"/>
        <v>2</v>
      </c>
      <c r="BW26" s="1" t="s">
        <v>0</v>
      </c>
    </row>
    <row r="27" spans="2:75" ht="17.25" customHeight="1" thickBot="1" x14ac:dyDescent="0.3">
      <c r="B27" s="30"/>
      <c r="C27" s="16"/>
      <c r="D27" s="18"/>
      <c r="E27" s="17"/>
      <c r="F27" s="77">
        <v>2780</v>
      </c>
      <c r="G27" s="78">
        <v>30.698842625806023</v>
      </c>
      <c r="H27" s="15"/>
      <c r="I27" s="17"/>
      <c r="L27" s="25"/>
      <c r="M27" s="25"/>
      <c r="N27" s="25"/>
      <c r="O27" s="95"/>
      <c r="P27" s="95"/>
      <c r="U27" s="97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I27" s="33"/>
      <c r="AK27" s="66">
        <f t="shared" si="5"/>
        <v>2780</v>
      </c>
      <c r="AL27" s="66">
        <f t="shared" si="5"/>
        <v>30.7</v>
      </c>
      <c r="AO27" s="7">
        <f t="shared" si="11"/>
        <v>1</v>
      </c>
      <c r="AP27" s="7">
        <f t="shared" si="12"/>
        <v>1</v>
      </c>
      <c r="AQ27" s="7"/>
      <c r="AR27" s="69" t="s">
        <v>30</v>
      </c>
      <c r="AS27" s="6" t="str">
        <f>UPPER(F8)&amp;AS25</f>
        <v>ADC_bits</v>
      </c>
      <c r="AT27" s="6" t="str">
        <f>UPPER(G8)&amp;AT25</f>
        <v>TEMPERATURE_f1_oC</v>
      </c>
      <c r="AU27" s="7"/>
      <c r="AV27" s="7">
        <f t="shared" si="17"/>
        <v>17</v>
      </c>
      <c r="AW27" s="7"/>
      <c r="AX27" s="7"/>
      <c r="AY27" s="7"/>
      <c r="BI27" s="1">
        <f t="shared" si="0"/>
        <v>2780</v>
      </c>
      <c r="BJ27" s="1">
        <f t="shared" si="1"/>
        <v>307</v>
      </c>
      <c r="BL27" s="1" t="str">
        <f t="shared" si="13"/>
        <v>2780</v>
      </c>
      <c r="BM27" s="1" t="str">
        <f t="shared" si="14"/>
        <v>307</v>
      </c>
      <c r="BN27" s="1" t="s">
        <v>0</v>
      </c>
      <c r="BO27" s="1" t="str">
        <f t="shared" si="8"/>
        <v>2780</v>
      </c>
      <c r="BP27" s="1" t="str">
        <f t="shared" si="9"/>
        <v xml:space="preserve"> 307</v>
      </c>
      <c r="BQ27" s="1" t="s">
        <v>0</v>
      </c>
      <c r="BR27" s="1" t="str">
        <f t="shared" si="15"/>
        <v xml:space="preserve">   0,  40,  80, 120, 200, 240, 280, 480, 680, 880,1080,1280,1580,2180,2780,</v>
      </c>
      <c r="BS27" s="1" t="str">
        <f t="shared" si="16"/>
        <v>-400,-398,-397,-396,-392,-390,-388,-371,-348,-318,-290,-238,-159,  43, 307,</v>
      </c>
      <c r="BT27" s="1" t="s">
        <v>0</v>
      </c>
      <c r="BU27" s="1">
        <f t="shared" si="10"/>
        <v>4</v>
      </c>
      <c r="BV27" s="1">
        <f t="shared" si="10"/>
        <v>3</v>
      </c>
      <c r="BW27" s="1" t="s">
        <v>0</v>
      </c>
    </row>
    <row r="28" spans="2:75" ht="17.25" customHeight="1" x14ac:dyDescent="0.25">
      <c r="B28" s="30"/>
      <c r="C28" s="16"/>
      <c r="D28" s="18"/>
      <c r="E28" s="17"/>
      <c r="F28" s="77">
        <v>3380</v>
      </c>
      <c r="G28" s="78">
        <v>63.225219875525809</v>
      </c>
      <c r="H28" s="15"/>
      <c r="I28" s="17"/>
      <c r="K28" s="59" t="str">
        <f>"// "</f>
        <v xml:space="preserve">// </v>
      </c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  <c r="AI28" s="33"/>
      <c r="AK28" s="66">
        <f t="shared" si="5"/>
        <v>3380</v>
      </c>
      <c r="AL28" s="66">
        <f t="shared" si="5"/>
        <v>63.2</v>
      </c>
      <c r="AO28" s="7">
        <f t="shared" si="11"/>
        <v>1</v>
      </c>
      <c r="AP28" s="7">
        <f t="shared" si="12"/>
        <v>1</v>
      </c>
      <c r="AR28" s="69" t="s">
        <v>31</v>
      </c>
      <c r="AS28" s="6" t="str">
        <f>UPPER($AS$33)&amp;"_TABLE_"&amp;AS27</f>
        <v>TEMPERATURE_CONVERSION_TABLE_ADC_bits</v>
      </c>
      <c r="AT28" s="6" t="str">
        <f>UPPER($AS$33)&amp;"_TABLE_"&amp;AT27</f>
        <v>TEMPERATURE_CONVERSION_TABLE_TEMPERATURE_f1_oC</v>
      </c>
      <c r="AU28" s="7"/>
      <c r="AV28" s="7">
        <f t="shared" si="17"/>
        <v>46</v>
      </c>
      <c r="BI28" s="1">
        <f t="shared" si="0"/>
        <v>3380</v>
      </c>
      <c r="BJ28" s="1">
        <f t="shared" si="1"/>
        <v>632</v>
      </c>
      <c r="BL28" s="1" t="str">
        <f t="shared" si="13"/>
        <v>3380</v>
      </c>
      <c r="BM28" s="1" t="str">
        <f t="shared" si="14"/>
        <v>632</v>
      </c>
      <c r="BN28" s="1" t="s">
        <v>0</v>
      </c>
      <c r="BO28" s="1" t="str">
        <f t="shared" si="8"/>
        <v>3380</v>
      </c>
      <c r="BP28" s="1" t="str">
        <f t="shared" si="9"/>
        <v xml:space="preserve"> 632</v>
      </c>
      <c r="BQ28" s="1" t="s">
        <v>0</v>
      </c>
      <c r="BR28" s="1" t="str">
        <f t="shared" si="15"/>
        <v xml:space="preserve">   0,  40,  80, 120, 200, 240, 280, 480, 680, 880,1080,1280,1580,2180,2780,3380,</v>
      </c>
      <c r="BS28" s="1" t="str">
        <f t="shared" si="16"/>
        <v>-400,-398,-397,-396,-392,-390,-388,-371,-348,-318,-290,-238,-159,  43, 307, 632,</v>
      </c>
      <c r="BT28" s="1" t="s">
        <v>0</v>
      </c>
      <c r="BU28" s="1">
        <f t="shared" si="10"/>
        <v>4</v>
      </c>
      <c r="BV28" s="1">
        <f t="shared" si="10"/>
        <v>3</v>
      </c>
      <c r="BW28" s="1" t="s">
        <v>0</v>
      </c>
    </row>
    <row r="29" spans="2:75" ht="17.25" customHeight="1" x14ac:dyDescent="0.25">
      <c r="B29" s="30"/>
      <c r="C29" s="16"/>
      <c r="D29" s="18"/>
      <c r="E29" s="17"/>
      <c r="F29" s="77">
        <v>3980</v>
      </c>
      <c r="G29" s="78">
        <v>101.88864943651348</v>
      </c>
      <c r="H29" s="15"/>
      <c r="I29" s="17"/>
      <c r="K29" s="85" t="str">
        <f>"// "&amp;F6&amp;IF(MAKE_FUNC_BIDIRECTIONAL," between "&amp;AS31&amp;" and "&amp;AT31," from "&amp;AS31&amp;" to "&amp;AT31)</f>
        <v>// Temperature Conversion from ADC [bits] to Temperature [x0.1 °C]</v>
      </c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7"/>
      <c r="AI29" s="33"/>
      <c r="AK29" s="66">
        <f t="shared" si="5"/>
        <v>3980</v>
      </c>
      <c r="AL29" s="66">
        <f t="shared" si="5"/>
        <v>101.9</v>
      </c>
      <c r="AO29" s="7">
        <f t="shared" si="11"/>
        <v>1</v>
      </c>
      <c r="AP29" s="7">
        <f t="shared" si="12"/>
        <v>1</v>
      </c>
      <c r="AR29" s="69"/>
      <c r="AS29" s="6"/>
      <c r="AT29" s="6"/>
      <c r="AU29" s="7"/>
      <c r="BI29" s="1">
        <f t="shared" si="0"/>
        <v>3980</v>
      </c>
      <c r="BJ29" s="1">
        <f t="shared" si="1"/>
        <v>1019</v>
      </c>
      <c r="BL29" s="1" t="str">
        <f t="shared" si="13"/>
        <v>3980</v>
      </c>
      <c r="BM29" s="1" t="str">
        <f t="shared" si="14"/>
        <v>1019</v>
      </c>
      <c r="BN29" s="1" t="s">
        <v>0</v>
      </c>
      <c r="BO29" s="1" t="str">
        <f t="shared" si="8"/>
        <v>3980</v>
      </c>
      <c r="BP29" s="1" t="str">
        <f t="shared" si="9"/>
        <v>1019</v>
      </c>
      <c r="BQ29" s="1" t="s">
        <v>0</v>
      </c>
      <c r="BR29" s="1" t="str">
        <f t="shared" si="15"/>
        <v xml:space="preserve">   0,  40,  80, 120, 200, 240, 280, 480, 680, 880,1080,1280,1580,2180,2780,3380,3980,</v>
      </c>
      <c r="BS29" s="1" t="str">
        <f t="shared" si="16"/>
        <v>-400,-398,-397,-396,-392,-390,-388,-371,-348,-318,-290,-238,-159,  43, 307, 632,1019,</v>
      </c>
      <c r="BT29" s="1" t="s">
        <v>0</v>
      </c>
      <c r="BU29" s="1">
        <f t="shared" si="10"/>
        <v>4</v>
      </c>
      <c r="BV29" s="1">
        <f t="shared" si="10"/>
        <v>4</v>
      </c>
      <c r="BW29" s="1" t="s">
        <v>0</v>
      </c>
    </row>
    <row r="30" spans="2:75" ht="17.25" customHeight="1" x14ac:dyDescent="0.25">
      <c r="B30" s="30"/>
      <c r="C30" s="16"/>
      <c r="D30" s="18"/>
      <c r="E30" s="17"/>
      <c r="F30" s="77">
        <v>4095</v>
      </c>
      <c r="G30" s="78">
        <v>110</v>
      </c>
      <c r="H30" s="15"/>
      <c r="I30" s="17"/>
      <c r="J30" s="17"/>
      <c r="K30" s="60" t="str">
        <f>"// Out of range data will "&amp;IF(Q25="LI_GIVE_ERROR","return LOOKUP_FAILURE",IF(Q25="LI_CLIP","be clipped to nearest value","be extrapolated"))</f>
        <v>// Out of range data will be clipped to nearest value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/>
      <c r="AK30" s="66">
        <f t="shared" si="5"/>
        <v>4095</v>
      </c>
      <c r="AL30" s="66">
        <f t="shared" si="5"/>
        <v>110</v>
      </c>
      <c r="AO30" s="7">
        <f t="shared" si="11"/>
        <v>1</v>
      </c>
      <c r="AP30" s="7">
        <f t="shared" si="12"/>
        <v>1</v>
      </c>
      <c r="AR30" s="69" t="s">
        <v>43</v>
      </c>
      <c r="AS30" s="6" t="str">
        <f>IF(F9="","","[")&amp;IF(OR(F10="",F10=0),"","x"&amp;POWER(10,-F10)&amp;" ")&amp;IF(F9="","",IF(F10&lt;0,"","")&amp;F9)&amp;IF(F9="","","]")</f>
        <v>[bits]</v>
      </c>
      <c r="AT30" s="6" t="str">
        <f>IF(G9="","","[")&amp;IF(OR(G10="",G10=0),"","x"&amp;POWER(10,-G10)&amp;" ")&amp;IF(G9="","",IF(G10&lt;0,"","")&amp;G9)&amp;IF(G9="","","]")</f>
        <v>[x0.1 °C]</v>
      </c>
      <c r="AU30" s="7"/>
      <c r="BI30" s="1">
        <f t="shared" si="0"/>
        <v>4095</v>
      </c>
      <c r="BJ30" s="1">
        <f t="shared" si="1"/>
        <v>1100</v>
      </c>
      <c r="BL30" s="1" t="str">
        <f t="shared" si="13"/>
        <v>4095</v>
      </c>
      <c r="BM30" s="1" t="str">
        <f t="shared" si="14"/>
        <v>1100</v>
      </c>
      <c r="BN30" s="1" t="s">
        <v>0</v>
      </c>
      <c r="BO30" s="1" t="str">
        <f t="shared" si="8"/>
        <v>4095</v>
      </c>
      <c r="BP30" s="1" t="str">
        <f t="shared" si="9"/>
        <v>1100</v>
      </c>
      <c r="BQ30" s="1" t="s">
        <v>0</v>
      </c>
      <c r="BR30" s="1" t="str">
        <f t="shared" si="15"/>
        <v xml:space="preserve">   0,  40,  80, 120, 200, 240, 280, 480, 680, 880,1080,1280,1580,2180,2780,3380,3980,4095,</v>
      </c>
      <c r="BS30" s="1" t="str">
        <f t="shared" si="16"/>
        <v>-400,-398,-397,-396,-392,-390,-388,-371,-348,-318,-290,-238,-159,  43, 307, 632,1019,1100,</v>
      </c>
      <c r="BT30" s="1" t="s">
        <v>0</v>
      </c>
      <c r="BU30" s="1">
        <f t="shared" si="10"/>
        <v>4</v>
      </c>
      <c r="BV30" s="1">
        <f t="shared" si="10"/>
        <v>4</v>
      </c>
      <c r="BW30" s="1" t="s">
        <v>0</v>
      </c>
    </row>
    <row r="31" spans="2:75" ht="17.25" customHeight="1" x14ac:dyDescent="0.25">
      <c r="B31" s="30"/>
      <c r="C31" s="16"/>
      <c r="D31" s="18"/>
      <c r="E31" s="17"/>
      <c r="F31" s="77"/>
      <c r="G31" s="78"/>
      <c r="H31" s="15"/>
      <c r="I31" s="17"/>
      <c r="J31" s="17"/>
      <c r="K31" s="60" t="str">
        <f>"// Data Reference: "&amp;U25</f>
        <v>// Data Reference: From Test Unit A-01.  (Initial test sweep)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/>
      <c r="AK31" s="66" t="e">
        <f t="shared" si="5"/>
        <v>#N/A</v>
      </c>
      <c r="AL31" s="66" t="e">
        <f t="shared" si="5"/>
        <v>#N/A</v>
      </c>
      <c r="AO31" s="7" t="str">
        <f t="shared" si="11"/>
        <v/>
      </c>
      <c r="AP31" s="7" t="str">
        <f t="shared" si="12"/>
        <v/>
      </c>
      <c r="AS31" s="1" t="str">
        <f>TRIM(AS22&amp;" "&amp;AS30)</f>
        <v>ADC [bits]</v>
      </c>
      <c r="AT31" s="1" t="str">
        <f>TRIM(AT22&amp;" "&amp;AT30)</f>
        <v>Temperature [x0.1 °C]</v>
      </c>
      <c r="BI31" s="1" t="str">
        <f t="shared" si="0"/>
        <v/>
      </c>
      <c r="BJ31" s="1" t="str">
        <f t="shared" si="1"/>
        <v/>
      </c>
      <c r="BL31" s="1" t="str">
        <f t="shared" si="13"/>
        <v/>
      </c>
      <c r="BM31" s="1" t="str">
        <f t="shared" si="14"/>
        <v/>
      </c>
      <c r="BN31" s="1" t="s">
        <v>0</v>
      </c>
      <c r="BO31" s="1" t="str">
        <f t="shared" si="8"/>
        <v xml:space="preserve">    </v>
      </c>
      <c r="BP31" s="1" t="str">
        <f t="shared" si="9"/>
        <v xml:space="preserve">    </v>
      </c>
      <c r="BQ31" s="1" t="s">
        <v>0</v>
      </c>
      <c r="BR31" s="1" t="str">
        <f t="shared" si="15"/>
        <v xml:space="preserve">   0,  40,  80, 120, 200, 240, 280, 480, 680, 880,1080,1280,1580,2180,2780,3380,3980,4095,</v>
      </c>
      <c r="BS31" s="1" t="str">
        <f t="shared" si="16"/>
        <v>-400,-398,-397,-396,-392,-390,-388,-371,-348,-318,-290,-238,-159,  43, 307, 632,1019,1100,</v>
      </c>
      <c r="BT31" s="1" t="s">
        <v>0</v>
      </c>
      <c r="BU31" s="1">
        <f t="shared" si="10"/>
        <v>0</v>
      </c>
      <c r="BV31" s="1">
        <f t="shared" si="10"/>
        <v>0</v>
      </c>
      <c r="BW31" s="1" t="s">
        <v>0</v>
      </c>
    </row>
    <row r="32" spans="2:75" ht="17.25" customHeight="1" x14ac:dyDescent="0.25">
      <c r="B32" s="30"/>
      <c r="C32" s="16"/>
      <c r="D32" s="18"/>
      <c r="E32" s="17"/>
      <c r="F32" s="77"/>
      <c r="G32" s="78"/>
      <c r="H32" s="15"/>
      <c r="I32" s="17"/>
      <c r="J32" s="17"/>
      <c r="K32" s="60" t="str">
        <f>"// "</f>
        <v xml:space="preserve">// 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/>
      <c r="AK32" s="66" t="e">
        <f t="shared" si="5"/>
        <v>#N/A</v>
      </c>
      <c r="AL32" s="66" t="e">
        <f t="shared" si="5"/>
        <v>#N/A</v>
      </c>
      <c r="AO32" s="7" t="str">
        <f t="shared" si="11"/>
        <v/>
      </c>
      <c r="AP32" s="7" t="str">
        <f t="shared" si="12"/>
        <v/>
      </c>
      <c r="AR32" s="67" t="s">
        <v>18</v>
      </c>
      <c r="AS32" s="6" t="str">
        <f>IF(MAKE_FUNC_BIDIRECTIONAL,"value"&amp;IF(AS25=AT25,AS25,""),BI12)</f>
        <v>adc_bits</v>
      </c>
      <c r="BI32" s="1" t="str">
        <f t="shared" si="0"/>
        <v/>
      </c>
      <c r="BJ32" s="1" t="str">
        <f t="shared" si="1"/>
        <v/>
      </c>
      <c r="BL32" s="1" t="str">
        <f t="shared" si="13"/>
        <v/>
      </c>
      <c r="BM32" s="1" t="str">
        <f t="shared" si="14"/>
        <v/>
      </c>
      <c r="BN32" s="1" t="s">
        <v>0</v>
      </c>
      <c r="BO32" s="1" t="str">
        <f t="shared" si="8"/>
        <v xml:space="preserve">    </v>
      </c>
      <c r="BP32" s="1" t="str">
        <f t="shared" si="9"/>
        <v xml:space="preserve">    </v>
      </c>
      <c r="BQ32" s="1" t="s">
        <v>0</v>
      </c>
      <c r="BR32" s="1" t="str">
        <f t="shared" si="15"/>
        <v xml:space="preserve">   0,  40,  80, 120, 200, 240, 280, 480, 680, 880,1080,1280,1580,2180,2780,3380,3980,4095,</v>
      </c>
      <c r="BS32" s="1" t="str">
        <f t="shared" si="16"/>
        <v>-400,-398,-397,-396,-392,-390,-388,-371,-348,-318,-290,-238,-159,  43, 307, 632,1019,1100,</v>
      </c>
      <c r="BT32" s="1" t="s">
        <v>0</v>
      </c>
      <c r="BU32" s="1">
        <f t="shared" si="10"/>
        <v>0</v>
      </c>
      <c r="BV32" s="1">
        <f t="shared" si="10"/>
        <v>0</v>
      </c>
      <c r="BW32" s="1" t="s">
        <v>0</v>
      </c>
    </row>
    <row r="33" spans="2:79" ht="17.25" customHeight="1" x14ac:dyDescent="0.25">
      <c r="B33" s="30"/>
      <c r="C33" s="16"/>
      <c r="D33" s="18"/>
      <c r="E33" s="17"/>
      <c r="F33" s="77"/>
      <c r="G33" s="78"/>
      <c r="H33" s="15"/>
      <c r="I33" s="17"/>
      <c r="J33" s="17"/>
      <c r="K33" s="60" t="str">
        <f>"// Entries generated using LookupTableGenerator.xlsx  ("&amp;AI3&amp;")   -- From http://github.com/&lt;TBD&gt;"</f>
        <v>// Entries generated using LookupTableGenerator.xlsx  (Rev 1.0)   -- From http://github.com/&lt;TBD&gt;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1"/>
      <c r="AK33" s="66" t="e">
        <f t="shared" si="5"/>
        <v>#N/A</v>
      </c>
      <c r="AL33" s="66" t="e">
        <f t="shared" si="5"/>
        <v>#N/A</v>
      </c>
      <c r="AO33" s="7" t="str">
        <f t="shared" si="11"/>
        <v/>
      </c>
      <c r="AP33" s="7" t="str">
        <f t="shared" si="12"/>
        <v/>
      </c>
      <c r="AR33" s="67" t="s">
        <v>34</v>
      </c>
      <c r="AS33" s="82" t="str">
        <f>SUBSTITUTE(F6," ","_")</f>
        <v>Temperature_Conversion</v>
      </c>
      <c r="BI33" s="1" t="str">
        <f t="shared" si="0"/>
        <v/>
      </c>
      <c r="BJ33" s="1" t="str">
        <f t="shared" si="1"/>
        <v/>
      </c>
      <c r="BL33" s="1" t="str">
        <f t="shared" si="13"/>
        <v/>
      </c>
      <c r="BM33" s="1" t="str">
        <f t="shared" si="14"/>
        <v/>
      </c>
      <c r="BN33" s="1" t="s">
        <v>0</v>
      </c>
      <c r="BO33" s="1" t="str">
        <f t="shared" si="8"/>
        <v xml:space="preserve">    </v>
      </c>
      <c r="BP33" s="1" t="str">
        <f t="shared" si="9"/>
        <v xml:space="preserve">    </v>
      </c>
      <c r="BQ33" s="1" t="s">
        <v>0</v>
      </c>
      <c r="BR33" s="1" t="str">
        <f t="shared" si="15"/>
        <v xml:space="preserve">   0,  40,  80, 120, 200, 240, 280, 480, 680, 880,1080,1280,1580,2180,2780,3380,3980,4095,</v>
      </c>
      <c r="BS33" s="1" t="str">
        <f t="shared" si="16"/>
        <v>-400,-398,-397,-396,-392,-390,-388,-371,-348,-318,-290,-238,-159,  43, 307, 632,1019,1100,</v>
      </c>
      <c r="BT33" s="1" t="s">
        <v>0</v>
      </c>
      <c r="BU33" s="1">
        <f t="shared" si="10"/>
        <v>0</v>
      </c>
      <c r="BV33" s="1">
        <f t="shared" si="10"/>
        <v>0</v>
      </c>
      <c r="BW33" s="1" t="s">
        <v>0</v>
      </c>
    </row>
    <row r="34" spans="2:79" ht="17.25" customHeight="1" x14ac:dyDescent="0.25">
      <c r="B34" s="30"/>
      <c r="C34" s="16"/>
      <c r="D34" s="18"/>
      <c r="E34" s="17"/>
      <c r="F34" s="77"/>
      <c r="G34" s="78"/>
      <c r="H34" s="15"/>
      <c r="I34" s="17"/>
      <c r="J34" s="17"/>
      <c r="K34" s="60" t="str">
        <f>"// "</f>
        <v xml:space="preserve">// 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2"/>
      <c r="AJ34" s="11"/>
      <c r="AK34" s="66" t="e">
        <f t="shared" si="5"/>
        <v>#N/A</v>
      </c>
      <c r="AL34" s="66" t="e">
        <f t="shared" si="5"/>
        <v>#N/A</v>
      </c>
      <c r="AM34" s="11"/>
      <c r="AO34" s="7" t="str">
        <f t="shared" si="11"/>
        <v/>
      </c>
      <c r="AP34" s="7" t="str">
        <f t="shared" si="12"/>
        <v/>
      </c>
      <c r="AR34" s="67" t="s">
        <v>37</v>
      </c>
      <c r="AS34" s="1" t="str">
        <f>AS33&amp;IF(MAKE_FUNC_BIDIRECTIONAL,"_between_"&amp;AS26&amp;"_and_"&amp;AT26,"_"&amp;AS26&amp;"_to_"&amp;AT26)</f>
        <v>Temperature_Conversion_adc_bits_to_temperature_f1_oC</v>
      </c>
      <c r="BI34" s="1" t="str">
        <f t="shared" si="0"/>
        <v/>
      </c>
      <c r="BJ34" s="1" t="str">
        <f t="shared" si="1"/>
        <v/>
      </c>
      <c r="BL34" s="1" t="str">
        <f t="shared" si="13"/>
        <v/>
      </c>
      <c r="BM34" s="1" t="str">
        <f t="shared" si="14"/>
        <v/>
      </c>
      <c r="BN34" s="1" t="s">
        <v>0</v>
      </c>
      <c r="BO34" s="1" t="str">
        <f t="shared" si="8"/>
        <v xml:space="preserve">    </v>
      </c>
      <c r="BP34" s="1" t="str">
        <f t="shared" si="9"/>
        <v xml:space="preserve">    </v>
      </c>
      <c r="BQ34" s="1" t="s">
        <v>0</v>
      </c>
      <c r="BR34" s="1" t="str">
        <f t="shared" si="15"/>
        <v xml:space="preserve">   0,  40,  80, 120, 200, 240, 280, 480, 680, 880,1080,1280,1580,2180,2780,3380,3980,4095,</v>
      </c>
      <c r="BS34" s="1" t="str">
        <f t="shared" si="16"/>
        <v>-400,-398,-397,-396,-392,-390,-388,-371,-348,-318,-290,-238,-159,  43, 307, 632,1019,1100,</v>
      </c>
      <c r="BT34" s="1" t="s">
        <v>0</v>
      </c>
      <c r="BU34" s="1">
        <f t="shared" si="10"/>
        <v>0</v>
      </c>
      <c r="BV34" s="1">
        <f t="shared" si="10"/>
        <v>0</v>
      </c>
      <c r="BW34" s="1" t="s">
        <v>0</v>
      </c>
    </row>
    <row r="35" spans="2:79" ht="17.25" customHeight="1" x14ac:dyDescent="0.25">
      <c r="B35" s="30"/>
      <c r="C35" s="16"/>
      <c r="D35" s="18"/>
      <c r="E35" s="17"/>
      <c r="F35" s="77"/>
      <c r="G35" s="78"/>
      <c r="H35" s="15"/>
      <c r="I35" s="17"/>
      <c r="J35" s="17"/>
      <c r="K35" s="60" t="str">
        <f>"int32_t "&amp;AS34&amp;"(int32_t "&amp;VARNAME_IN&amp;IF(MAKE_FUNC_BIDIRECTIONAL,",bool get_"&amp;G8,"")&amp;")"</f>
        <v>int32_t Temperature_Conversion_adc_bits_to_temperature_f1_oC(int32_t adc_bits)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2"/>
      <c r="AJ35" s="11"/>
      <c r="AK35" s="66" t="e">
        <f t="shared" si="5"/>
        <v>#N/A</v>
      </c>
      <c r="AL35" s="66" t="e">
        <f t="shared" si="5"/>
        <v>#N/A</v>
      </c>
      <c r="AM35" s="11"/>
      <c r="AO35" s="7" t="str">
        <f t="shared" si="11"/>
        <v/>
      </c>
      <c r="AP35" s="7" t="str">
        <f t="shared" si="12"/>
        <v/>
      </c>
      <c r="AR35" s="67" t="s">
        <v>42</v>
      </c>
      <c r="AS35" s="1" t="str">
        <f>IF(OR(F10="",F10=0),""," (shifted to "&amp;F10&amp;" decimal place"&amp;IF(F10=1,"","s")&amp;")")</f>
        <v/>
      </c>
      <c r="AT35" s="1" t="str">
        <f>IF(OR(G10="",G10=0),""," (shifted to "&amp;G10&amp;" decimal place"&amp;IF(G10=1,"","s")&amp;")")</f>
        <v xml:space="preserve"> (shifted to 1 decimal place)</v>
      </c>
      <c r="BI35" s="1" t="str">
        <f t="shared" si="0"/>
        <v/>
      </c>
      <c r="BJ35" s="1" t="str">
        <f t="shared" si="1"/>
        <v/>
      </c>
      <c r="BL35" s="1" t="str">
        <f t="shared" si="13"/>
        <v/>
      </c>
      <c r="BM35" s="1" t="str">
        <f t="shared" si="14"/>
        <v/>
      </c>
      <c r="BN35" s="1" t="s">
        <v>0</v>
      </c>
      <c r="BO35" s="1" t="str">
        <f t="shared" si="8"/>
        <v xml:space="preserve">    </v>
      </c>
      <c r="BP35" s="1" t="str">
        <f t="shared" si="9"/>
        <v xml:space="preserve">    </v>
      </c>
      <c r="BQ35" s="1" t="s">
        <v>0</v>
      </c>
      <c r="BR35" s="1" t="str">
        <f t="shared" si="15"/>
        <v xml:space="preserve">   0,  40,  80, 120, 200, 240, 280, 480, 680, 880,1080,1280,1580,2180,2780,3380,3980,4095,</v>
      </c>
      <c r="BS35" s="1" t="str">
        <f t="shared" si="16"/>
        <v>-400,-398,-397,-396,-392,-390,-388,-371,-348,-318,-290,-238,-159,  43, 307, 632,1019,1100,</v>
      </c>
      <c r="BT35" s="1" t="s">
        <v>0</v>
      </c>
      <c r="BU35" s="1">
        <f t="shared" si="10"/>
        <v>0</v>
      </c>
      <c r="BV35" s="1">
        <f t="shared" si="10"/>
        <v>0</v>
      </c>
      <c r="BW35" s="1" t="s">
        <v>0</v>
      </c>
    </row>
    <row r="36" spans="2:79" ht="17.25" customHeight="1" x14ac:dyDescent="0.25">
      <c r="B36" s="30"/>
      <c r="C36" s="16"/>
      <c r="D36" s="18"/>
      <c r="E36" s="17"/>
      <c r="F36" s="77"/>
      <c r="G36" s="78"/>
      <c r="H36" s="15"/>
      <c r="I36" s="17"/>
      <c r="J36" s="17"/>
      <c r="K36" s="60" t="s">
        <v>7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2"/>
      <c r="AJ36" s="11"/>
      <c r="AK36" s="66" t="e">
        <f t="shared" si="5"/>
        <v>#N/A</v>
      </c>
      <c r="AL36" s="66" t="e">
        <f t="shared" si="5"/>
        <v>#N/A</v>
      </c>
      <c r="AM36" s="11"/>
      <c r="AO36" s="7" t="str">
        <f t="shared" si="11"/>
        <v/>
      </c>
      <c r="AP36" s="7" t="str">
        <f t="shared" si="12"/>
        <v/>
      </c>
      <c r="AR36" s="67" t="s">
        <v>19</v>
      </c>
      <c r="AS36" s="1" t="str">
        <f>"Lookup_Interpolate(${value}, "&amp;X_LIST&amp;","&amp;Y_LIST&amp;","&amp;$Q$25&amp;")"</f>
        <v>Lookup_Interpolate(${value}, TEMPERATURE_CONVERSION_TABLE_ADC_bits,TEMPERATURE_CONVERSION_TABLE_TEMPERATURE_f1_oC,LI_CLIP)</v>
      </c>
      <c r="BI36" s="1" t="str">
        <f t="shared" si="0"/>
        <v/>
      </c>
      <c r="BJ36" s="1" t="str">
        <f t="shared" si="1"/>
        <v/>
      </c>
      <c r="BL36" s="1" t="str">
        <f t="shared" si="13"/>
        <v/>
      </c>
      <c r="BM36" s="1" t="str">
        <f t="shared" si="14"/>
        <v/>
      </c>
      <c r="BN36" s="1" t="s">
        <v>0</v>
      </c>
      <c r="BO36" s="1" t="str">
        <f t="shared" si="8"/>
        <v xml:space="preserve">    </v>
      </c>
      <c r="BP36" s="1" t="str">
        <f t="shared" si="9"/>
        <v xml:space="preserve">    </v>
      </c>
      <c r="BQ36" s="1" t="s">
        <v>0</v>
      </c>
      <c r="BR36" s="1" t="str">
        <f t="shared" si="15"/>
        <v xml:space="preserve">   0,  40,  80, 120, 200, 240, 280, 480, 680, 880,1080,1280,1580,2180,2780,3380,3980,4095,</v>
      </c>
      <c r="BS36" s="1" t="str">
        <f t="shared" si="16"/>
        <v>-400,-398,-397,-396,-392,-390,-388,-371,-348,-318,-290,-238,-159,  43, 307, 632,1019,1100,</v>
      </c>
      <c r="BT36" s="1" t="s">
        <v>0</v>
      </c>
      <c r="BU36" s="1">
        <f t="shared" si="10"/>
        <v>0</v>
      </c>
      <c r="BV36" s="1">
        <f t="shared" si="10"/>
        <v>0</v>
      </c>
      <c r="BW36" s="1" t="s">
        <v>0</v>
      </c>
    </row>
    <row r="37" spans="2:79" ht="17.25" customHeight="1" x14ac:dyDescent="0.3">
      <c r="B37" s="30"/>
      <c r="C37" s="16"/>
      <c r="D37" s="18"/>
      <c r="E37" s="17"/>
      <c r="F37" s="77"/>
      <c r="G37" s="78"/>
      <c r="H37" s="15"/>
      <c r="I37" s="17"/>
      <c r="J37" s="17"/>
      <c r="K37" s="55" t="str">
        <f>"    static const int32_t "&amp;X_LIST&amp;REPT(" ",$AV$28-LEN(X_LIST))&amp;" = "&amp;BR54&amp;";"</f>
        <v xml:space="preserve">    static const int32_t TEMPERATURE_CONVERSION_TABLE_ADC_bits          = {   0,  40,  80, 120, 200, 240, 280, 480, 680, 880,1080,1280,1580,2180,2780,3380,3980,4095,END_OF_LIST_s32};</v>
      </c>
      <c r="L37" s="57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5"/>
      <c r="AI37" s="32"/>
      <c r="AJ37" s="11"/>
      <c r="AK37" s="66" t="e">
        <f t="shared" si="5"/>
        <v>#N/A</v>
      </c>
      <c r="AL37" s="66" t="e">
        <f t="shared" si="5"/>
        <v>#N/A</v>
      </c>
      <c r="AM37" s="11"/>
      <c r="AO37" s="7" t="str">
        <f t="shared" si="11"/>
        <v/>
      </c>
      <c r="AP37" s="7" t="str">
        <f t="shared" si="12"/>
        <v/>
      </c>
      <c r="AR37" s="67" t="s">
        <v>20</v>
      </c>
      <c r="AS37" s="1" t="str">
        <f>"Lookup_Interpolate(${value}, "&amp;Y_LIST&amp;","&amp;X_LIST&amp;","&amp;$Q$25&amp;")"</f>
        <v>Lookup_Interpolate(${value}, TEMPERATURE_CONVERSION_TABLE_TEMPERATURE_f1_oC,TEMPERATURE_CONVERSION_TABLE_ADC_bits,LI_CLIP)</v>
      </c>
      <c r="BI37" s="1" t="str">
        <f t="shared" si="0"/>
        <v/>
      </c>
      <c r="BJ37" s="1" t="str">
        <f t="shared" si="1"/>
        <v/>
      </c>
      <c r="BL37" s="1" t="str">
        <f t="shared" si="13"/>
        <v/>
      </c>
      <c r="BM37" s="1" t="str">
        <f t="shared" si="14"/>
        <v/>
      </c>
      <c r="BN37" s="1" t="s">
        <v>0</v>
      </c>
      <c r="BO37" s="1" t="str">
        <f t="shared" si="8"/>
        <v xml:space="preserve">    </v>
      </c>
      <c r="BP37" s="1" t="str">
        <f t="shared" si="9"/>
        <v xml:space="preserve">    </v>
      </c>
      <c r="BQ37" s="1" t="s">
        <v>0</v>
      </c>
      <c r="BR37" s="1" t="str">
        <f t="shared" si="15"/>
        <v xml:space="preserve">   0,  40,  80, 120, 200, 240, 280, 480, 680, 880,1080,1280,1580,2180,2780,3380,3980,4095,</v>
      </c>
      <c r="BS37" s="1" t="str">
        <f t="shared" si="16"/>
        <v>-400,-398,-397,-396,-392,-390,-388,-371,-348,-318,-290,-238,-159,  43, 307, 632,1019,1100,</v>
      </c>
      <c r="BT37" s="1" t="s">
        <v>0</v>
      </c>
      <c r="BU37" s="1">
        <f t="shared" si="10"/>
        <v>0</v>
      </c>
      <c r="BV37" s="1">
        <f t="shared" si="10"/>
        <v>0</v>
      </c>
      <c r="BW37" s="1" t="s">
        <v>0</v>
      </c>
    </row>
    <row r="38" spans="2:79" ht="17.25" customHeight="1" x14ac:dyDescent="0.25">
      <c r="B38" s="30"/>
      <c r="C38" s="16"/>
      <c r="D38" s="18"/>
      <c r="E38" s="17"/>
      <c r="F38" s="77"/>
      <c r="G38" s="78"/>
      <c r="H38" s="15"/>
      <c r="I38" s="17"/>
      <c r="J38" s="17"/>
      <c r="K38" s="56" t="str">
        <f>"    static const int32_t "&amp;Y_LIST&amp;REPT(" ",$AV$28-LEN(Y_LIST))&amp;" = "&amp;BR55&amp;";"</f>
        <v xml:space="preserve">    static const int32_t TEMPERATURE_CONVERSION_TABLE_TEMPERATURE_f1_oC = {-400,-398,-397,-396,-392,-390,-388,-371,-348,-318,-290,-238,-159,  43, 307, 632,1019,1100,END_OF_LIST_s32};</v>
      </c>
      <c r="L38" s="40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7"/>
      <c r="AI38" s="32"/>
      <c r="AJ38" s="11"/>
      <c r="AK38" s="66" t="e">
        <f t="shared" si="5"/>
        <v>#N/A</v>
      </c>
      <c r="AL38" s="66" t="e">
        <f t="shared" si="5"/>
        <v>#N/A</v>
      </c>
      <c r="AM38" s="11"/>
      <c r="AO38" s="7" t="str">
        <f t="shared" si="11"/>
        <v/>
      </c>
      <c r="AP38" s="7" t="str">
        <f t="shared" si="12"/>
        <v/>
      </c>
      <c r="AR38" s="67"/>
      <c r="BI38" s="1" t="str">
        <f t="shared" si="0"/>
        <v/>
      </c>
      <c r="BJ38" s="1" t="str">
        <f t="shared" si="1"/>
        <v/>
      </c>
      <c r="BL38" s="1" t="str">
        <f t="shared" si="13"/>
        <v/>
      </c>
      <c r="BM38" s="1" t="str">
        <f t="shared" si="14"/>
        <v/>
      </c>
      <c r="BN38" s="1" t="s">
        <v>0</v>
      </c>
      <c r="BO38" s="1" t="str">
        <f t="shared" si="8"/>
        <v xml:space="preserve">    </v>
      </c>
      <c r="BP38" s="1" t="str">
        <f t="shared" si="9"/>
        <v xml:space="preserve">    </v>
      </c>
      <c r="BQ38" s="1" t="s">
        <v>0</v>
      </c>
      <c r="BR38" s="1" t="str">
        <f t="shared" si="15"/>
        <v xml:space="preserve">   0,  40,  80, 120, 200, 240, 280, 480, 680, 880,1080,1280,1580,2180,2780,3380,3980,4095,</v>
      </c>
      <c r="BS38" s="1" t="str">
        <f t="shared" si="16"/>
        <v>-400,-398,-397,-396,-392,-390,-388,-371,-348,-318,-290,-238,-159,  43, 307, 632,1019,1100,</v>
      </c>
      <c r="BT38" s="1" t="s">
        <v>0</v>
      </c>
      <c r="BU38" s="1">
        <f t="shared" si="10"/>
        <v>0</v>
      </c>
      <c r="BV38" s="1">
        <f t="shared" si="10"/>
        <v>0</v>
      </c>
      <c r="BW38" s="1" t="s">
        <v>0</v>
      </c>
    </row>
    <row r="39" spans="2:79" ht="17.25" customHeight="1" x14ac:dyDescent="0.25">
      <c r="B39" s="30"/>
      <c r="C39" s="16"/>
      <c r="D39" s="18"/>
      <c r="E39" s="17"/>
      <c r="F39" s="77"/>
      <c r="G39" s="78"/>
      <c r="H39" s="15"/>
      <c r="I39" s="17"/>
      <c r="J39" s="17"/>
      <c r="K39" s="60" t="s">
        <v>8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2"/>
      <c r="AJ39" s="11"/>
      <c r="AK39" s="66" t="e">
        <f t="shared" si="5"/>
        <v>#N/A</v>
      </c>
      <c r="AL39" s="66" t="e">
        <f t="shared" si="5"/>
        <v>#N/A</v>
      </c>
      <c r="AM39" s="11"/>
      <c r="AO39" s="7" t="str">
        <f t="shared" si="11"/>
        <v/>
      </c>
      <c r="AP39" s="7" t="str">
        <f t="shared" si="12"/>
        <v/>
      </c>
      <c r="AR39" s="67" t="s">
        <v>40</v>
      </c>
      <c r="AS39" s="6" t="b">
        <f>AND(AT39,AP13)</f>
        <v>0</v>
      </c>
      <c r="AT39" s="81" t="b">
        <v>0</v>
      </c>
      <c r="BI39" s="1" t="str">
        <f t="shared" si="0"/>
        <v/>
      </c>
      <c r="BJ39" s="1" t="str">
        <f t="shared" si="1"/>
        <v/>
      </c>
      <c r="BL39" s="1" t="str">
        <f t="shared" si="13"/>
        <v/>
      </c>
      <c r="BM39" s="1" t="str">
        <f t="shared" si="14"/>
        <v/>
      </c>
      <c r="BN39" s="1" t="s">
        <v>0</v>
      </c>
      <c r="BO39" s="1" t="str">
        <f t="shared" si="8"/>
        <v xml:space="preserve">    </v>
      </c>
      <c r="BP39" s="1" t="str">
        <f t="shared" si="9"/>
        <v xml:space="preserve">    </v>
      </c>
      <c r="BQ39" s="1" t="s">
        <v>0</v>
      </c>
      <c r="BR39" s="1" t="str">
        <f t="shared" si="15"/>
        <v xml:space="preserve">   0,  40,  80, 120, 200, 240, 280, 480, 680, 880,1080,1280,1580,2180,2780,3380,3980,4095,</v>
      </c>
      <c r="BS39" s="1" t="str">
        <f t="shared" si="16"/>
        <v>-400,-398,-397,-396,-392,-390,-388,-371,-348,-318,-290,-238,-159,  43, 307, 632,1019,1100,</v>
      </c>
      <c r="BT39" s="1" t="s">
        <v>0</v>
      </c>
      <c r="BU39" s="1">
        <f t="shared" si="10"/>
        <v>0</v>
      </c>
      <c r="BV39" s="1">
        <f t="shared" si="10"/>
        <v>0</v>
      </c>
      <c r="BW39" s="1" t="s">
        <v>0</v>
      </c>
    </row>
    <row r="40" spans="2:79" ht="17.25" customHeight="1" x14ac:dyDescent="0.25">
      <c r="B40" s="30"/>
      <c r="C40" s="16"/>
      <c r="D40" s="18"/>
      <c r="E40" s="17"/>
      <c r="F40" s="77"/>
      <c r="G40" s="78"/>
      <c r="H40" s="15"/>
      <c r="I40" s="17"/>
      <c r="J40" s="17"/>
      <c r="K40" s="60" t="str">
        <f>IF(MAKE_FUNC_BIDIRECTIONAL,"    if (get_"&amp;G8&amp;")","    return "&amp;SUBSTITUTE(TEMPLATE_X_TO_Y,"${value}",VARNAME_IN)&amp;";")</f>
        <v xml:space="preserve">    return Lookup_Interpolate(adc_bits, TEMPERATURE_CONVERSION_TABLE_ADC_bits,TEMPERATURE_CONVERSION_TABLE_TEMPERATURE_f1_oC,LI_CLIP);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2"/>
      <c r="AK40" s="66" t="e">
        <f t="shared" si="5"/>
        <v>#N/A</v>
      </c>
      <c r="AL40" s="66" t="e">
        <f t="shared" si="5"/>
        <v>#N/A</v>
      </c>
      <c r="AO40" s="7" t="str">
        <f t="shared" si="11"/>
        <v/>
      </c>
      <c r="AP40" s="7" t="str">
        <f t="shared" si="12"/>
        <v/>
      </c>
      <c r="AR40" s="67" t="s">
        <v>21</v>
      </c>
      <c r="BI40" s="1" t="str">
        <f t="shared" si="0"/>
        <v/>
      </c>
      <c r="BJ40" s="1" t="str">
        <f t="shared" si="1"/>
        <v/>
      </c>
      <c r="BL40" s="1" t="str">
        <f t="shared" si="13"/>
        <v/>
      </c>
      <c r="BM40" s="1" t="str">
        <f t="shared" si="14"/>
        <v/>
      </c>
      <c r="BN40" s="1" t="s">
        <v>0</v>
      </c>
      <c r="BO40" s="1" t="str">
        <f t="shared" si="8"/>
        <v xml:space="preserve">    </v>
      </c>
      <c r="BP40" s="1" t="str">
        <f t="shared" si="9"/>
        <v xml:space="preserve">    </v>
      </c>
      <c r="BQ40" s="1" t="s">
        <v>0</v>
      </c>
      <c r="BR40" s="1" t="str">
        <f t="shared" si="15"/>
        <v xml:space="preserve">   0,  40,  80, 120, 200, 240, 280, 480, 680, 880,1080,1280,1580,2180,2780,3380,3980,4095,</v>
      </c>
      <c r="BS40" s="1" t="str">
        <f t="shared" si="16"/>
        <v>-400,-398,-397,-396,-392,-390,-388,-371,-348,-318,-290,-238,-159,  43, 307, 632,1019,1100,</v>
      </c>
      <c r="BT40" s="1" t="s">
        <v>0</v>
      </c>
      <c r="BU40" s="1">
        <f t="shared" si="10"/>
        <v>0</v>
      </c>
      <c r="BV40" s="1">
        <f t="shared" si="10"/>
        <v>0</v>
      </c>
      <c r="BW40" s="1" t="s">
        <v>0</v>
      </c>
    </row>
    <row r="41" spans="2:79" ht="17.25" customHeight="1" x14ac:dyDescent="0.25">
      <c r="B41" s="30"/>
      <c r="C41" s="16"/>
      <c r="D41" s="18"/>
      <c r="E41" s="17"/>
      <c r="F41" s="77"/>
      <c r="G41" s="78"/>
      <c r="H41" s="15"/>
      <c r="I41" s="17"/>
      <c r="J41" s="17"/>
      <c r="K41" s="60" t="str">
        <f>IF(MAKE_FUNC_BIDIRECTIONAL,"    {","}")</f>
        <v>}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2"/>
      <c r="AK41" s="66" t="e">
        <f t="shared" si="5"/>
        <v>#N/A</v>
      </c>
      <c r="AL41" s="66" t="e">
        <f t="shared" si="5"/>
        <v>#N/A</v>
      </c>
      <c r="AO41" s="7" t="str">
        <f t="shared" si="11"/>
        <v/>
      </c>
      <c r="AP41" s="7" t="str">
        <f t="shared" si="12"/>
        <v/>
      </c>
      <c r="AR41" s="67"/>
      <c r="BI41" s="1" t="str">
        <f t="shared" si="0"/>
        <v/>
      </c>
      <c r="BJ41" s="1" t="str">
        <f t="shared" si="1"/>
        <v/>
      </c>
      <c r="BL41" s="1" t="str">
        <f t="shared" si="13"/>
        <v/>
      </c>
      <c r="BM41" s="1" t="str">
        <f t="shared" si="14"/>
        <v/>
      </c>
      <c r="BN41" s="1" t="s">
        <v>0</v>
      </c>
      <c r="BO41" s="1" t="str">
        <f t="shared" si="8"/>
        <v xml:space="preserve">    </v>
      </c>
      <c r="BP41" s="1" t="str">
        <f t="shared" si="9"/>
        <v xml:space="preserve">    </v>
      </c>
      <c r="BQ41" s="1" t="s">
        <v>0</v>
      </c>
      <c r="BR41" s="1" t="str">
        <f t="shared" si="15"/>
        <v xml:space="preserve">   0,  40,  80, 120, 200, 240, 280, 480, 680, 880,1080,1280,1580,2180,2780,3380,3980,4095,</v>
      </c>
      <c r="BS41" s="1" t="str">
        <f t="shared" si="16"/>
        <v>-400,-398,-397,-396,-392,-390,-388,-371,-348,-318,-290,-238,-159,  43, 307, 632,1019,1100,</v>
      </c>
      <c r="BT41" s="1" t="s">
        <v>0</v>
      </c>
      <c r="BU41" s="1">
        <f t="shared" si="10"/>
        <v>0</v>
      </c>
      <c r="BV41" s="1">
        <f t="shared" si="10"/>
        <v>0</v>
      </c>
      <c r="BW41" s="1" t="s">
        <v>0</v>
      </c>
    </row>
    <row r="42" spans="2:79" ht="17.25" customHeight="1" x14ac:dyDescent="0.3">
      <c r="B42" s="30"/>
      <c r="C42" s="16"/>
      <c r="D42" s="18"/>
      <c r="E42" s="17"/>
      <c r="F42" s="77"/>
      <c r="G42" s="78"/>
      <c r="H42" s="15"/>
      <c r="I42" s="17"/>
      <c r="J42" s="17"/>
      <c r="K42" s="60" t="str">
        <f>IF(MAKE_FUNC_BIDIRECTIONAL,"        return "&amp;SUBSTITUTE(TEMPLATE_X_TO_Y,"${value}",VARNAME_IN)&amp;";","")</f>
        <v/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2"/>
      <c r="AK42" s="66" t="e">
        <f t="shared" si="5"/>
        <v>#N/A</v>
      </c>
      <c r="AL42" s="66" t="e">
        <f t="shared" si="5"/>
        <v>#N/A</v>
      </c>
      <c r="AO42" s="7" t="str">
        <f t="shared" si="11"/>
        <v/>
      </c>
      <c r="AP42" s="7" t="str">
        <f t="shared" si="12"/>
        <v/>
      </c>
      <c r="AR42" s="67"/>
      <c r="AS42" s="1" t="str">
        <f>"lookup_"&amp;BJ12&amp;"_from_"&amp;BI12</f>
        <v>lookup_temperature_f1_oC_from_adc_bits</v>
      </c>
      <c r="AT42" s="5"/>
      <c r="AU42" s="5"/>
      <c r="AV42" s="5"/>
      <c r="AW42" s="5"/>
      <c r="BI42" s="1" t="str">
        <f t="shared" si="0"/>
        <v/>
      </c>
      <c r="BJ42" s="1" t="str">
        <f t="shared" si="1"/>
        <v/>
      </c>
      <c r="BL42" s="1" t="str">
        <f t="shared" si="13"/>
        <v/>
      </c>
      <c r="BM42" s="1" t="str">
        <f t="shared" si="14"/>
        <v/>
      </c>
      <c r="BN42" s="1" t="s">
        <v>0</v>
      </c>
      <c r="BO42" s="1" t="str">
        <f t="shared" si="8"/>
        <v xml:space="preserve">    </v>
      </c>
      <c r="BP42" s="1" t="str">
        <f t="shared" si="9"/>
        <v xml:space="preserve">    </v>
      </c>
      <c r="BQ42" s="1" t="s">
        <v>0</v>
      </c>
      <c r="BR42" s="1" t="str">
        <f t="shared" si="15"/>
        <v xml:space="preserve">   0,  40,  80, 120, 200, 240, 280, 480, 680, 880,1080,1280,1580,2180,2780,3380,3980,4095,</v>
      </c>
      <c r="BS42" s="1" t="str">
        <f t="shared" si="16"/>
        <v>-400,-398,-397,-396,-392,-390,-388,-371,-348,-318,-290,-238,-159,  43, 307, 632,1019,1100,</v>
      </c>
      <c r="BT42" s="1" t="s">
        <v>0</v>
      </c>
      <c r="BU42" s="1">
        <f t="shared" si="10"/>
        <v>0</v>
      </c>
      <c r="BV42" s="1">
        <f t="shared" si="10"/>
        <v>0</v>
      </c>
      <c r="BW42" s="1" t="s">
        <v>0</v>
      </c>
    </row>
    <row r="43" spans="2:79" ht="17.25" customHeight="1" x14ac:dyDescent="0.25">
      <c r="B43" s="30"/>
      <c r="C43" s="16"/>
      <c r="D43" s="18"/>
      <c r="E43" s="17"/>
      <c r="F43" s="77"/>
      <c r="G43" s="78"/>
      <c r="H43" s="15"/>
      <c r="I43" s="17"/>
      <c r="J43" s="17"/>
      <c r="K43" s="60" t="str">
        <f>IF(MAKE_FUNC_BIDIRECTIONAL,"    }","")</f>
        <v/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2"/>
      <c r="AK43" s="66" t="e">
        <f t="shared" si="5"/>
        <v>#N/A</v>
      </c>
      <c r="AL43" s="66" t="e">
        <f t="shared" si="5"/>
        <v>#N/A</v>
      </c>
      <c r="AO43" s="7" t="str">
        <f t="shared" si="11"/>
        <v/>
      </c>
      <c r="AP43" s="7" t="str">
        <f t="shared" si="12"/>
        <v/>
      </c>
      <c r="BI43" s="1" t="str">
        <f t="shared" si="0"/>
        <v/>
      </c>
      <c r="BJ43" s="1" t="str">
        <f t="shared" si="1"/>
        <v/>
      </c>
      <c r="BL43" s="1" t="str">
        <f t="shared" si="13"/>
        <v/>
      </c>
      <c r="BM43" s="1" t="str">
        <f t="shared" si="14"/>
        <v/>
      </c>
      <c r="BN43" s="1" t="s">
        <v>0</v>
      </c>
      <c r="BO43" s="1" t="str">
        <f t="shared" si="8"/>
        <v xml:space="preserve">    </v>
      </c>
      <c r="BP43" s="1" t="str">
        <f t="shared" si="9"/>
        <v xml:space="preserve">    </v>
      </c>
      <c r="BQ43" s="1" t="s">
        <v>0</v>
      </c>
      <c r="BR43" s="1" t="str">
        <f t="shared" si="15"/>
        <v xml:space="preserve">   0,  40,  80, 120, 200, 240, 280, 480, 680, 880,1080,1280,1580,2180,2780,3380,3980,4095,</v>
      </c>
      <c r="BS43" s="1" t="str">
        <f t="shared" si="16"/>
        <v>-400,-398,-397,-396,-392,-390,-388,-371,-348,-318,-290,-238,-159,  43, 307, 632,1019,1100,</v>
      </c>
      <c r="BT43" s="1" t="s">
        <v>0</v>
      </c>
      <c r="BU43" s="1">
        <f t="shared" si="10"/>
        <v>0</v>
      </c>
      <c r="BV43" s="1">
        <f t="shared" si="10"/>
        <v>0</v>
      </c>
      <c r="BW43" s="1" t="s">
        <v>0</v>
      </c>
    </row>
    <row r="44" spans="2:79" ht="17.25" customHeight="1" x14ac:dyDescent="0.25">
      <c r="B44" s="30"/>
      <c r="C44" s="16"/>
      <c r="D44" s="18"/>
      <c r="E44" s="17"/>
      <c r="F44" s="77"/>
      <c r="G44" s="78"/>
      <c r="H44" s="15"/>
      <c r="I44" s="17"/>
      <c r="J44" s="17"/>
      <c r="K44" s="60" t="str">
        <f>IF(MAKE_FUNC_BIDIRECTIONAL,"    else","")</f>
        <v/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2"/>
      <c r="AK44" s="66" t="e">
        <f t="shared" si="5"/>
        <v>#N/A</v>
      </c>
      <c r="AL44" s="66" t="e">
        <f t="shared" si="5"/>
        <v>#N/A</v>
      </c>
      <c r="AO44" s="7" t="str">
        <f t="shared" si="11"/>
        <v/>
      </c>
      <c r="AP44" s="7" t="str">
        <f t="shared" si="12"/>
        <v/>
      </c>
      <c r="AS44" s="1" t="e">
        <f>"int32_t "&amp;UPPER(LEFT(#REF!,1))&amp;MID(#REF!,2,9999)&amp;"(int32_t "&amp;VARNAME_IN&amp;IF(AP13,",bool get_"&amp;G8,"")&amp;")"</f>
        <v>#REF!</v>
      </c>
      <c r="BI44" s="1" t="str">
        <f t="shared" si="0"/>
        <v/>
      </c>
      <c r="BJ44" s="1" t="str">
        <f t="shared" si="1"/>
        <v/>
      </c>
      <c r="BL44" s="1" t="str">
        <f t="shared" si="13"/>
        <v/>
      </c>
      <c r="BM44" s="1" t="str">
        <f t="shared" si="14"/>
        <v/>
      </c>
      <c r="BN44" s="1" t="s">
        <v>0</v>
      </c>
      <c r="BO44" s="1" t="str">
        <f t="shared" si="8"/>
        <v xml:space="preserve">    </v>
      </c>
      <c r="BP44" s="1" t="str">
        <f t="shared" si="9"/>
        <v xml:space="preserve">    </v>
      </c>
      <c r="BQ44" s="1" t="s">
        <v>0</v>
      </c>
      <c r="BR44" s="1" t="str">
        <f t="shared" si="15"/>
        <v xml:space="preserve">   0,  40,  80, 120, 200, 240, 280, 480, 680, 880,1080,1280,1580,2180,2780,3380,3980,4095,</v>
      </c>
      <c r="BS44" s="1" t="str">
        <f t="shared" si="16"/>
        <v>-400,-398,-397,-396,-392,-390,-388,-371,-348,-318,-290,-238,-159,  43, 307, 632,1019,1100,</v>
      </c>
      <c r="BT44" s="1" t="s">
        <v>0</v>
      </c>
      <c r="BU44" s="1">
        <f t="shared" si="10"/>
        <v>0</v>
      </c>
      <c r="BV44" s="1">
        <f t="shared" si="10"/>
        <v>0</v>
      </c>
      <c r="BW44" s="1" t="s">
        <v>0</v>
      </c>
    </row>
    <row r="45" spans="2:79" ht="17.25" customHeight="1" x14ac:dyDescent="0.25">
      <c r="B45" s="30"/>
      <c r="C45" s="16"/>
      <c r="D45" s="18"/>
      <c r="E45" s="17"/>
      <c r="F45" s="77"/>
      <c r="G45" s="78"/>
      <c r="H45" s="15"/>
      <c r="I45" s="17"/>
      <c r="J45" s="17"/>
      <c r="K45" s="60" t="str">
        <f>IF(MAKE_FUNC_BIDIRECTIONAL,"    {","")</f>
        <v/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2"/>
      <c r="AK45" s="66" t="e">
        <f t="shared" si="5"/>
        <v>#N/A</v>
      </c>
      <c r="AL45" s="66" t="e">
        <f t="shared" si="5"/>
        <v>#N/A</v>
      </c>
      <c r="AO45" s="7" t="str">
        <f t="shared" si="11"/>
        <v/>
      </c>
      <c r="AP45" s="7" t="str">
        <f t="shared" si="12"/>
        <v/>
      </c>
      <c r="BI45" s="1" t="str">
        <f t="shared" si="0"/>
        <v/>
      </c>
      <c r="BJ45" s="1" t="str">
        <f t="shared" si="1"/>
        <v/>
      </c>
      <c r="BL45" s="1" t="str">
        <f t="shared" si="13"/>
        <v/>
      </c>
      <c r="BM45" s="1" t="str">
        <f t="shared" si="14"/>
        <v/>
      </c>
      <c r="BN45" s="1" t="s">
        <v>0</v>
      </c>
      <c r="BO45" s="1" t="str">
        <f t="shared" si="8"/>
        <v xml:space="preserve">    </v>
      </c>
      <c r="BP45" s="1" t="str">
        <f t="shared" si="9"/>
        <v xml:space="preserve">    </v>
      </c>
      <c r="BQ45" s="1" t="s">
        <v>0</v>
      </c>
      <c r="BR45" s="1" t="str">
        <f t="shared" si="15"/>
        <v xml:space="preserve">   0,  40,  80, 120, 200, 240, 280, 480, 680, 880,1080,1280,1580,2180,2780,3380,3980,4095,</v>
      </c>
      <c r="BS45" s="1" t="str">
        <f t="shared" si="16"/>
        <v>-400,-398,-397,-396,-392,-390,-388,-371,-348,-318,-290,-238,-159,  43, 307, 632,1019,1100,</v>
      </c>
      <c r="BT45" s="1" t="s">
        <v>0</v>
      </c>
      <c r="BU45" s="1">
        <f t="shared" si="10"/>
        <v>0</v>
      </c>
      <c r="BV45" s="1">
        <f t="shared" si="10"/>
        <v>0</v>
      </c>
      <c r="BW45" s="1" t="s">
        <v>0</v>
      </c>
    </row>
    <row r="46" spans="2:79" ht="17.25" customHeight="1" x14ac:dyDescent="0.25">
      <c r="B46" s="30"/>
      <c r="C46" s="16"/>
      <c r="D46" s="18"/>
      <c r="E46" s="17"/>
      <c r="F46" s="77"/>
      <c r="G46" s="78"/>
      <c r="H46" s="15"/>
      <c r="I46" s="17"/>
      <c r="J46" s="17"/>
      <c r="K46" s="60" t="str">
        <f>IF(MAKE_FUNC_BIDIRECTIONAL,"        return "&amp;SUBSTITUTE(TEMPLATE_Y_TO_X,"${value}",VARNAME_IN)&amp;";","")</f>
        <v/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2"/>
      <c r="AK46" s="66" t="e">
        <f t="shared" si="5"/>
        <v>#N/A</v>
      </c>
      <c r="AL46" s="66" t="e">
        <f t="shared" si="5"/>
        <v>#N/A</v>
      </c>
      <c r="AO46" s="7" t="str">
        <f t="shared" si="11"/>
        <v/>
      </c>
      <c r="AP46" s="7" t="str">
        <f t="shared" si="12"/>
        <v/>
      </c>
      <c r="AX46" s="7"/>
      <c r="AY46" s="7"/>
      <c r="BI46" s="1" t="str">
        <f t="shared" si="0"/>
        <v/>
      </c>
      <c r="BJ46" s="1" t="str">
        <f t="shared" si="1"/>
        <v/>
      </c>
      <c r="BL46" s="1" t="str">
        <f t="shared" si="13"/>
        <v/>
      </c>
      <c r="BM46" s="1" t="str">
        <f t="shared" si="14"/>
        <v/>
      </c>
      <c r="BN46" s="1" t="s">
        <v>0</v>
      </c>
      <c r="BO46" s="1" t="str">
        <f t="shared" si="8"/>
        <v xml:space="preserve">    </v>
      </c>
      <c r="BP46" s="1" t="str">
        <f t="shared" si="9"/>
        <v xml:space="preserve">    </v>
      </c>
      <c r="BQ46" s="1" t="s">
        <v>0</v>
      </c>
      <c r="BR46" s="1" t="str">
        <f t="shared" si="15"/>
        <v xml:space="preserve">   0,  40,  80, 120, 200, 240, 280, 480, 680, 880,1080,1280,1580,2180,2780,3380,3980,4095,</v>
      </c>
      <c r="BS46" s="1" t="str">
        <f t="shared" si="16"/>
        <v>-400,-398,-397,-396,-392,-390,-388,-371,-348,-318,-290,-238,-159,  43, 307, 632,1019,1100,</v>
      </c>
      <c r="BT46" s="1" t="s">
        <v>0</v>
      </c>
      <c r="BU46" s="1">
        <f t="shared" si="10"/>
        <v>0</v>
      </c>
      <c r="BV46" s="1">
        <f t="shared" si="10"/>
        <v>0</v>
      </c>
      <c r="BW46" s="1" t="s">
        <v>0</v>
      </c>
    </row>
    <row r="47" spans="2:79" ht="17.25" customHeight="1" x14ac:dyDescent="0.25">
      <c r="B47" s="30"/>
      <c r="C47" s="16"/>
      <c r="D47" s="18"/>
      <c r="E47" s="17"/>
      <c r="F47" s="77"/>
      <c r="G47" s="78"/>
      <c r="H47" s="15"/>
      <c r="I47" s="17"/>
      <c r="J47" s="17"/>
      <c r="K47" s="60" t="str">
        <f>IF(MAKE_FUNC_BIDIRECTIONAL,"    }","")</f>
        <v/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2"/>
      <c r="AK47" s="66" t="e">
        <f t="shared" si="5"/>
        <v>#N/A</v>
      </c>
      <c r="AL47" s="66" t="e">
        <f t="shared" si="5"/>
        <v>#N/A</v>
      </c>
      <c r="AO47" s="7" t="str">
        <f t="shared" si="11"/>
        <v/>
      </c>
      <c r="AP47" s="7" t="str">
        <f t="shared" si="12"/>
        <v/>
      </c>
      <c r="AX47" s="7"/>
      <c r="AY47" s="7"/>
      <c r="BI47" s="1" t="str">
        <f t="shared" si="0"/>
        <v/>
      </c>
      <c r="BJ47" s="1" t="str">
        <f t="shared" si="1"/>
        <v/>
      </c>
      <c r="BL47" s="1" t="str">
        <f t="shared" si="13"/>
        <v/>
      </c>
      <c r="BM47" s="1" t="str">
        <f t="shared" si="14"/>
        <v/>
      </c>
      <c r="BN47" s="1" t="s">
        <v>0</v>
      </c>
      <c r="BO47" s="1" t="str">
        <f t="shared" si="8"/>
        <v xml:space="preserve">    </v>
      </c>
      <c r="BP47" s="1" t="str">
        <f t="shared" si="9"/>
        <v xml:space="preserve">    </v>
      </c>
      <c r="BQ47" s="1" t="s">
        <v>0</v>
      </c>
      <c r="BR47" s="1" t="str">
        <f t="shared" si="15"/>
        <v xml:space="preserve">   0,  40,  80, 120, 200, 240, 280, 480, 680, 880,1080,1280,1580,2180,2780,3380,3980,4095,</v>
      </c>
      <c r="BS47" s="1" t="str">
        <f t="shared" si="16"/>
        <v>-400,-398,-397,-396,-392,-390,-388,-371,-348,-318,-290,-238,-159,  43, 307, 632,1019,1100,</v>
      </c>
      <c r="BT47" s="1" t="s">
        <v>0</v>
      </c>
      <c r="BU47" s="1">
        <f t="shared" si="10"/>
        <v>0</v>
      </c>
      <c r="BV47" s="1">
        <f t="shared" si="10"/>
        <v>0</v>
      </c>
      <c r="BW47" s="1" t="s">
        <v>0</v>
      </c>
    </row>
    <row r="48" spans="2:79" ht="17.25" thickBot="1" x14ac:dyDescent="0.3">
      <c r="B48" s="30"/>
      <c r="C48" s="16"/>
      <c r="D48" s="18"/>
      <c r="E48" s="17"/>
      <c r="F48" s="79"/>
      <c r="G48" s="80"/>
      <c r="H48" s="15"/>
      <c r="I48" s="17"/>
      <c r="K48" s="61" t="str">
        <f>IF(MAKE_FUNC_BIDIRECTIONAL,"}","")</f>
        <v/>
      </c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3"/>
      <c r="AI48" s="32"/>
      <c r="AK48" s="66" t="e">
        <f t="shared" si="5"/>
        <v>#N/A</v>
      </c>
      <c r="AL48" s="66" t="e">
        <f t="shared" si="5"/>
        <v>#N/A</v>
      </c>
      <c r="AM48" s="7" t="str">
        <f t="shared" ref="AM48" si="18">IF(OR(D48="",D47=""),"",SIGN(D48-D47))</f>
        <v/>
      </c>
      <c r="AN48" s="7" t="str">
        <f t="shared" ref="AN48" si="19">IF(OR(E48="",E47=""),"",SIGN(E48-E47))</f>
        <v/>
      </c>
      <c r="AO48" s="7" t="str">
        <f t="shared" si="11"/>
        <v/>
      </c>
      <c r="AP48" s="7" t="str">
        <f t="shared" si="12"/>
        <v/>
      </c>
      <c r="AQ48" s="17"/>
      <c r="AR48" s="17"/>
      <c r="AS48" s="17"/>
      <c r="AT48" s="17"/>
      <c r="AU48" s="17"/>
      <c r="AV48" s="17"/>
      <c r="AW48" s="17"/>
      <c r="AX48" s="10"/>
      <c r="AY48" s="10"/>
      <c r="AZ48" s="17"/>
      <c r="BA48" s="17"/>
      <c r="BB48" s="17"/>
      <c r="BC48" s="17"/>
      <c r="BD48" s="17"/>
      <c r="BE48" s="17"/>
      <c r="BF48" s="17"/>
      <c r="BG48" s="17"/>
      <c r="BH48" s="17"/>
      <c r="BI48" s="17" t="str">
        <f t="shared" si="0"/>
        <v/>
      </c>
      <c r="BJ48" s="17" t="str">
        <f t="shared" si="1"/>
        <v/>
      </c>
      <c r="BK48" s="17"/>
      <c r="BL48" s="17" t="str">
        <f t="shared" si="13"/>
        <v/>
      </c>
      <c r="BM48" s="17" t="str">
        <f t="shared" si="14"/>
        <v/>
      </c>
      <c r="BN48" s="17" t="s">
        <v>0</v>
      </c>
      <c r="BO48" s="1" t="str">
        <f t="shared" si="8"/>
        <v xml:space="preserve">    </v>
      </c>
      <c r="BP48" s="1" t="str">
        <f t="shared" si="9"/>
        <v xml:space="preserve">    </v>
      </c>
      <c r="BQ48" s="17" t="s">
        <v>0</v>
      </c>
      <c r="BR48" s="17" t="str">
        <f>BR47&amp;IF(F48="","",BO48&amp;",")</f>
        <v xml:space="preserve">   0,  40,  80, 120, 200, 240, 280, 480, 680, 880,1080,1280,1580,2180,2780,3380,3980,4095,</v>
      </c>
      <c r="BS48" s="17" t="str">
        <f>BS47&amp;IF(G48="","",BP48&amp;",")</f>
        <v>-400,-398,-397,-396,-392,-390,-388,-371,-348,-318,-290,-238,-159,  43, 307, 632,1019,1100,</v>
      </c>
      <c r="BT48" s="1" t="s">
        <v>0</v>
      </c>
      <c r="BU48" s="1">
        <f t="shared" si="10"/>
        <v>0</v>
      </c>
      <c r="BV48" s="1">
        <f t="shared" si="10"/>
        <v>0</v>
      </c>
      <c r="BW48" s="1" t="s">
        <v>0</v>
      </c>
      <c r="BX48" s="17"/>
      <c r="BY48" s="17"/>
      <c r="BZ48" s="17"/>
      <c r="CA48" s="17"/>
    </row>
    <row r="49" spans="1:81" ht="7.5" customHeight="1" thickBot="1" x14ac:dyDescent="0.3">
      <c r="B49" s="30"/>
      <c r="C49" s="19"/>
      <c r="D49" s="23"/>
      <c r="E49" s="20"/>
      <c r="F49" s="20" t="str">
        <f>IF(C49="","",#REF!+1)</f>
        <v/>
      </c>
      <c r="G49" s="21"/>
      <c r="H49" s="22"/>
      <c r="I49" s="18" t="str">
        <f>IF(F49="","",I48+1)</f>
        <v/>
      </c>
      <c r="AI49" s="32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8"/>
      <c r="AY49" s="8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</row>
    <row r="50" spans="1:81" ht="6.75" customHeight="1" x14ac:dyDescent="0.25">
      <c r="B50" s="30"/>
      <c r="AI50" s="33"/>
    </row>
    <row r="51" spans="1:81" ht="3" customHeight="1" thickBot="1" x14ac:dyDescent="0.35">
      <c r="B51" s="34"/>
      <c r="C51" s="35"/>
      <c r="D51" s="35"/>
      <c r="E51" s="36"/>
      <c r="F51" s="36" t="str">
        <f>IF(C51="","",N23+1)</f>
        <v/>
      </c>
      <c r="G51" s="37"/>
      <c r="H51" s="36"/>
      <c r="I51" s="35" t="str">
        <f>IF(F51="","",Q23+1)</f>
        <v/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8"/>
      <c r="BQ51" s="3"/>
      <c r="BR51" s="5"/>
      <c r="BS51" s="5"/>
      <c r="BT51" s="5"/>
      <c r="BU51" s="5"/>
      <c r="BV51" s="5"/>
      <c r="BW51" s="5"/>
      <c r="BX51" s="5"/>
    </row>
    <row r="52" spans="1:81" ht="15.75" x14ac:dyDescent="0.3">
      <c r="A52" s="2"/>
      <c r="B52" s="2"/>
      <c r="BS52" s="5"/>
      <c r="BT52" s="5"/>
      <c r="BU52" s="1" t="str">
        <f>"Interpolation : "&amp;AT24&amp;" .v. "&amp;AS24</f>
        <v>Interpolation : Temperature [°C] .v. ADC[bits]</v>
      </c>
      <c r="BW52" s="1" t="s">
        <v>9</v>
      </c>
      <c r="BX52" s="5"/>
    </row>
    <row r="53" spans="1:81" ht="9" customHeight="1" x14ac:dyDescent="0.25">
      <c r="A53" s="2"/>
      <c r="B53" s="2"/>
    </row>
    <row r="54" spans="1:81" x14ac:dyDescent="0.25">
      <c r="A54" s="2"/>
      <c r="B54" s="2"/>
      <c r="BQ54" s="1" t="s">
        <v>1</v>
      </c>
      <c r="BR54" s="4" t="str">
        <f>"{"&amp;BR48&amp;"END_OF_LIST_s32}"</f>
        <v>{   0,  40,  80, 120, 200, 240, 280, 480, 680, 880,1080,1280,1580,2180,2780,3380,3980,4095,END_OF_LIST_s32}</v>
      </c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</row>
    <row r="55" spans="1:81" x14ac:dyDescent="0.25">
      <c r="A55" s="2"/>
      <c r="B55" s="2"/>
      <c r="BQ55" s="1" t="s">
        <v>2</v>
      </c>
      <c r="BR55" s="4" t="str">
        <f>"{"&amp;BS48&amp;"END_OF_LIST_s32}"</f>
        <v>{-400,-398,-397,-396,-392,-390,-388,-371,-348,-318,-290,-238,-159,  43, 307, 632,1019,1100,END_OF_LIST_s32}</v>
      </c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</row>
    <row r="56" spans="1:81" x14ac:dyDescent="0.25">
      <c r="A56" s="2"/>
      <c r="B56" s="2"/>
    </row>
    <row r="57" spans="1:81" x14ac:dyDescent="0.25">
      <c r="A57" s="2"/>
      <c r="B57" s="2"/>
    </row>
    <row r="58" spans="1:81" x14ac:dyDescent="0.25">
      <c r="A58" s="2"/>
      <c r="B58" s="2"/>
    </row>
    <row r="59" spans="1:81" x14ac:dyDescent="0.25">
      <c r="A59" s="2"/>
      <c r="B59" s="2"/>
    </row>
    <row r="60" spans="1:81" x14ac:dyDescent="0.25">
      <c r="A60" s="2"/>
      <c r="B60" s="2"/>
    </row>
    <row r="61" spans="1:81" x14ac:dyDescent="0.25">
      <c r="A61" s="2"/>
      <c r="B61" s="2"/>
    </row>
    <row r="62" spans="1:81" x14ac:dyDescent="0.25">
      <c r="A62" s="2"/>
      <c r="B62" s="2"/>
    </row>
    <row r="63" spans="1:81" x14ac:dyDescent="0.25">
      <c r="A63" s="2"/>
      <c r="B63" s="2"/>
    </row>
    <row r="64" spans="1:81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ht="10.5" customHeight="1" x14ac:dyDescent="0.25">
      <c r="A68" s="2"/>
      <c r="B68" s="2"/>
    </row>
    <row r="69" spans="1:2" x14ac:dyDescent="0.25">
      <c r="A69" s="2"/>
      <c r="B69" s="2"/>
    </row>
    <row r="89" spans="49:59" ht="16.5" x14ac:dyDescent="0.25"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49:59" ht="16.5" x14ac:dyDescent="0.25"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49:59" ht="16.5" x14ac:dyDescent="0.25"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49:59" ht="16.5" x14ac:dyDescent="0.25">
      <c r="BE92" s="7"/>
      <c r="BF92" s="7"/>
      <c r="BG92" s="7"/>
    </row>
    <row r="93" spans="49:59" ht="16.5" x14ac:dyDescent="0.25">
      <c r="BE93" s="7"/>
      <c r="BF93" s="7"/>
      <c r="BG93" s="7"/>
    </row>
    <row r="94" spans="49:59" ht="16.5" x14ac:dyDescent="0.25">
      <c r="BE94" s="7"/>
      <c r="BF94" s="7"/>
      <c r="BG94" s="7"/>
    </row>
    <row r="95" spans="49:59" ht="16.5" x14ac:dyDescent="0.25">
      <c r="BE95" s="7"/>
      <c r="BF95" s="7"/>
      <c r="BG95" s="7"/>
    </row>
    <row r="96" spans="49:59" ht="16.5" x14ac:dyDescent="0.25">
      <c r="BE96" s="7"/>
      <c r="BF96" s="7"/>
      <c r="BG96" s="7"/>
    </row>
    <row r="97" spans="57:59" ht="16.5" x14ac:dyDescent="0.25">
      <c r="BE97" s="7"/>
      <c r="BF97" s="7"/>
      <c r="BG97" s="7"/>
    </row>
    <row r="98" spans="57:59" ht="16.5" x14ac:dyDescent="0.25">
      <c r="BE98" s="7"/>
      <c r="BF98" s="7"/>
      <c r="BG98" s="7"/>
    </row>
    <row r="99" spans="57:59" ht="16.5" x14ac:dyDescent="0.25">
      <c r="BE99" s="7"/>
      <c r="BF99" s="7"/>
      <c r="BG99" s="7"/>
    </row>
    <row r="100" spans="57:59" ht="16.5" x14ac:dyDescent="0.25">
      <c r="BE100" s="7"/>
      <c r="BF100" s="7"/>
      <c r="BG100" s="7"/>
    </row>
    <row r="101" spans="57:59" ht="16.5" x14ac:dyDescent="0.25">
      <c r="BE101" s="7"/>
      <c r="BF101" s="7"/>
      <c r="BG101" s="7"/>
    </row>
    <row r="102" spans="57:59" ht="16.5" x14ac:dyDescent="0.25">
      <c r="BE102" s="7"/>
      <c r="BF102" s="7"/>
      <c r="BG102" s="7"/>
    </row>
    <row r="103" spans="57:59" ht="16.5" x14ac:dyDescent="0.25">
      <c r="BE103" s="7"/>
      <c r="BF103" s="7"/>
      <c r="BG103" s="7"/>
    </row>
    <row r="104" spans="57:59" ht="16.5" x14ac:dyDescent="0.25">
      <c r="BE104" s="7"/>
      <c r="BF104" s="7"/>
      <c r="BG104" s="7"/>
    </row>
    <row r="105" spans="57:59" ht="16.5" x14ac:dyDescent="0.25">
      <c r="BE105" s="7"/>
      <c r="BF105" s="7"/>
      <c r="BG105" s="7"/>
    </row>
    <row r="106" spans="57:59" ht="16.5" x14ac:dyDescent="0.25">
      <c r="BE106" s="7"/>
      <c r="BF106" s="7"/>
      <c r="BG106" s="7"/>
    </row>
    <row r="107" spans="57:59" ht="16.5" x14ac:dyDescent="0.25">
      <c r="BE107" s="7"/>
      <c r="BF107" s="7"/>
      <c r="BG107" s="7"/>
    </row>
    <row r="108" spans="57:59" ht="16.5" x14ac:dyDescent="0.25">
      <c r="BE108" s="7"/>
      <c r="BF108" s="7"/>
      <c r="BG108" s="7"/>
    </row>
    <row r="109" spans="57:59" ht="16.5" x14ac:dyDescent="0.25">
      <c r="BE109" s="7"/>
      <c r="BF109" s="7"/>
      <c r="BG109" s="7"/>
    </row>
    <row r="110" spans="57:59" ht="16.5" x14ac:dyDescent="0.25">
      <c r="BE110" s="7"/>
      <c r="BF110" s="7"/>
      <c r="BG110" s="7"/>
    </row>
    <row r="111" spans="57:59" ht="16.5" x14ac:dyDescent="0.25">
      <c r="BE111" s="7"/>
      <c r="BF111" s="7"/>
      <c r="BG111" s="7"/>
    </row>
    <row r="112" spans="57:59" ht="16.5" x14ac:dyDescent="0.25">
      <c r="BE112" s="7"/>
      <c r="BF112" s="7"/>
      <c r="BG112" s="7"/>
    </row>
    <row r="113" spans="57:59" ht="16.5" x14ac:dyDescent="0.25">
      <c r="BE113" s="7"/>
      <c r="BF113" s="7"/>
      <c r="BG113" s="7"/>
    </row>
  </sheetData>
  <sheetProtection algorithmName="SHA-512" hashValue="LZt0s6SOGqmqYda1tW6QiJN4Ym/sL/y7RBLR4xT6D0euSJbdqIeLL8nJjDl3lj+Xa5Gt/cIfRf6+lHvxUb42gQ==" saltValue="QPL+nbPhgL2emC2DEuniwg==" spinCount="100000" sheet="1" objects="1" scenarios="1"/>
  <sortState xmlns:xlrd2="http://schemas.microsoft.com/office/spreadsheetml/2017/richdata2" ref="F13:G39">
    <sortCondition ref="F13:F39"/>
  </sortState>
  <mergeCells count="5">
    <mergeCell ref="K25:N26"/>
    <mergeCell ref="Q25:R25"/>
    <mergeCell ref="U25:AH25"/>
    <mergeCell ref="O26:P27"/>
    <mergeCell ref="U26:AE27"/>
  </mergeCells>
  <dataValidations count="1">
    <dataValidation type="list" allowBlank="1" showInputMessage="1" showErrorMessage="1" sqref="Q25" xr:uid="{B90F7FCD-7A2F-41D6-AA21-ACCE6AF9B5B6}">
      <formula1>"LI_CLIP,LI_EXTRAPOLATE,LI_GIVE_ERROR"</formula1>
    </dataValidation>
  </dataValidations>
  <pageMargins left="0.7" right="0.7" top="0.75" bottom="0.75" header="0.3" footer="0.3"/>
  <pageSetup orientation="portrait" r:id="rId1"/>
  <ignoredErrors>
    <ignoredError sqref="K33" formula="1"/>
  </ignoredErrors>
  <drawing r:id="rId2"/>
  <legacyDrawing r:id="rId3"/>
  <controls>
    <mc:AlternateContent xmlns:mc="http://schemas.openxmlformats.org/markup-compatibility/2006">
      <mc:Choice Requires="x14">
        <control shapeId="1028" r:id="rId4" name="makeBidirectionalFunction">
          <controlPr locked="0" defaultSize="0" autoLine="0" linkedCell="$AT$39" r:id="rId5">
            <anchor moveWithCells="1">
              <from>
                <xdr:col>15</xdr:col>
                <xdr:colOff>590550</xdr:colOff>
                <xdr:row>25</xdr:row>
                <xdr:rowOff>76200</xdr:rowOff>
              </from>
              <to>
                <xdr:col>19</xdr:col>
                <xdr:colOff>419100</xdr:colOff>
                <xdr:row>26</xdr:row>
                <xdr:rowOff>161925</xdr:rowOff>
              </to>
            </anchor>
          </controlPr>
        </control>
      </mc:Choice>
      <mc:Fallback>
        <control shapeId="1028" r:id="rId4" name="makeBidirectionalFunc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CodeGenerator</vt:lpstr>
      <vt:lpstr>DecPlaces</vt:lpstr>
      <vt:lpstr>DecPlaces_X</vt:lpstr>
      <vt:lpstr>DecPlaces_Y</vt:lpstr>
      <vt:lpstr>MAKE_FUNC_BIDIRECTIONAL</vt:lpstr>
      <vt:lpstr>TEMPLATE_X_TO_Y</vt:lpstr>
      <vt:lpstr>TEMPLATE_Y_TO_X</vt:lpstr>
      <vt:lpstr>VARNAME_IN</vt:lpstr>
      <vt:lpstr>X_LIST</vt:lpstr>
      <vt:lpstr>X_VARNAME</vt:lpstr>
      <vt:lpstr>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Shikha Singh</cp:lastModifiedBy>
  <dcterms:created xsi:type="dcterms:W3CDTF">2022-03-14T21:39:43Z</dcterms:created>
  <dcterms:modified xsi:type="dcterms:W3CDTF">2022-04-05T09:15:45Z</dcterms:modified>
</cp:coreProperties>
</file>