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/Desktop/"/>
    </mc:Choice>
  </mc:AlternateContent>
  <xr:revisionPtr revIDLastSave="0" documentId="13_ncr:1_{6390EABE-D4A8-2144-AAE3-FD1B7F4B6553}" xr6:coauthVersionLast="47" xr6:coauthVersionMax="47" xr10:uidLastSave="{00000000-0000-0000-0000-000000000000}"/>
  <bookViews>
    <workbookView xWindow="0" yWindow="0" windowWidth="28800" windowHeight="18000" activeTab="1" xr2:uid="{0BDF250E-D9E0-3940-A4BF-39900CB598F4}"/>
  </bookViews>
  <sheets>
    <sheet name="Trifase" sheetId="1" r:id="rId1"/>
    <sheet name="Magnetic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I12" i="2"/>
  <c r="L12" i="2" s="1"/>
  <c r="D12" i="2"/>
  <c r="F7" i="2"/>
  <c r="K21" i="2"/>
  <c r="E21" i="2"/>
  <c r="K17" i="2"/>
  <c r="D17" i="2"/>
  <c r="C43" i="2" s="1"/>
  <c r="D43" i="2" s="1"/>
  <c r="J7" i="2"/>
  <c r="H33" i="2"/>
  <c r="D48" i="2"/>
  <c r="D53" i="2"/>
  <c r="D38" i="2"/>
  <c r="D33" i="2"/>
  <c r="R8" i="2"/>
  <c r="P7" i="2"/>
  <c r="P9" i="2" s="1"/>
  <c r="P11" i="2" s="1"/>
  <c r="P13" i="2" s="1"/>
  <c r="P6" i="2"/>
  <c r="P8" i="2" s="1"/>
  <c r="P10" i="2" s="1"/>
  <c r="P12" i="2" s="1"/>
  <c r="R7" i="2"/>
  <c r="R6" i="2"/>
  <c r="D6" i="1"/>
  <c r="E6" i="1"/>
  <c r="J6" i="1"/>
  <c r="K6" i="1"/>
  <c r="J12" i="1"/>
  <c r="B13" i="1"/>
  <c r="C14" i="1" s="1"/>
  <c r="C13" i="1"/>
  <c r="F20" i="1"/>
  <c r="F22" i="1" s="1"/>
  <c r="G20" i="1"/>
  <c r="K20" i="1"/>
  <c r="B21" i="1"/>
  <c r="C22" i="1" s="1"/>
  <c r="C21" i="1"/>
  <c r="F27" i="1"/>
  <c r="G27" i="1"/>
  <c r="B34" i="1"/>
  <c r="H32" i="1" s="1"/>
  <c r="C34" i="1"/>
  <c r="F40" i="1"/>
  <c r="G40" i="1"/>
  <c r="F45" i="1"/>
  <c r="G45" i="1"/>
  <c r="F50" i="1"/>
  <c r="G50" i="1" s="1"/>
  <c r="F55" i="1"/>
  <c r="G55" i="1"/>
  <c r="G22" i="1" l="1"/>
  <c r="I32" i="1"/>
  <c r="I34" i="1" s="1"/>
  <c r="C15" i="1"/>
  <c r="F12" i="1" l="1"/>
  <c r="G12" i="1"/>
  <c r="H34" i="1"/>
  <c r="F14" i="1" l="1"/>
  <c r="G14" i="1"/>
</calcChain>
</file>

<file path=xl/sharedStrings.xml><?xml version="1.0" encoding="utf-8"?>
<sst xmlns="http://schemas.openxmlformats.org/spreadsheetml/2006/main" count="166" uniqueCount="113">
  <si>
    <t>Conversione in polare</t>
  </si>
  <si>
    <t>Conversione in cartesiana</t>
  </si>
  <si>
    <t>a</t>
  </si>
  <si>
    <t>jb</t>
  </si>
  <si>
    <t>r</t>
  </si>
  <si>
    <t>theta</t>
  </si>
  <si>
    <t>Parallelo di numeri complessi</t>
  </si>
  <si>
    <t>Generatori a triangolo</t>
  </si>
  <si>
    <t>c</t>
  </si>
  <si>
    <t>jd</t>
  </si>
  <si>
    <t>ris</t>
  </si>
  <si>
    <t>jris</t>
  </si>
  <si>
    <t>V-iniziale</t>
  </si>
  <si>
    <t>V-finale</t>
  </si>
  <si>
    <t>somma</t>
  </si>
  <si>
    <t>molt</t>
  </si>
  <si>
    <t>Serie di numeri complessi</t>
  </si>
  <si>
    <t>Convertitore impedenze a triangolo</t>
  </si>
  <si>
    <t>risultato</t>
  </si>
  <si>
    <t>Divisione numeri complessi in polare</t>
  </si>
  <si>
    <t>r1</t>
  </si>
  <si>
    <t>theta1</t>
  </si>
  <si>
    <t>r2</t>
  </si>
  <si>
    <t>theta2</t>
  </si>
  <si>
    <t>Partitore di corrente in polare</t>
  </si>
  <si>
    <t>i-r</t>
  </si>
  <si>
    <t>i-theta</t>
  </si>
  <si>
    <t>i</t>
  </si>
  <si>
    <t>ji</t>
  </si>
  <si>
    <t>MOLTIPLICAZIONE  POLARE</t>
  </si>
  <si>
    <t>rA</t>
  </si>
  <si>
    <t>thetaA</t>
  </si>
  <si>
    <t>rB</t>
  </si>
  <si>
    <t>thetaB</t>
  </si>
  <si>
    <t>POTENZA ATTIVA</t>
  </si>
  <si>
    <t>rE</t>
  </si>
  <si>
    <t>rI</t>
  </si>
  <si>
    <t>thetaZeq</t>
  </si>
  <si>
    <t>ris (W)</t>
  </si>
  <si>
    <t>KW</t>
  </si>
  <si>
    <t>POTENZA  REATTIVA</t>
  </si>
  <si>
    <t>ris (VAR)</t>
  </si>
  <si>
    <t>KVAR</t>
  </si>
  <si>
    <t>POTENZA APPARENTE</t>
  </si>
  <si>
    <t>ris (VA)</t>
  </si>
  <si>
    <t>KVA</t>
  </si>
  <si>
    <t>Lunghezza</t>
  </si>
  <si>
    <t>μr</t>
  </si>
  <si>
    <t>Sezione</t>
  </si>
  <si>
    <t>Riluttanza</t>
  </si>
  <si>
    <t>Lati</t>
  </si>
  <si>
    <t>Riluttanza traferro</t>
  </si>
  <si>
    <t>Calcolo potenze</t>
  </si>
  <si>
    <t>Numero</t>
  </si>
  <si>
    <t>10^-1</t>
  </si>
  <si>
    <t>10^-2</t>
  </si>
  <si>
    <t>10^-3</t>
  </si>
  <si>
    <t>10^-4</t>
  </si>
  <si>
    <t>10^-5</t>
  </si>
  <si>
    <t>10^-6</t>
  </si>
  <si>
    <t>10^-7</t>
  </si>
  <si>
    <t>10^-8</t>
  </si>
  <si>
    <t>L</t>
  </si>
  <si>
    <t>N</t>
  </si>
  <si>
    <t>Req</t>
  </si>
  <si>
    <t>10^1</t>
  </si>
  <si>
    <t>10^2</t>
  </si>
  <si>
    <t>10^3</t>
  </si>
  <si>
    <t>10^4</t>
  </si>
  <si>
    <t>10^5</t>
  </si>
  <si>
    <t>10^6</t>
  </si>
  <si>
    <t>10^7</t>
  </si>
  <si>
    <t>10^8</t>
  </si>
  <si>
    <t>Riluttanza ferro</t>
  </si>
  <si>
    <t>riluttanza</t>
  </si>
  <si>
    <t>ASP</t>
  </si>
  <si>
    <t>I</t>
  </si>
  <si>
    <t>serie di riluttanze</t>
  </si>
  <si>
    <t>R1</t>
  </si>
  <si>
    <t>R2</t>
  </si>
  <si>
    <t>Energia dell'induttore</t>
  </si>
  <si>
    <t>W (J)</t>
  </si>
  <si>
    <t>L (H)</t>
  </si>
  <si>
    <t>Tensione magnetica (U)</t>
  </si>
  <si>
    <t>Forza magneto motrice (N*I)</t>
  </si>
  <si>
    <t>parallelo di riluttanze</t>
  </si>
  <si>
    <t>R3</t>
  </si>
  <si>
    <t>R4</t>
  </si>
  <si>
    <t>Induzione magnetica (densità di flusso)</t>
  </si>
  <si>
    <t>flusso magnetico</t>
  </si>
  <si>
    <t>B (T)</t>
  </si>
  <si>
    <t>densità di flusso</t>
  </si>
  <si>
    <t>Intensità di campo (H)</t>
  </si>
  <si>
    <t>Asp/m</t>
  </si>
  <si>
    <t>H</t>
  </si>
  <si>
    <t xml:space="preserve">Tensione magnetica (U) </t>
  </si>
  <si>
    <t>formula altrenativa</t>
  </si>
  <si>
    <t>Ni</t>
  </si>
  <si>
    <t>Ii</t>
  </si>
  <si>
    <t xml:space="preserve">Flusso magnetico </t>
  </si>
  <si>
    <t>𝜙</t>
  </si>
  <si>
    <t xml:space="preserve">𝜙 </t>
  </si>
  <si>
    <t xml:space="preserve">Auto Induttanza </t>
  </si>
  <si>
    <t xml:space="preserve">Mutua Induttanza </t>
  </si>
  <si>
    <t xml:space="preserve">il flusso prodotto dall'avvolgimento 1 che scorre nel ramo dell'avvolgimento 2 </t>
  </si>
  <si>
    <t>Partitore di flusso</t>
  </si>
  <si>
    <t>R a</t>
  </si>
  <si>
    <t>Rb</t>
  </si>
  <si>
    <t>𝜙 a</t>
  </si>
  <si>
    <t>N2</t>
  </si>
  <si>
    <t>I1</t>
  </si>
  <si>
    <t>M12 (H)</t>
  </si>
  <si>
    <t>legge di hopkinson e ALTRI CALCOLI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</si>
</sst>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7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5C6AB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3" fillId="0" borderId="0" xfId="0" applyFont="1"/>
    <xf numFmtId="0" fontId="1" fillId="2" borderId="1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43" fontId="0" fillId="0" borderId="0" xfId="1" applyFont="1"/>
    <xf numFmtId="0" fontId="1" fillId="0" borderId="6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" fillId="0" borderId="0" xfId="0" applyFont="1"/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1" fillId="0" borderId="9" xfId="0" applyFont="1" applyBorder="1"/>
    <xf numFmtId="0" fontId="0" fillId="0" borderId="0" xfId="0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0" borderId="26" xfId="0" applyBorder="1"/>
    <xf numFmtId="0" fontId="0" fillId="0" borderId="14" xfId="0" applyBorder="1"/>
    <xf numFmtId="0" fontId="0" fillId="0" borderId="21" xfId="0" applyBorder="1"/>
    <xf numFmtId="0" fontId="0" fillId="8" borderId="0" xfId="0" applyFill="1" applyBorder="1"/>
    <xf numFmtId="0" fontId="6" fillId="8" borderId="22" xfId="0" applyFont="1" applyFill="1" applyBorder="1" applyAlignment="1">
      <alignment horizontal="center" wrapText="1"/>
    </xf>
    <xf numFmtId="0" fontId="6" fillId="8" borderId="0" xfId="0" applyFont="1" applyFill="1" applyBorder="1" applyAlignment="1">
      <alignment horizontal="center" wrapText="1"/>
    </xf>
    <xf numFmtId="0" fontId="6" fillId="8" borderId="24" xfId="0" applyFont="1" applyFill="1" applyBorder="1" applyAlignment="1">
      <alignment horizontal="center" wrapText="1"/>
    </xf>
    <xf numFmtId="0" fontId="6" fillId="8" borderId="26" xfId="0" applyFont="1" applyFill="1" applyBorder="1" applyAlignment="1">
      <alignment horizontal="center" wrapText="1"/>
    </xf>
    <xf numFmtId="0" fontId="0" fillId="0" borderId="28" xfId="0" applyBorder="1"/>
    <xf numFmtId="0" fontId="1" fillId="0" borderId="27" xfId="0" applyFont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2" fillId="7" borderId="20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367631</xdr:colOff>
      <xdr:row>27</xdr:row>
      <xdr:rowOff>172304</xdr:rowOff>
    </xdr:from>
    <xdr:to>
      <xdr:col>8</xdr:col>
      <xdr:colOff>540306</xdr:colOff>
      <xdr:row>30</xdr:row>
      <xdr:rowOff>6015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C4F6EBA-12EF-8587-D912-EDFE82235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6929" y="5809322"/>
          <a:ext cx="1687763" cy="457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AE52-C1C2-C243-904B-5F1FED85F26E}">
  <dimension ref="A1:K55"/>
  <sheetViews>
    <sheetView topLeftCell="A25" zoomScale="114" workbookViewId="0">
      <selection activeCell="H36" sqref="H36"/>
    </sheetView>
  </sheetViews>
  <sheetFormatPr baseColWidth="10" defaultRowHeight="16" x14ac:dyDescent="0.2"/>
  <cols>
    <col min="5" max="5" width="9.33203125" customWidth="1"/>
    <col min="8" max="8" width="19.83203125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47"/>
      <c r="I1" s="47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47"/>
      <c r="I2" s="47"/>
      <c r="J2" s="1"/>
      <c r="K2" s="1"/>
    </row>
    <row r="3" spans="1:11" ht="17" thickBot="1" x14ac:dyDescent="0.25">
      <c r="A3" s="1"/>
      <c r="B3" s="1"/>
      <c r="C3" s="1"/>
      <c r="D3" s="1"/>
      <c r="E3" s="1"/>
      <c r="F3" s="1"/>
      <c r="G3" s="1"/>
      <c r="H3" s="47"/>
      <c r="I3" s="47"/>
      <c r="J3" s="1"/>
      <c r="K3" s="1"/>
    </row>
    <row r="4" spans="1:11" ht="17" thickBot="1" x14ac:dyDescent="0.25">
      <c r="A4" s="1"/>
      <c r="B4" s="44" t="s">
        <v>0</v>
      </c>
      <c r="C4" s="45"/>
      <c r="D4" s="45"/>
      <c r="E4" s="46"/>
      <c r="F4" s="2"/>
      <c r="G4" s="2"/>
      <c r="H4" s="44" t="s">
        <v>1</v>
      </c>
      <c r="I4" s="45"/>
      <c r="J4" s="45"/>
      <c r="K4" s="46"/>
    </row>
    <row r="5" spans="1:11" ht="17" thickBot="1" x14ac:dyDescent="0.25">
      <c r="A5" s="1"/>
      <c r="B5" s="32" t="s">
        <v>2</v>
      </c>
      <c r="C5" s="33" t="s">
        <v>3</v>
      </c>
      <c r="D5" s="7" t="s">
        <v>4</v>
      </c>
      <c r="E5" s="8" t="s">
        <v>5</v>
      </c>
      <c r="F5" s="2"/>
      <c r="G5" s="2"/>
      <c r="H5" s="32" t="s">
        <v>4</v>
      </c>
      <c r="I5" s="33" t="s">
        <v>5</v>
      </c>
      <c r="J5" s="7" t="s">
        <v>2</v>
      </c>
      <c r="K5" s="8" t="s">
        <v>3</v>
      </c>
    </row>
    <row r="6" spans="1:11" ht="17" thickBot="1" x14ac:dyDescent="0.25">
      <c r="A6" s="1"/>
      <c r="B6" s="3">
        <v>1.399</v>
      </c>
      <c r="C6" s="4">
        <v>-0.3</v>
      </c>
      <c r="D6" s="5">
        <f>SQRT(B6^2 + C6^2)</f>
        <v>1.4308043192554318</v>
      </c>
      <c r="E6" s="6">
        <f>DEGREES(ATAN2(B6, C6))</f>
        <v>-12.103147555256294</v>
      </c>
      <c r="F6" s="2"/>
      <c r="G6" s="2"/>
      <c r="H6" s="3">
        <v>5</v>
      </c>
      <c r="I6" s="4">
        <v>1.0900000000000001</v>
      </c>
      <c r="J6" s="5">
        <f>H6 * COS(RADIANS(I6))</f>
        <v>4.9990952373967072</v>
      </c>
      <c r="K6" s="6">
        <f>H6 * SIN(RADIANS(I6))</f>
        <v>9.5114706736424443E-2</v>
      </c>
    </row>
    <row r="7" spans="1:1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7" thickBo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7" thickBot="1" x14ac:dyDescent="0.25">
      <c r="A10" s="1"/>
      <c r="B10" s="44" t="s">
        <v>6</v>
      </c>
      <c r="C10" s="45"/>
      <c r="D10" s="45"/>
      <c r="E10" s="45"/>
      <c r="F10" s="45"/>
      <c r="G10" s="46"/>
      <c r="H10" s="2"/>
      <c r="I10" s="44" t="s">
        <v>7</v>
      </c>
      <c r="J10" s="46"/>
      <c r="K10" s="2"/>
    </row>
    <row r="11" spans="1:11" ht="17" thickBot="1" x14ac:dyDescent="0.25">
      <c r="A11" s="1"/>
      <c r="B11" s="32" t="s">
        <v>2</v>
      </c>
      <c r="C11" s="33" t="s">
        <v>3</v>
      </c>
      <c r="D11" s="32" t="s">
        <v>8</v>
      </c>
      <c r="E11" s="33" t="s">
        <v>9</v>
      </c>
      <c r="F11" s="7" t="s">
        <v>10</v>
      </c>
      <c r="G11" s="8" t="s">
        <v>11</v>
      </c>
      <c r="H11" s="2"/>
      <c r="I11" s="32" t="s">
        <v>12</v>
      </c>
      <c r="J11" s="8" t="s">
        <v>13</v>
      </c>
      <c r="K11" s="2"/>
    </row>
    <row r="12" spans="1:11" ht="17" thickBot="1" x14ac:dyDescent="0.25">
      <c r="A12" s="1"/>
      <c r="B12" s="37">
        <v>4</v>
      </c>
      <c r="C12" s="2">
        <v>4</v>
      </c>
      <c r="D12" s="9">
        <v>2</v>
      </c>
      <c r="E12" s="10">
        <v>1</v>
      </c>
      <c r="F12" s="24">
        <f>IMREAL(IMDIV(C15,C14))</f>
        <v>1.3770491803278699</v>
      </c>
      <c r="G12" s="25">
        <f>IMAGINARY(IMDIV(C15,C14))</f>
        <v>0.85245901639344202</v>
      </c>
      <c r="H12" s="2"/>
      <c r="I12" s="3">
        <v>400</v>
      </c>
      <c r="J12" s="29">
        <f>I12/SQRT(3)</f>
        <v>230.94010767585033</v>
      </c>
      <c r="K12" s="2"/>
    </row>
    <row r="13" spans="1:11" ht="17" thickBot="1" x14ac:dyDescent="0.25">
      <c r="A13" s="1"/>
      <c r="B13" s="38" t="str">
        <f>COMPLEX(B12,C12,"j")</f>
        <v>4+4j</v>
      </c>
      <c r="C13" s="39" t="str">
        <f>COMPLEX(D12,E12,"j")</f>
        <v>2+j</v>
      </c>
      <c r="D13" s="1"/>
      <c r="E13" s="2"/>
      <c r="F13" s="26" t="s">
        <v>4</v>
      </c>
      <c r="G13" s="27" t="s">
        <v>5</v>
      </c>
      <c r="H13" s="2"/>
      <c r="I13" s="2"/>
      <c r="J13" s="2"/>
      <c r="K13" s="2"/>
    </row>
    <row r="14" spans="1:11" ht="17" thickBot="1" x14ac:dyDescent="0.25">
      <c r="A14" s="1"/>
      <c r="B14" s="40" t="s">
        <v>14</v>
      </c>
      <c r="C14" s="41" t="str">
        <f>IMSUM(B13,C13)</f>
        <v>6+5j</v>
      </c>
      <c r="D14" s="2"/>
      <c r="E14" s="2"/>
      <c r="F14" s="28">
        <f>SQRT(F12^2 + G12^2)</f>
        <v>1.6195526603578325</v>
      </c>
      <c r="G14" s="29">
        <f>DEGREES(ATAN2(F12, G12))</f>
        <v>31.759480084812754</v>
      </c>
      <c r="H14" s="2"/>
      <c r="I14" s="2"/>
      <c r="J14" s="2"/>
      <c r="K14" s="2"/>
    </row>
    <row r="15" spans="1:11" ht="17" thickBot="1" x14ac:dyDescent="0.25">
      <c r="A15" s="1"/>
      <c r="B15" s="42" t="s">
        <v>15</v>
      </c>
      <c r="C15" s="43" t="str">
        <f>IMPRODUCT(B13,C13)</f>
        <v>4+12j</v>
      </c>
      <c r="D15" s="2"/>
      <c r="E15" s="2"/>
      <c r="F15" s="1"/>
      <c r="G15" s="1"/>
      <c r="H15" s="2"/>
      <c r="I15" s="2"/>
      <c r="J15" s="2"/>
      <c r="K15" s="2"/>
    </row>
    <row r="16" spans="1:11" x14ac:dyDescent="0.2">
      <c r="A16" s="1"/>
      <c r="B16" s="1"/>
      <c r="C16" s="1"/>
      <c r="D16" s="1"/>
      <c r="E16" s="2"/>
      <c r="F16" s="2"/>
      <c r="G16" s="2"/>
      <c r="H16" s="2"/>
      <c r="I16" s="2"/>
      <c r="J16" s="2"/>
      <c r="K16" s="2"/>
    </row>
    <row r="17" spans="1:11" ht="17" thickBot="1" x14ac:dyDescent="0.25">
      <c r="A17" s="1"/>
      <c r="B17" s="1"/>
      <c r="C17" s="1"/>
      <c r="D17" s="1"/>
      <c r="E17" s="1"/>
      <c r="F17" s="1"/>
      <c r="G17" s="1"/>
      <c r="H17" s="47"/>
      <c r="I17" s="47"/>
      <c r="J17" s="1"/>
      <c r="K17" s="1"/>
    </row>
    <row r="18" spans="1:11" ht="17" thickBot="1" x14ac:dyDescent="0.25">
      <c r="A18" s="1"/>
      <c r="B18" s="44" t="s">
        <v>16</v>
      </c>
      <c r="C18" s="45"/>
      <c r="D18" s="45"/>
      <c r="E18" s="45"/>
      <c r="F18" s="45"/>
      <c r="G18" s="46"/>
      <c r="H18" s="1"/>
      <c r="I18" s="48" t="s">
        <v>17</v>
      </c>
      <c r="J18" s="49"/>
      <c r="K18" s="50"/>
    </row>
    <row r="19" spans="1:11" ht="17" thickBot="1" x14ac:dyDescent="0.25">
      <c r="A19" s="1"/>
      <c r="B19" s="32" t="s">
        <v>2</v>
      </c>
      <c r="C19" s="33" t="s">
        <v>3</v>
      </c>
      <c r="D19" s="32" t="s">
        <v>8</v>
      </c>
      <c r="E19" s="33" t="s">
        <v>9</v>
      </c>
      <c r="F19" s="7" t="s">
        <v>10</v>
      </c>
      <c r="G19" s="8" t="s">
        <v>11</v>
      </c>
      <c r="H19" s="1"/>
      <c r="I19" s="32" t="s">
        <v>2</v>
      </c>
      <c r="J19" s="33" t="s">
        <v>3</v>
      </c>
      <c r="K19" s="21" t="s">
        <v>18</v>
      </c>
    </row>
    <row r="20" spans="1:11" ht="17" thickBot="1" x14ac:dyDescent="0.25">
      <c r="A20" s="1"/>
      <c r="B20" s="3">
        <v>1.38</v>
      </c>
      <c r="C20" s="4">
        <v>0.85</v>
      </c>
      <c r="D20" s="9">
        <v>2</v>
      </c>
      <c r="E20" s="10">
        <v>8</v>
      </c>
      <c r="F20" s="24">
        <f>B20+D20</f>
        <v>3.38</v>
      </c>
      <c r="G20" s="25">
        <f>C20+E20</f>
        <v>8.85</v>
      </c>
      <c r="H20" s="1"/>
      <c r="I20" s="3">
        <v>147</v>
      </c>
      <c r="J20" s="4">
        <v>147</v>
      </c>
      <c r="K20" s="13" t="str">
        <f>COMPLEX((I20/3), (J20/3), "j")</f>
        <v>49+49j</v>
      </c>
    </row>
    <row r="21" spans="1:11" ht="17" thickBot="1" x14ac:dyDescent="0.25">
      <c r="A21" s="1"/>
      <c r="B21" s="11" t="str">
        <f>COMPLEX(B20,C20,"j")</f>
        <v>1,38+0,85j</v>
      </c>
      <c r="C21" s="11" t="str">
        <f>COMPLEX(D20,E20,"j")</f>
        <v>2+8j</v>
      </c>
      <c r="D21" s="1"/>
      <c r="E21" s="2"/>
      <c r="F21" s="26" t="s">
        <v>4</v>
      </c>
      <c r="G21" s="27" t="s">
        <v>5</v>
      </c>
      <c r="H21" s="51"/>
      <c r="I21" s="47"/>
      <c r="J21" s="1"/>
      <c r="K21" s="1"/>
    </row>
    <row r="22" spans="1:11" ht="17" thickBot="1" x14ac:dyDescent="0.25">
      <c r="A22" s="1"/>
      <c r="B22" s="12" t="s">
        <v>14</v>
      </c>
      <c r="C22" s="12" t="str">
        <f>IMSUM(B21,C21)</f>
        <v>3,38+8,85j</v>
      </c>
      <c r="D22" s="2"/>
      <c r="E22" s="2"/>
      <c r="F22" s="28">
        <f>SQRT(F20^2 + G20^2)</f>
        <v>9.4734840475930486</v>
      </c>
      <c r="G22" s="29">
        <f>DEGREES(ATAN2(F20, G20))</f>
        <v>69.097097985341705</v>
      </c>
      <c r="H22" s="51"/>
      <c r="I22" s="47"/>
      <c r="J22" s="1"/>
      <c r="K22" s="1"/>
    </row>
    <row r="23" spans="1:11" x14ac:dyDescent="0.2">
      <c r="A23" s="1"/>
      <c r="B23" s="1"/>
      <c r="C23" s="1"/>
      <c r="D23" s="2"/>
      <c r="E23" s="2"/>
      <c r="F23" s="1"/>
      <c r="G23" s="1"/>
      <c r="H23" s="47"/>
      <c r="I23" s="47"/>
      <c r="J23" s="1"/>
      <c r="K23" s="1"/>
    </row>
    <row r="24" spans="1:11" ht="17" thickBot="1" x14ac:dyDescent="0.25"/>
    <row r="25" spans="1:11" ht="17" thickBot="1" x14ac:dyDescent="0.25">
      <c r="B25" s="44" t="s">
        <v>19</v>
      </c>
      <c r="C25" s="45"/>
      <c r="D25" s="45"/>
      <c r="E25" s="45"/>
      <c r="F25" s="45"/>
      <c r="G25" s="46"/>
    </row>
    <row r="26" spans="1:11" ht="17" thickBot="1" x14ac:dyDescent="0.25">
      <c r="B26" s="32" t="s">
        <v>20</v>
      </c>
      <c r="C26" s="33" t="s">
        <v>21</v>
      </c>
      <c r="D26" s="32" t="s">
        <v>22</v>
      </c>
      <c r="E26" s="33" t="s">
        <v>23</v>
      </c>
      <c r="F26" s="16" t="s">
        <v>4</v>
      </c>
      <c r="G26" s="17" t="s">
        <v>5</v>
      </c>
    </row>
    <row r="27" spans="1:11" ht="17" thickBot="1" x14ac:dyDescent="0.25">
      <c r="B27" s="3">
        <v>170</v>
      </c>
      <c r="C27" s="4">
        <v>0</v>
      </c>
      <c r="D27" s="9">
        <v>9.4700000000000006</v>
      </c>
      <c r="E27" s="10">
        <v>69.099999999999994</v>
      </c>
      <c r="F27" s="14">
        <f>B27/D27</f>
        <v>17.951425554382258</v>
      </c>
      <c r="G27" s="15">
        <f>C27-E27</f>
        <v>-69.099999999999994</v>
      </c>
    </row>
    <row r="29" spans="1:11" ht="17" thickBot="1" x14ac:dyDescent="0.25"/>
    <row r="30" spans="1:11" ht="17" thickBot="1" x14ac:dyDescent="0.25">
      <c r="B30" s="44" t="s">
        <v>24</v>
      </c>
      <c r="C30" s="45"/>
      <c r="D30" s="45"/>
      <c r="E30" s="45"/>
      <c r="F30" s="45"/>
      <c r="G30" s="45"/>
      <c r="H30" s="44"/>
      <c r="I30" s="46"/>
      <c r="J30" s="18"/>
    </row>
    <row r="31" spans="1:11" ht="17" thickBot="1" x14ac:dyDescent="0.25">
      <c r="B31" s="32" t="s">
        <v>25</v>
      </c>
      <c r="C31" s="33" t="s">
        <v>26</v>
      </c>
      <c r="D31" s="32" t="s">
        <v>2</v>
      </c>
      <c r="E31" s="33" t="s">
        <v>3</v>
      </c>
      <c r="F31" s="34" t="s">
        <v>8</v>
      </c>
      <c r="G31" s="35" t="s">
        <v>9</v>
      </c>
      <c r="H31" s="19" t="s">
        <v>27</v>
      </c>
      <c r="I31" s="20" t="s">
        <v>28</v>
      </c>
    </row>
    <row r="32" spans="1:11" ht="17" thickBot="1" x14ac:dyDescent="0.25">
      <c r="B32" s="3">
        <v>19</v>
      </c>
      <c r="C32" s="4">
        <v>-69.099999999999994</v>
      </c>
      <c r="D32" s="9">
        <v>2</v>
      </c>
      <c r="E32" s="10">
        <v>1</v>
      </c>
      <c r="F32" s="3">
        <v>4</v>
      </c>
      <c r="G32" s="4">
        <v>4</v>
      </c>
      <c r="H32" s="22">
        <f>IMREAL(IMPRODUCT(COMPLEX(B34,C34),IMDIV(COMPLEX(D32,E32),IMSUM(COMPLEX(D32,E32),COMPLEX(F32,G32)))))</f>
        <v>0.72503006117771396</v>
      </c>
      <c r="I32" s="23">
        <f>IMAGINARY(IMPRODUCT(COMPLEX(B34,C34),IMDIV(COMPLEX(D32,E32),IMSUM(COMPLEX(D32,E32),COMPLEX(F32,G32)))))</f>
        <v>-5.3911497238358201</v>
      </c>
    </row>
    <row r="33" spans="2:9" ht="17" thickBot="1" x14ac:dyDescent="0.25">
      <c r="B33" s="19" t="s">
        <v>27</v>
      </c>
      <c r="C33" s="20" t="s">
        <v>28</v>
      </c>
      <c r="H33" s="19" t="s">
        <v>4</v>
      </c>
      <c r="I33" s="20" t="s">
        <v>5</v>
      </c>
    </row>
    <row r="34" spans="2:9" ht="17" thickBot="1" x14ac:dyDescent="0.25">
      <c r="B34" s="22">
        <f>B32 * COS(RADIANS(C32))</f>
        <v>6.7780219870728828</v>
      </c>
      <c r="C34" s="23">
        <f>B32 * SIN(RADIANS(C32))</f>
        <v>-17.749885012099561</v>
      </c>
      <c r="H34" s="22">
        <f>SQRT(H32^2 + I32^2)</f>
        <v>5.439684175981764</v>
      </c>
      <c r="I34" s="23">
        <f>DEGREES(ATAN2(H32, I32))</f>
        <v>-82.340519915187258</v>
      </c>
    </row>
    <row r="37" spans="2:9" ht="17" thickBot="1" x14ac:dyDescent="0.25"/>
    <row r="38" spans="2:9" ht="17" thickBot="1" x14ac:dyDescent="0.25">
      <c r="B38" s="44" t="s">
        <v>29</v>
      </c>
      <c r="C38" s="45"/>
      <c r="D38" s="45"/>
      <c r="E38" s="45"/>
      <c r="F38" s="45"/>
      <c r="G38" s="46"/>
    </row>
    <row r="39" spans="2:9" ht="17" thickBot="1" x14ac:dyDescent="0.25">
      <c r="B39" s="32" t="s">
        <v>30</v>
      </c>
      <c r="C39" s="33" t="s">
        <v>31</v>
      </c>
      <c r="D39" s="32" t="s">
        <v>32</v>
      </c>
      <c r="E39" s="33" t="s">
        <v>33</v>
      </c>
      <c r="F39" s="16" t="s">
        <v>10</v>
      </c>
      <c r="G39" s="17" t="s">
        <v>5</v>
      </c>
    </row>
    <row r="40" spans="2:9" ht="17" thickBot="1" x14ac:dyDescent="0.25">
      <c r="B40" s="3">
        <v>8.25</v>
      </c>
      <c r="C40" s="4">
        <v>76</v>
      </c>
      <c r="D40" s="9">
        <v>17.899999999999999</v>
      </c>
      <c r="E40" s="10">
        <v>-69.099999999999994</v>
      </c>
      <c r="F40" s="14">
        <f>B40*D40</f>
        <v>147.67499999999998</v>
      </c>
      <c r="G40" s="15">
        <f>C40+E40</f>
        <v>6.9000000000000057</v>
      </c>
    </row>
    <row r="42" spans="2:9" ht="17" thickBot="1" x14ac:dyDescent="0.25"/>
    <row r="43" spans="2:9" ht="17" thickBot="1" x14ac:dyDescent="0.25">
      <c r="B43" s="44" t="s">
        <v>34</v>
      </c>
      <c r="C43" s="45"/>
      <c r="D43" s="45"/>
      <c r="E43" s="45"/>
      <c r="F43" s="45"/>
      <c r="G43" s="46"/>
    </row>
    <row r="44" spans="2:9" ht="17" thickBot="1" x14ac:dyDescent="0.25">
      <c r="B44" s="32" t="s">
        <v>35</v>
      </c>
      <c r="C44" s="33" t="s">
        <v>36</v>
      </c>
      <c r="D44" s="32" t="s">
        <v>37</v>
      </c>
      <c r="E44" s="33"/>
      <c r="F44" s="16" t="s">
        <v>38</v>
      </c>
      <c r="G44" s="17" t="s">
        <v>39</v>
      </c>
    </row>
    <row r="45" spans="2:9" ht="17" thickBot="1" x14ac:dyDescent="0.25">
      <c r="B45" s="3">
        <v>170</v>
      </c>
      <c r="C45" s="4">
        <v>17.899999999999999</v>
      </c>
      <c r="D45" s="9">
        <v>69.099999999999994</v>
      </c>
      <c r="E45" s="10"/>
      <c r="F45" s="14">
        <f xml:space="preserve"> 3 * B45*C45 * COS(RADIANS(D45))</f>
        <v>3256.6611957888604</v>
      </c>
      <c r="G45" s="15">
        <f>F45/1000</f>
        <v>3.2566611957888605</v>
      </c>
    </row>
    <row r="46" spans="2:9" x14ac:dyDescent="0.2">
      <c r="B46" s="30"/>
      <c r="G46" s="31"/>
    </row>
    <row r="47" spans="2:9" ht="17" thickBot="1" x14ac:dyDescent="0.25">
      <c r="B47" s="30"/>
      <c r="G47" s="31"/>
    </row>
    <row r="48" spans="2:9" ht="17" thickBot="1" x14ac:dyDescent="0.25">
      <c r="B48" s="44" t="s">
        <v>40</v>
      </c>
      <c r="C48" s="45"/>
      <c r="D48" s="45"/>
      <c r="E48" s="45"/>
      <c r="F48" s="45"/>
      <c r="G48" s="46"/>
    </row>
    <row r="49" spans="2:7" ht="17" thickBot="1" x14ac:dyDescent="0.25">
      <c r="B49" s="32" t="s">
        <v>35</v>
      </c>
      <c r="C49" s="33" t="s">
        <v>36</v>
      </c>
      <c r="D49" s="32" t="s">
        <v>37</v>
      </c>
      <c r="E49" s="33"/>
      <c r="F49" s="16" t="s">
        <v>41</v>
      </c>
      <c r="G49" s="17" t="s">
        <v>42</v>
      </c>
    </row>
    <row r="50" spans="2:7" ht="17" thickBot="1" x14ac:dyDescent="0.25">
      <c r="B50" s="3">
        <v>170</v>
      </c>
      <c r="C50" s="4">
        <v>17.899999999999999</v>
      </c>
      <c r="D50" s="9">
        <v>69.099999999999994</v>
      </c>
      <c r="E50" s="10"/>
      <c r="F50" s="14">
        <f xml:space="preserve"> 3 * B50*C50 * SIN(RADIANS(D50))</f>
        <v>8528.3526460766789</v>
      </c>
      <c r="G50" s="15">
        <f>F50/1000</f>
        <v>8.5283526460766783</v>
      </c>
    </row>
    <row r="51" spans="2:7" x14ac:dyDescent="0.2">
      <c r="B51" s="30"/>
      <c r="G51" s="31"/>
    </row>
    <row r="52" spans="2:7" ht="17" thickBot="1" x14ac:dyDescent="0.25">
      <c r="B52" s="30"/>
      <c r="G52" s="31"/>
    </row>
    <row r="53" spans="2:7" ht="17" thickBot="1" x14ac:dyDescent="0.25">
      <c r="B53" s="44" t="s">
        <v>43</v>
      </c>
      <c r="C53" s="45"/>
      <c r="D53" s="45"/>
      <c r="E53" s="45"/>
      <c r="F53" s="45"/>
      <c r="G53" s="46"/>
    </row>
    <row r="54" spans="2:7" ht="17" thickBot="1" x14ac:dyDescent="0.25">
      <c r="B54" s="32" t="s">
        <v>35</v>
      </c>
      <c r="C54" s="33" t="s">
        <v>36</v>
      </c>
      <c r="D54" s="32"/>
      <c r="E54" s="33"/>
      <c r="F54" s="16" t="s">
        <v>44</v>
      </c>
      <c r="G54" s="17" t="s">
        <v>45</v>
      </c>
    </row>
    <row r="55" spans="2:7" ht="17" thickBot="1" x14ac:dyDescent="0.25">
      <c r="B55" s="3">
        <v>170</v>
      </c>
      <c r="C55" s="4">
        <v>17.899999999999999</v>
      </c>
      <c r="D55" s="9"/>
      <c r="E55" s="10"/>
      <c r="F55" s="14">
        <f xml:space="preserve"> 3 * B55*C55</f>
        <v>9129</v>
      </c>
      <c r="G55" s="15">
        <f>F55/1000</f>
        <v>9.1289999999999996</v>
      </c>
    </row>
  </sheetData>
  <mergeCells count="20">
    <mergeCell ref="H23:I23"/>
    <mergeCell ref="H1:I1"/>
    <mergeCell ref="H2:I2"/>
    <mergeCell ref="H3:I3"/>
    <mergeCell ref="B4:E4"/>
    <mergeCell ref="H4:K4"/>
    <mergeCell ref="B10:G10"/>
    <mergeCell ref="I10:J10"/>
    <mergeCell ref="H17:I17"/>
    <mergeCell ref="B18:G18"/>
    <mergeCell ref="I18:K18"/>
    <mergeCell ref="H21:I21"/>
    <mergeCell ref="H22:I22"/>
    <mergeCell ref="B48:G48"/>
    <mergeCell ref="B53:G53"/>
    <mergeCell ref="B25:G25"/>
    <mergeCell ref="B30:G30"/>
    <mergeCell ref="H30:I30"/>
    <mergeCell ref="B38:G38"/>
    <mergeCell ref="B43:G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3D81-119E-CF45-AE42-8C6AAC4C33D6}">
  <dimension ref="A1:R53"/>
  <sheetViews>
    <sheetView tabSelected="1" zoomScale="125" zoomScaleNormal="143" workbookViewId="0">
      <selection activeCell="G39" sqref="G39"/>
    </sheetView>
  </sheetViews>
  <sheetFormatPr baseColWidth="10" defaultRowHeight="16" x14ac:dyDescent="0.2"/>
  <cols>
    <col min="2" max="2" width="16.1640625" bestFit="1" customWidth="1"/>
    <col min="3" max="3" width="15.5" customWidth="1"/>
    <col min="4" max="4" width="14.1640625" customWidth="1"/>
    <col min="5" max="5" width="12.1640625" bestFit="1" customWidth="1"/>
    <col min="6" max="6" width="16.6640625" bestFit="1" customWidth="1"/>
    <col min="8" max="8" width="12.1640625" bestFit="1" customWidth="1"/>
    <col min="9" max="9" width="17.83203125" customWidth="1"/>
  </cols>
  <sheetData>
    <row r="1" spans="1:18" x14ac:dyDescent="0.2">
      <c r="A1" s="36"/>
    </row>
    <row r="4" spans="1:18" ht="17" thickBot="1" x14ac:dyDescent="0.25">
      <c r="O4" s="52" t="s">
        <v>52</v>
      </c>
      <c r="P4" s="52"/>
    </row>
    <row r="5" spans="1:18" ht="17" thickBot="1" x14ac:dyDescent="0.25">
      <c r="B5" s="44" t="s">
        <v>73</v>
      </c>
      <c r="C5" s="45"/>
      <c r="D5" s="45"/>
      <c r="E5" s="45"/>
      <c r="F5" s="46"/>
      <c r="H5" s="44" t="s">
        <v>85</v>
      </c>
      <c r="I5" s="45"/>
      <c r="J5" s="46"/>
      <c r="K5" s="70"/>
      <c r="L5" s="64"/>
      <c r="O5" t="s">
        <v>53</v>
      </c>
      <c r="P5">
        <v>1</v>
      </c>
    </row>
    <row r="6" spans="1:18" ht="17" thickBot="1" x14ac:dyDescent="0.25">
      <c r="B6" s="34" t="s">
        <v>46</v>
      </c>
      <c r="C6" s="33" t="s">
        <v>50</v>
      </c>
      <c r="D6" s="32" t="s">
        <v>47</v>
      </c>
      <c r="E6" s="33" t="s">
        <v>48</v>
      </c>
      <c r="F6" s="53" t="s">
        <v>49</v>
      </c>
      <c r="H6" s="34" t="s">
        <v>78</v>
      </c>
      <c r="I6" s="33" t="s">
        <v>79</v>
      </c>
      <c r="J6" s="7" t="s">
        <v>49</v>
      </c>
      <c r="K6" s="57"/>
      <c r="L6" s="58"/>
      <c r="O6" t="s">
        <v>54</v>
      </c>
      <c r="P6">
        <f>$P$5*POWER(10,-1)</f>
        <v>0.1</v>
      </c>
      <c r="Q6" t="s">
        <v>65</v>
      </c>
      <c r="R6">
        <f>$P$5*POWER(10,1)</f>
        <v>10</v>
      </c>
    </row>
    <row r="7" spans="1:18" ht="17" thickBot="1" x14ac:dyDescent="0.25">
      <c r="B7" s="54">
        <v>1.2</v>
      </c>
      <c r="C7" s="4">
        <v>1</v>
      </c>
      <c r="D7" s="3">
        <v>1000</v>
      </c>
      <c r="E7" s="4">
        <v>0.4</v>
      </c>
      <c r="F7" s="55">
        <f>(B7*C7/(D7* E7 *4*PI()*POWER(10,-7)))</f>
        <v>2387.3241463784302</v>
      </c>
      <c r="H7" s="54">
        <v>238.71</v>
      </c>
      <c r="I7" s="3">
        <v>16058.7</v>
      </c>
      <c r="J7" s="5">
        <f xml:space="preserve"> H7*I7 / (H7+I7)</f>
        <v>235.21358774185592</v>
      </c>
      <c r="K7" s="57"/>
      <c r="L7" s="58"/>
      <c r="O7" t="s">
        <v>55</v>
      </c>
      <c r="P7">
        <f>$P$5*POWER(10,-2)</f>
        <v>0.01</v>
      </c>
      <c r="Q7" t="s">
        <v>66</v>
      </c>
      <c r="R7">
        <f>$P$5*POWER(10,2)</f>
        <v>100</v>
      </c>
    </row>
    <row r="8" spans="1:18" x14ac:dyDescent="0.2">
      <c r="B8" s="56"/>
      <c r="C8" s="57"/>
      <c r="D8" s="57"/>
      <c r="E8" s="57"/>
      <c r="F8" s="58"/>
      <c r="H8" s="56"/>
      <c r="I8" s="57"/>
      <c r="J8" s="57"/>
      <c r="K8" s="57"/>
      <c r="L8" s="58"/>
      <c r="O8" t="s">
        <v>56</v>
      </c>
      <c r="P8">
        <f>P6*POWER(10,-2)</f>
        <v>1E-3</v>
      </c>
      <c r="Q8" t="s">
        <v>67</v>
      </c>
      <c r="R8">
        <f>$P$5*POWER(10,3)</f>
        <v>1000</v>
      </c>
    </row>
    <row r="9" spans="1:18" ht="17" thickBot="1" x14ac:dyDescent="0.25">
      <c r="B9" s="56"/>
      <c r="C9" s="57"/>
      <c r="D9" s="57"/>
      <c r="E9" s="57"/>
      <c r="F9" s="58"/>
      <c r="H9" s="56"/>
      <c r="I9" s="57"/>
      <c r="J9" s="57"/>
      <c r="K9" s="57"/>
      <c r="L9" s="58"/>
      <c r="O9" t="s">
        <v>57</v>
      </c>
      <c r="P9">
        <f>P7*POWER(10,-2)</f>
        <v>1E-4</v>
      </c>
      <c r="Q9" t="s">
        <v>68</v>
      </c>
    </row>
    <row r="10" spans="1:18" ht="17" thickBot="1" x14ac:dyDescent="0.25">
      <c r="B10" s="44" t="s">
        <v>51</v>
      </c>
      <c r="C10" s="45"/>
      <c r="D10" s="46"/>
      <c r="E10" s="57"/>
      <c r="F10" s="58"/>
      <c r="H10" s="44" t="s">
        <v>77</v>
      </c>
      <c r="I10" s="45"/>
      <c r="J10" s="45"/>
      <c r="K10" s="45"/>
      <c r="L10" s="46"/>
      <c r="O10" t="s">
        <v>58</v>
      </c>
      <c r="P10">
        <f t="shared" ref="P10:P13" si="0">P8*POWER(10,-2)</f>
        <v>1.0000000000000001E-5</v>
      </c>
      <c r="Q10" t="s">
        <v>69</v>
      </c>
    </row>
    <row r="11" spans="1:18" ht="17" thickBot="1" x14ac:dyDescent="0.25">
      <c r="B11" s="34" t="s">
        <v>46</v>
      </c>
      <c r="C11" s="33" t="s">
        <v>48</v>
      </c>
      <c r="D11" s="7" t="s">
        <v>49</v>
      </c>
      <c r="E11" s="57"/>
      <c r="F11" s="58"/>
      <c r="H11" s="34" t="s">
        <v>78</v>
      </c>
      <c r="I11" s="33" t="s">
        <v>79</v>
      </c>
      <c r="J11" s="32" t="s">
        <v>86</v>
      </c>
      <c r="K11" s="33" t="s">
        <v>87</v>
      </c>
      <c r="L11" s="53" t="s">
        <v>49</v>
      </c>
      <c r="O11" t="s">
        <v>59</v>
      </c>
      <c r="P11">
        <f t="shared" si="0"/>
        <v>1.0000000000000002E-6</v>
      </c>
      <c r="Q11" t="s">
        <v>70</v>
      </c>
    </row>
    <row r="12" spans="1:18" ht="17" thickBot="1" x14ac:dyDescent="0.25">
      <c r="B12" s="59">
        <v>1E-3</v>
      </c>
      <c r="C12" s="60">
        <v>0.4</v>
      </c>
      <c r="D12" s="61">
        <f>(B12/(C12*4*PI()*POWER(10,-7)))</f>
        <v>1989.4367886486918</v>
      </c>
      <c r="E12" s="62"/>
      <c r="F12" s="63"/>
      <c r="H12" s="59">
        <f xml:space="preserve"> 2 *7957.74</f>
        <v>15915.48</v>
      </c>
      <c r="I12" s="71">
        <f xml:space="preserve"> 2387.32 * 2</f>
        <v>4774.6400000000003</v>
      </c>
      <c r="J12" s="71">
        <v>1989.43</v>
      </c>
      <c r="K12" s="60">
        <v>0</v>
      </c>
      <c r="L12" s="72">
        <f>H12+I12+J12+K12</f>
        <v>22679.55</v>
      </c>
      <c r="O12" t="s">
        <v>60</v>
      </c>
      <c r="P12">
        <f t="shared" si="0"/>
        <v>1.0000000000000001E-7</v>
      </c>
      <c r="Q12" t="s">
        <v>71</v>
      </c>
    </row>
    <row r="13" spans="1:18" x14ac:dyDescent="0.2">
      <c r="O13" t="s">
        <v>61</v>
      </c>
      <c r="P13">
        <f t="shared" si="0"/>
        <v>1.0000000000000002E-8</v>
      </c>
      <c r="Q13" t="s">
        <v>72</v>
      </c>
    </row>
    <row r="14" spans="1:18" ht="17" thickBot="1" x14ac:dyDescent="0.25"/>
    <row r="15" spans="1:18" ht="17" thickBot="1" x14ac:dyDescent="0.25">
      <c r="B15" s="44" t="s">
        <v>102</v>
      </c>
      <c r="C15" s="45"/>
      <c r="D15" s="46"/>
      <c r="E15" s="64"/>
      <c r="H15" s="74" t="s">
        <v>99</v>
      </c>
      <c r="I15" s="75"/>
      <c r="J15" s="75"/>
      <c r="K15" s="76"/>
    </row>
    <row r="16" spans="1:18" ht="17" thickBot="1" x14ac:dyDescent="0.25">
      <c r="B16" s="34" t="s">
        <v>63</v>
      </c>
      <c r="C16" s="33" t="s">
        <v>64</v>
      </c>
      <c r="D16" s="7" t="s">
        <v>82</v>
      </c>
      <c r="E16" s="58"/>
      <c r="H16" s="32" t="s">
        <v>97</v>
      </c>
      <c r="I16" s="33" t="s">
        <v>98</v>
      </c>
      <c r="J16" s="33" t="s">
        <v>64</v>
      </c>
      <c r="K16" s="53" t="s">
        <v>75</v>
      </c>
    </row>
    <row r="17" spans="2:11" ht="17" thickBot="1" x14ac:dyDescent="0.25">
      <c r="B17" s="54">
        <v>30</v>
      </c>
      <c r="C17" s="4">
        <v>22679.55</v>
      </c>
      <c r="D17" s="5">
        <f>(B17*B17)/C17</f>
        <v>3.9683327050139883E-2</v>
      </c>
      <c r="E17" s="58"/>
      <c r="H17" s="71">
        <v>30</v>
      </c>
      <c r="I17" s="60">
        <v>5</v>
      </c>
      <c r="J17" s="60">
        <v>22679.55</v>
      </c>
      <c r="K17" s="72">
        <f>H17*I17/J17</f>
        <v>6.6138878416899805E-3</v>
      </c>
    </row>
    <row r="18" spans="2:11" ht="17" thickBot="1" x14ac:dyDescent="0.25">
      <c r="B18" s="56"/>
      <c r="C18" s="57"/>
      <c r="D18" s="57"/>
      <c r="E18" s="58"/>
    </row>
    <row r="19" spans="2:11" ht="17" thickBot="1" x14ac:dyDescent="0.25">
      <c r="B19" s="44" t="s">
        <v>103</v>
      </c>
      <c r="C19" s="45"/>
      <c r="D19" s="46"/>
      <c r="E19" s="58"/>
      <c r="H19" s="77" t="s">
        <v>105</v>
      </c>
      <c r="I19" s="78"/>
      <c r="J19" s="78"/>
      <c r="K19" s="79"/>
    </row>
    <row r="20" spans="2:11" ht="17" thickBot="1" x14ac:dyDescent="0.25">
      <c r="B20" s="34" t="s">
        <v>109</v>
      </c>
      <c r="C20" s="33" t="s">
        <v>110</v>
      </c>
      <c r="D20" s="65" t="s">
        <v>100</v>
      </c>
      <c r="E20" s="53" t="s">
        <v>111</v>
      </c>
      <c r="H20" s="34" t="s">
        <v>100</v>
      </c>
      <c r="I20" s="33" t="s">
        <v>106</v>
      </c>
      <c r="J20" s="32" t="s">
        <v>107</v>
      </c>
      <c r="K20" s="7" t="s">
        <v>108</v>
      </c>
    </row>
    <row r="21" spans="2:11" ht="17" thickBot="1" x14ac:dyDescent="0.25">
      <c r="B21" s="54">
        <v>50</v>
      </c>
      <c r="C21" s="4">
        <v>5</v>
      </c>
      <c r="D21" s="57">
        <v>6.6138878416899805E-3</v>
      </c>
      <c r="E21" s="55">
        <f>B21*D21/C21</f>
        <v>6.6138878416899805E-2</v>
      </c>
      <c r="H21" s="59">
        <v>0.24131507060878965</v>
      </c>
      <c r="I21" s="60">
        <v>16138.26</v>
      </c>
      <c r="J21" s="71">
        <v>16058.7</v>
      </c>
      <c r="K21" s="61">
        <f>H21 * J21 /(I21+J21)</f>
        <v>0.12035938561856059</v>
      </c>
    </row>
    <row r="22" spans="2:11" x14ac:dyDescent="0.2">
      <c r="B22" s="56"/>
      <c r="C22" s="57"/>
      <c r="D22" s="57"/>
      <c r="E22" s="58"/>
    </row>
    <row r="23" spans="2:11" x14ac:dyDescent="0.2">
      <c r="B23" s="66" t="s">
        <v>104</v>
      </c>
      <c r="C23" s="67"/>
      <c r="D23" s="67"/>
      <c r="E23" s="58"/>
    </row>
    <row r="24" spans="2:11" ht="17" thickBot="1" x14ac:dyDescent="0.25">
      <c r="B24" s="68"/>
      <c r="C24" s="69"/>
      <c r="D24" s="69"/>
      <c r="E24" s="63"/>
    </row>
    <row r="27" spans="2:11" x14ac:dyDescent="0.2">
      <c r="H27" s="57"/>
    </row>
    <row r="28" spans="2:11" x14ac:dyDescent="0.2">
      <c r="B28" s="73" t="s">
        <v>112</v>
      </c>
      <c r="C28" s="73"/>
      <c r="D28" s="73"/>
      <c r="E28" s="73"/>
      <c r="F28" s="73"/>
      <c r="G28" s="73"/>
      <c r="H28" s="73"/>
      <c r="I28" s="73"/>
      <c r="J28" s="73"/>
    </row>
    <row r="30" spans="2:11" ht="17" thickBot="1" x14ac:dyDescent="0.25">
      <c r="F30" t="s">
        <v>96</v>
      </c>
    </row>
    <row r="31" spans="2:11" ht="17" thickBot="1" x14ac:dyDescent="0.25">
      <c r="B31" s="44" t="s">
        <v>83</v>
      </c>
      <c r="C31" s="45"/>
      <c r="D31" s="46"/>
      <c r="F31" s="44" t="s">
        <v>95</v>
      </c>
      <c r="G31" s="45"/>
      <c r="H31" s="46"/>
    </row>
    <row r="32" spans="2:11" ht="17" thickBot="1" x14ac:dyDescent="0.25">
      <c r="B32" s="32" t="s">
        <v>74</v>
      </c>
      <c r="C32" s="33" t="s">
        <v>101</v>
      </c>
      <c r="D32" s="7" t="s">
        <v>75</v>
      </c>
      <c r="F32" s="32" t="s">
        <v>94</v>
      </c>
      <c r="G32" s="33" t="s">
        <v>62</v>
      </c>
      <c r="H32" s="7" t="s">
        <v>75</v>
      </c>
    </row>
    <row r="33" spans="2:8" ht="17" thickBot="1" x14ac:dyDescent="0.25">
      <c r="B33" s="3">
        <v>1E-3</v>
      </c>
      <c r="C33" s="4">
        <v>1.1999999999999999E-3</v>
      </c>
      <c r="D33" s="5">
        <f>B33*C33</f>
        <v>1.1999999999999999E-6</v>
      </c>
      <c r="F33" s="3">
        <v>1E-3</v>
      </c>
      <c r="G33" s="4">
        <v>1.1999999999999999E-3</v>
      </c>
      <c r="H33" s="5">
        <f>F33*G33</f>
        <v>1.1999999999999999E-6</v>
      </c>
    </row>
    <row r="35" spans="2:8" ht="17" thickBot="1" x14ac:dyDescent="0.25"/>
    <row r="36" spans="2:8" ht="17" thickBot="1" x14ac:dyDescent="0.25">
      <c r="B36" s="44" t="s">
        <v>84</v>
      </c>
      <c r="C36" s="45"/>
      <c r="D36" s="46"/>
    </row>
    <row r="37" spans="2:8" ht="17" thickBot="1" x14ac:dyDescent="0.25">
      <c r="B37" s="32" t="s">
        <v>64</v>
      </c>
      <c r="C37" s="33" t="s">
        <v>100</v>
      </c>
      <c r="D37" s="7" t="s">
        <v>75</v>
      </c>
    </row>
    <row r="38" spans="2:8" ht="17" thickBot="1" x14ac:dyDescent="0.25">
      <c r="B38" s="3">
        <v>1E-3</v>
      </c>
      <c r="C38" s="4">
        <v>1.1999999999999999E-3</v>
      </c>
      <c r="D38" s="5">
        <f>B38*C38</f>
        <v>1.1999999999999999E-6</v>
      </c>
    </row>
    <row r="40" spans="2:8" ht="17" thickBot="1" x14ac:dyDescent="0.25"/>
    <row r="41" spans="2:8" ht="17" thickBot="1" x14ac:dyDescent="0.25">
      <c r="B41" s="44" t="s">
        <v>80</v>
      </c>
      <c r="C41" s="45"/>
      <c r="D41" s="46"/>
    </row>
    <row r="42" spans="2:8" ht="17" thickBot="1" x14ac:dyDescent="0.25">
      <c r="B42" s="32" t="s">
        <v>76</v>
      </c>
      <c r="C42" s="33" t="s">
        <v>62</v>
      </c>
      <c r="D42" s="7" t="s">
        <v>81</v>
      </c>
    </row>
    <row r="43" spans="2:8" ht="17" thickBot="1" x14ac:dyDescent="0.25">
      <c r="B43" s="3"/>
      <c r="C43" s="4">
        <f>D17</f>
        <v>3.9683327050139883E-2</v>
      </c>
      <c r="D43" s="5">
        <f>(B43*C43)/2</f>
        <v>0</v>
      </c>
    </row>
    <row r="45" spans="2:8" ht="17" thickBot="1" x14ac:dyDescent="0.25"/>
    <row r="46" spans="2:8" ht="17" thickBot="1" x14ac:dyDescent="0.25">
      <c r="B46" s="44" t="s">
        <v>92</v>
      </c>
      <c r="C46" s="45"/>
      <c r="D46" s="46"/>
    </row>
    <row r="47" spans="2:8" ht="17" thickBot="1" x14ac:dyDescent="0.25">
      <c r="B47" s="32" t="s">
        <v>91</v>
      </c>
      <c r="C47" s="32" t="s">
        <v>47</v>
      </c>
      <c r="D47" s="7" t="s">
        <v>93</v>
      </c>
    </row>
    <row r="48" spans="2:8" ht="17" thickBot="1" x14ac:dyDescent="0.25">
      <c r="B48" s="3">
        <v>1.03</v>
      </c>
      <c r="C48" s="3">
        <v>1000</v>
      </c>
      <c r="D48" s="5">
        <f>(B48)/(C48*4*PI()*POWER(10,-7))</f>
        <v>819.64795692326118</v>
      </c>
    </row>
    <row r="50" spans="2:4" ht="17" thickBot="1" x14ac:dyDescent="0.25"/>
    <row r="51" spans="2:4" ht="17" thickBot="1" x14ac:dyDescent="0.25">
      <c r="B51" s="44" t="s">
        <v>88</v>
      </c>
      <c r="C51" s="45"/>
      <c r="D51" s="46"/>
    </row>
    <row r="52" spans="2:4" ht="17" thickBot="1" x14ac:dyDescent="0.25">
      <c r="B52" s="32" t="s">
        <v>89</v>
      </c>
      <c r="C52" s="33" t="s">
        <v>48</v>
      </c>
      <c r="D52" s="7" t="s">
        <v>90</v>
      </c>
    </row>
    <row r="53" spans="2:4" ht="17" thickBot="1" x14ac:dyDescent="0.25">
      <c r="B53" s="3">
        <v>1E-3</v>
      </c>
      <c r="C53" s="4">
        <v>1.1999999999999999E-3</v>
      </c>
      <c r="D53" s="5">
        <f>B53/C53</f>
        <v>0.83333333333333337</v>
      </c>
    </row>
  </sheetData>
  <mergeCells count="17">
    <mergeCell ref="B28:J28"/>
    <mergeCell ref="B31:D31"/>
    <mergeCell ref="B36:D36"/>
    <mergeCell ref="B41:D41"/>
    <mergeCell ref="F31:H31"/>
    <mergeCell ref="B5:F5"/>
    <mergeCell ref="O4:P4"/>
    <mergeCell ref="B15:D15"/>
    <mergeCell ref="H5:J5"/>
    <mergeCell ref="H10:L10"/>
    <mergeCell ref="B51:D51"/>
    <mergeCell ref="B46:D46"/>
    <mergeCell ref="B10:D10"/>
    <mergeCell ref="B19:D19"/>
    <mergeCell ref="B23:D24"/>
    <mergeCell ref="H15:K15"/>
    <mergeCell ref="H19:K1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Trifase</vt:lpstr>
      <vt:lpstr>Magnetici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Maccari</dc:creator>
  <cp:lastModifiedBy>FRANCESCO TOMASONI</cp:lastModifiedBy>
  <dcterms:created xsi:type="dcterms:W3CDTF">2024-10-17T09:31:41Z</dcterms:created>
  <dcterms:modified xsi:type="dcterms:W3CDTF">2024-10-29T08:48:44Z</dcterms:modified>
</cp:coreProperties>
</file>