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3D662CF2-5E04-4642-972D-E680EE3DF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втоматизированный расчет" sheetId="1" r:id="rId1"/>
    <sheet name="Расчет профиля" sheetId="4" r:id="rId2"/>
    <sheet name="Скорректированные пейсинги" sheetId="5" state="hidden" r:id="rId3"/>
    <sheet name="Расчет профиля корректированный" sheetId="7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5" l="1"/>
  <c r="D10" i="5"/>
  <c r="D2" i="5"/>
  <c r="D5" i="5" s="1"/>
  <c r="G5" i="5" s="1"/>
  <c r="N21" i="5"/>
  <c r="N20" i="5"/>
  <c r="J32" i="7"/>
  <c r="F30" i="7"/>
  <c r="H29" i="7"/>
  <c r="J28" i="7"/>
  <c r="D27" i="7"/>
  <c r="E27" i="7" s="1"/>
  <c r="G27" i="7" s="1"/>
  <c r="I27" i="7" s="1"/>
  <c r="J24" i="7"/>
  <c r="F22" i="7"/>
  <c r="H21" i="7"/>
  <c r="L15" i="7"/>
  <c r="K15" i="7"/>
  <c r="J33" i="7" s="1"/>
  <c r="J15" i="7"/>
  <c r="I15" i="7"/>
  <c r="H33" i="7" s="1"/>
  <c r="H15" i="7"/>
  <c r="G15" i="7"/>
  <c r="F33" i="7" s="1"/>
  <c r="F15" i="7"/>
  <c r="E15" i="7"/>
  <c r="D33" i="7" s="1"/>
  <c r="C15" i="7"/>
  <c r="L14" i="7"/>
  <c r="K14" i="7"/>
  <c r="J14" i="7"/>
  <c r="I14" i="7"/>
  <c r="H32" i="7" s="1"/>
  <c r="H14" i="7"/>
  <c r="G14" i="7"/>
  <c r="F32" i="7" s="1"/>
  <c r="F14" i="7"/>
  <c r="E14" i="7"/>
  <c r="D32" i="7" s="1"/>
  <c r="C14" i="7"/>
  <c r="L13" i="7"/>
  <c r="K13" i="7"/>
  <c r="J31" i="7" s="1"/>
  <c r="J13" i="7"/>
  <c r="I13" i="7"/>
  <c r="H31" i="7" s="1"/>
  <c r="H13" i="7"/>
  <c r="G13" i="7"/>
  <c r="F31" i="7" s="1"/>
  <c r="F13" i="7"/>
  <c r="E13" i="7"/>
  <c r="D31" i="7" s="1"/>
  <c r="C13" i="7"/>
  <c r="L12" i="7"/>
  <c r="K12" i="7"/>
  <c r="J30" i="7" s="1"/>
  <c r="J12" i="7"/>
  <c r="I12" i="7"/>
  <c r="H30" i="7" s="1"/>
  <c r="H12" i="7"/>
  <c r="G12" i="7"/>
  <c r="F12" i="7"/>
  <c r="E12" i="7"/>
  <c r="D30" i="7" s="1"/>
  <c r="C12" i="7"/>
  <c r="L11" i="7"/>
  <c r="K11" i="7"/>
  <c r="J29" i="7" s="1"/>
  <c r="J11" i="7"/>
  <c r="I11" i="7"/>
  <c r="H11" i="7"/>
  <c r="G11" i="7"/>
  <c r="F29" i="7" s="1"/>
  <c r="F11" i="7"/>
  <c r="E11" i="7"/>
  <c r="D29" i="7" s="1"/>
  <c r="C11" i="7"/>
  <c r="L10" i="7"/>
  <c r="K10" i="7"/>
  <c r="J10" i="7"/>
  <c r="I10" i="7"/>
  <c r="H28" i="7" s="1"/>
  <c r="H10" i="7"/>
  <c r="G10" i="7"/>
  <c r="F28" i="7" s="1"/>
  <c r="F10" i="7"/>
  <c r="E10" i="7"/>
  <c r="D28" i="7" s="1"/>
  <c r="C10" i="7"/>
  <c r="L9" i="7"/>
  <c r="K9" i="7"/>
  <c r="J27" i="7" s="1"/>
  <c r="J9" i="7"/>
  <c r="I9" i="7"/>
  <c r="H27" i="7" s="1"/>
  <c r="H9" i="7"/>
  <c r="G9" i="7"/>
  <c r="F27" i="7" s="1"/>
  <c r="F9" i="7"/>
  <c r="E9" i="7"/>
  <c r="C9" i="7"/>
  <c r="L8" i="7"/>
  <c r="K8" i="7"/>
  <c r="J26" i="7" s="1"/>
  <c r="J8" i="7"/>
  <c r="I8" i="7"/>
  <c r="H26" i="7" s="1"/>
  <c r="H8" i="7"/>
  <c r="G8" i="7"/>
  <c r="F26" i="7" s="1"/>
  <c r="F8" i="7"/>
  <c r="E8" i="7"/>
  <c r="D26" i="7" s="1"/>
  <c r="C8" i="7"/>
  <c r="L7" i="7"/>
  <c r="K7" i="7"/>
  <c r="J25" i="7" s="1"/>
  <c r="J7" i="7"/>
  <c r="I7" i="7"/>
  <c r="H25" i="7" s="1"/>
  <c r="H7" i="7"/>
  <c r="G7" i="7"/>
  <c r="F25" i="7" s="1"/>
  <c r="F7" i="7"/>
  <c r="E7" i="7"/>
  <c r="D25" i="7" s="1"/>
  <c r="C7" i="7"/>
  <c r="L6" i="7"/>
  <c r="K6" i="7"/>
  <c r="J6" i="7"/>
  <c r="I6" i="7"/>
  <c r="H24" i="7" s="1"/>
  <c r="H6" i="7"/>
  <c r="G6" i="7"/>
  <c r="F24" i="7" s="1"/>
  <c r="F6" i="7"/>
  <c r="E6" i="7"/>
  <c r="D24" i="7" s="1"/>
  <c r="C6" i="7"/>
  <c r="L5" i="7"/>
  <c r="K5" i="7"/>
  <c r="J23" i="7" s="1"/>
  <c r="J5" i="7"/>
  <c r="I5" i="7"/>
  <c r="H23" i="7" s="1"/>
  <c r="H5" i="7"/>
  <c r="G5" i="7"/>
  <c r="F23" i="7" s="1"/>
  <c r="F5" i="7"/>
  <c r="E5" i="7"/>
  <c r="D23" i="7" s="1"/>
  <c r="C5" i="7"/>
  <c r="L4" i="7"/>
  <c r="K4" i="7"/>
  <c r="J22" i="7" s="1"/>
  <c r="J4" i="7"/>
  <c r="I4" i="7"/>
  <c r="H22" i="7" s="1"/>
  <c r="H4" i="7"/>
  <c r="G4" i="7"/>
  <c r="F4" i="7"/>
  <c r="E4" i="7"/>
  <c r="D22" i="7" s="1"/>
  <c r="C4" i="7"/>
  <c r="L3" i="7"/>
  <c r="K3" i="7"/>
  <c r="J21" i="7" s="1"/>
  <c r="J3" i="7"/>
  <c r="I3" i="7"/>
  <c r="H3" i="7"/>
  <c r="G3" i="7"/>
  <c r="F21" i="7" s="1"/>
  <c r="F3" i="7"/>
  <c r="E3" i="7"/>
  <c r="D21" i="7" s="1"/>
  <c r="C3" i="7"/>
  <c r="F21" i="4"/>
  <c r="P2" i="5"/>
  <c r="P3" i="5"/>
  <c r="P5" i="5"/>
  <c r="H59" i="5"/>
  <c r="B59" i="5"/>
  <c r="H40" i="5"/>
  <c r="D40" i="5"/>
  <c r="G40" i="5" s="1"/>
  <c r="C40" i="5"/>
  <c r="I40" i="5" s="1"/>
  <c r="H39" i="5"/>
  <c r="D39" i="5"/>
  <c r="G39" i="5" s="1"/>
  <c r="C39" i="5"/>
  <c r="H38" i="5"/>
  <c r="C38" i="5"/>
  <c r="H37" i="5"/>
  <c r="H36" i="5"/>
  <c r="H35" i="5"/>
  <c r="H34" i="5"/>
  <c r="C34" i="5"/>
  <c r="H33" i="5"/>
  <c r="C33" i="5"/>
  <c r="M32" i="5"/>
  <c r="H32" i="5"/>
  <c r="C32" i="5"/>
  <c r="Q31" i="5"/>
  <c r="L31" i="5"/>
  <c r="H31" i="5"/>
  <c r="G31" i="5"/>
  <c r="D31" i="5"/>
  <c r="D34" i="5" s="1"/>
  <c r="C31" i="5"/>
  <c r="C35" i="5" s="1"/>
  <c r="Q30" i="5"/>
  <c r="L30" i="5"/>
  <c r="Q29" i="5"/>
  <c r="L29" i="5"/>
  <c r="H29" i="5"/>
  <c r="Q28" i="5"/>
  <c r="L28" i="5"/>
  <c r="H28" i="5"/>
  <c r="Q27" i="5"/>
  <c r="L27" i="5"/>
  <c r="H27" i="5"/>
  <c r="Q26" i="5"/>
  <c r="L26" i="5"/>
  <c r="H26" i="5"/>
  <c r="Q25" i="5"/>
  <c r="L25" i="5"/>
  <c r="H25" i="5"/>
  <c r="Q24" i="5"/>
  <c r="L24" i="5"/>
  <c r="H24" i="5"/>
  <c r="Q23" i="5"/>
  <c r="L23" i="5"/>
  <c r="H23" i="5"/>
  <c r="Q22" i="5"/>
  <c r="L22" i="5"/>
  <c r="H22" i="5"/>
  <c r="Q21" i="5"/>
  <c r="L21" i="5"/>
  <c r="H21" i="5"/>
  <c r="Q20" i="5"/>
  <c r="L20" i="5"/>
  <c r="H20" i="5"/>
  <c r="Q19" i="5"/>
  <c r="L19" i="5"/>
  <c r="H19" i="5"/>
  <c r="D19" i="5"/>
  <c r="D25" i="5" s="1"/>
  <c r="G25" i="5" s="1"/>
  <c r="C19" i="5"/>
  <c r="H17" i="5"/>
  <c r="H16" i="5"/>
  <c r="H15" i="5"/>
  <c r="H14" i="5"/>
  <c r="H13" i="5"/>
  <c r="H12" i="5"/>
  <c r="H11" i="5"/>
  <c r="H10" i="5"/>
  <c r="D12" i="5"/>
  <c r="G12" i="5" s="1"/>
  <c r="C10" i="5"/>
  <c r="H8" i="5"/>
  <c r="H7" i="5"/>
  <c r="H6" i="5"/>
  <c r="T5" i="5"/>
  <c r="N5" i="5"/>
  <c r="O5" i="5" s="1"/>
  <c r="H5" i="5"/>
  <c r="T4" i="5"/>
  <c r="N4" i="5"/>
  <c r="O4" i="5" s="1"/>
  <c r="P4" i="5"/>
  <c r="H4" i="5"/>
  <c r="T3" i="5"/>
  <c r="N3" i="5"/>
  <c r="O3" i="5" s="1"/>
  <c r="H3" i="5"/>
  <c r="T2" i="5"/>
  <c r="N2" i="5"/>
  <c r="O2" i="5" s="1"/>
  <c r="C2" i="5"/>
  <c r="M2" i="1"/>
  <c r="F2" i="1"/>
  <c r="M5" i="1"/>
  <c r="M4" i="1"/>
  <c r="M3" i="1"/>
  <c r="N19" i="1"/>
  <c r="C46" i="1" s="1"/>
  <c r="G46" i="1" s="1"/>
  <c r="I46" i="1" s="1"/>
  <c r="N20" i="1"/>
  <c r="N21" i="1"/>
  <c r="R21" i="1" s="1"/>
  <c r="N22" i="1"/>
  <c r="N23" i="1"/>
  <c r="N24" i="1"/>
  <c r="R24" i="1" s="1"/>
  <c r="N25" i="1"/>
  <c r="N26" i="1"/>
  <c r="R26" i="1" s="1"/>
  <c r="N27" i="1"/>
  <c r="N28" i="1"/>
  <c r="N29" i="1"/>
  <c r="N30" i="1"/>
  <c r="N31" i="1"/>
  <c r="C55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C54" i="1"/>
  <c r="G54" i="1" s="1"/>
  <c r="I54" i="1" s="1"/>
  <c r="R20" i="1"/>
  <c r="R22" i="1"/>
  <c r="R23" i="1"/>
  <c r="R25" i="1"/>
  <c r="R29" i="1"/>
  <c r="R30" i="1"/>
  <c r="R31" i="1"/>
  <c r="L20" i="1"/>
  <c r="L21" i="1"/>
  <c r="L22" i="1"/>
  <c r="L23" i="1"/>
  <c r="L24" i="1"/>
  <c r="L25" i="1"/>
  <c r="L26" i="1"/>
  <c r="L27" i="1"/>
  <c r="L28" i="1"/>
  <c r="L29" i="1"/>
  <c r="L30" i="1"/>
  <c r="L31" i="1"/>
  <c r="L19" i="1"/>
  <c r="C47" i="1"/>
  <c r="G47" i="1" s="1"/>
  <c r="I47" i="1" s="1"/>
  <c r="C48" i="1"/>
  <c r="G48" i="1" s="1"/>
  <c r="I48" i="1" s="1"/>
  <c r="C49" i="1"/>
  <c r="C50" i="1"/>
  <c r="G50" i="1" s="1"/>
  <c r="I50" i="1" s="1"/>
  <c r="C51" i="1"/>
  <c r="G51" i="1" s="1"/>
  <c r="I51" i="1" s="1"/>
  <c r="C52" i="1"/>
  <c r="G52" i="1" s="1"/>
  <c r="I52" i="1" s="1"/>
  <c r="C56" i="1"/>
  <c r="G56" i="1" s="1"/>
  <c r="I56" i="1" s="1"/>
  <c r="C57" i="1"/>
  <c r="G57" i="1" s="1"/>
  <c r="I57" i="1" s="1"/>
  <c r="C58" i="1"/>
  <c r="G58" i="1" s="1"/>
  <c r="I58" i="1" s="1"/>
  <c r="G49" i="1"/>
  <c r="I49" i="1" s="1"/>
  <c r="N5" i="1"/>
  <c r="N4" i="1"/>
  <c r="N3" i="1"/>
  <c r="N2" i="1"/>
  <c r="L4" i="4"/>
  <c r="L5" i="4"/>
  <c r="L6" i="4"/>
  <c r="L7" i="4"/>
  <c r="L8" i="4"/>
  <c r="L9" i="4"/>
  <c r="L10" i="4"/>
  <c r="L11" i="4"/>
  <c r="L12" i="4"/>
  <c r="L13" i="4"/>
  <c r="L14" i="4"/>
  <c r="L15" i="4"/>
  <c r="L3" i="4"/>
  <c r="J4" i="4"/>
  <c r="J5" i="4"/>
  <c r="J6" i="4"/>
  <c r="J7" i="4"/>
  <c r="J8" i="4"/>
  <c r="J9" i="4"/>
  <c r="J10" i="4"/>
  <c r="J11" i="4"/>
  <c r="J12" i="4"/>
  <c r="J13" i="4"/>
  <c r="J14" i="4"/>
  <c r="J15" i="4"/>
  <c r="J3" i="4"/>
  <c r="H4" i="4"/>
  <c r="H5" i="4"/>
  <c r="H6" i="4"/>
  <c r="H7" i="4"/>
  <c r="H8" i="4"/>
  <c r="H9" i="4"/>
  <c r="H10" i="4"/>
  <c r="H11" i="4"/>
  <c r="H12" i="4"/>
  <c r="H13" i="4"/>
  <c r="H14" i="4"/>
  <c r="H15" i="4"/>
  <c r="H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D49" i="1"/>
  <c r="D50" i="1"/>
  <c r="E33" i="7" l="1"/>
  <c r="G33" i="7" s="1"/>
  <c r="I33" i="7" s="1"/>
  <c r="K33" i="7" s="1"/>
  <c r="L33" i="7"/>
  <c r="K27" i="7"/>
  <c r="E21" i="7"/>
  <c r="G21" i="7" s="1"/>
  <c r="I21" i="7" s="1"/>
  <c r="K21" i="7" s="1"/>
  <c r="L21" i="7"/>
  <c r="E29" i="7"/>
  <c r="G29" i="7" s="1"/>
  <c r="I29" i="7" s="1"/>
  <c r="K29" i="7" s="1"/>
  <c r="L29" i="7"/>
  <c r="E28" i="7"/>
  <c r="G28" i="7" s="1"/>
  <c r="I28" i="7" s="1"/>
  <c r="K28" i="7" s="1"/>
  <c r="L28" i="7"/>
  <c r="E22" i="7"/>
  <c r="G22" i="7" s="1"/>
  <c r="I22" i="7" s="1"/>
  <c r="K22" i="7" s="1"/>
  <c r="L22" i="7"/>
  <c r="L30" i="7"/>
  <c r="E30" i="7"/>
  <c r="G30" i="7" s="1"/>
  <c r="I30" i="7" s="1"/>
  <c r="K30" i="7" s="1"/>
  <c r="E26" i="7"/>
  <c r="G26" i="7" s="1"/>
  <c r="I26" i="7" s="1"/>
  <c r="K26" i="7" s="1"/>
  <c r="L26" i="7"/>
  <c r="E31" i="7"/>
  <c r="G31" i="7" s="1"/>
  <c r="I31" i="7" s="1"/>
  <c r="K31" i="7" s="1"/>
  <c r="L31" i="7"/>
  <c r="E25" i="7"/>
  <c r="G25" i="7" s="1"/>
  <c r="I25" i="7" s="1"/>
  <c r="K25" i="7" s="1"/>
  <c r="L25" i="7"/>
  <c r="E23" i="7"/>
  <c r="G23" i="7" s="1"/>
  <c r="I23" i="7" s="1"/>
  <c r="K23" i="7" s="1"/>
  <c r="L23" i="7"/>
  <c r="E24" i="7"/>
  <c r="G24" i="7" s="1"/>
  <c r="I24" i="7" s="1"/>
  <c r="K24" i="7" s="1"/>
  <c r="L24" i="7"/>
  <c r="E32" i="7"/>
  <c r="G32" i="7" s="1"/>
  <c r="I32" i="7" s="1"/>
  <c r="K32" i="7" s="1"/>
  <c r="L32" i="7"/>
  <c r="L27" i="7"/>
  <c r="R3" i="5"/>
  <c r="D33" i="5"/>
  <c r="E33" i="5" s="1"/>
  <c r="I39" i="5"/>
  <c r="D22" i="5"/>
  <c r="G22" i="5" s="1"/>
  <c r="D11" i="5"/>
  <c r="G11" i="5" s="1"/>
  <c r="C41" i="5"/>
  <c r="C5" i="5"/>
  <c r="C7" i="5"/>
  <c r="E2" i="5"/>
  <c r="F2" i="5" s="1"/>
  <c r="N19" i="5" s="1"/>
  <c r="I2" i="5"/>
  <c r="C3" i="5"/>
  <c r="C6" i="5"/>
  <c r="C8" i="5"/>
  <c r="C4" i="5"/>
  <c r="C22" i="5"/>
  <c r="C25" i="5"/>
  <c r="E19" i="5"/>
  <c r="F19" i="5" s="1"/>
  <c r="C28" i="5"/>
  <c r="C20" i="5"/>
  <c r="C21" i="5"/>
  <c r="C23" i="5"/>
  <c r="C29" i="5"/>
  <c r="C24" i="5"/>
  <c r="C27" i="5"/>
  <c r="C26" i="5"/>
  <c r="E32" i="5"/>
  <c r="F32" i="5" s="1"/>
  <c r="C11" i="5"/>
  <c r="C12" i="5"/>
  <c r="C16" i="5"/>
  <c r="E10" i="5"/>
  <c r="F10" i="5" s="1"/>
  <c r="C13" i="5"/>
  <c r="C15" i="5"/>
  <c r="C14" i="5"/>
  <c r="C17" i="5"/>
  <c r="G34" i="5"/>
  <c r="I34" i="5" s="1"/>
  <c r="E34" i="5"/>
  <c r="F34" i="5" s="1"/>
  <c r="I35" i="5"/>
  <c r="R5" i="5"/>
  <c r="R2" i="5"/>
  <c r="R4" i="5"/>
  <c r="L32" i="5"/>
  <c r="E40" i="5"/>
  <c r="F40" i="5" s="1"/>
  <c r="D29" i="5"/>
  <c r="G29" i="5" s="1"/>
  <c r="I31" i="5"/>
  <c r="D32" i="5"/>
  <c r="G32" i="5" s="1"/>
  <c r="I32" i="5" s="1"/>
  <c r="C37" i="5"/>
  <c r="D38" i="5"/>
  <c r="G38" i="5" s="1"/>
  <c r="I38" i="5" s="1"/>
  <c r="E39" i="5"/>
  <c r="F39" i="5" s="1"/>
  <c r="D27" i="5"/>
  <c r="G27" i="5" s="1"/>
  <c r="O27" i="5" s="1"/>
  <c r="D6" i="5"/>
  <c r="G6" i="5" s="1"/>
  <c r="G10" i="5"/>
  <c r="I10" i="5" s="1"/>
  <c r="D15" i="5"/>
  <c r="G15" i="5" s="1"/>
  <c r="G19" i="5"/>
  <c r="I19" i="5" s="1"/>
  <c r="D26" i="5"/>
  <c r="G26" i="5" s="1"/>
  <c r="C36" i="5"/>
  <c r="D37" i="5"/>
  <c r="G37" i="5" s="1"/>
  <c r="D8" i="5"/>
  <c r="G8" i="5" s="1"/>
  <c r="D17" i="5"/>
  <c r="G17" i="5" s="1"/>
  <c r="D7" i="5"/>
  <c r="G7" i="5" s="1"/>
  <c r="O28" i="5" s="1"/>
  <c r="D16" i="5"/>
  <c r="G16" i="5" s="1"/>
  <c r="D21" i="5"/>
  <c r="G21" i="5" s="1"/>
  <c r="G2" i="5"/>
  <c r="D3" i="5"/>
  <c r="G3" i="5" s="1"/>
  <c r="O22" i="5" s="1"/>
  <c r="D14" i="5"/>
  <c r="G14" i="5" s="1"/>
  <c r="O21" i="5" s="1"/>
  <c r="D23" i="5"/>
  <c r="G23" i="5" s="1"/>
  <c r="D36" i="5"/>
  <c r="G36" i="5" s="1"/>
  <c r="O25" i="5" s="1"/>
  <c r="D4" i="5"/>
  <c r="G4" i="5" s="1"/>
  <c r="D24" i="5"/>
  <c r="G24" i="5" s="1"/>
  <c r="D13" i="5"/>
  <c r="G13" i="5" s="1"/>
  <c r="D20" i="5"/>
  <c r="G20" i="5" s="1"/>
  <c r="D28" i="5"/>
  <c r="G28" i="5" s="1"/>
  <c r="O29" i="5" s="1"/>
  <c r="D35" i="5"/>
  <c r="G35" i="5" s="1"/>
  <c r="E31" i="5"/>
  <c r="F31" i="5" s="1"/>
  <c r="P19" i="1"/>
  <c r="C53" i="1"/>
  <c r="G53" i="1" s="1"/>
  <c r="I53" i="1" s="1"/>
  <c r="G55" i="1"/>
  <c r="I55" i="1" s="1"/>
  <c r="R28" i="1"/>
  <c r="R27" i="1"/>
  <c r="R19" i="1"/>
  <c r="L32" i="1"/>
  <c r="D46" i="1"/>
  <c r="O2" i="1"/>
  <c r="M32" i="7" l="1"/>
  <c r="M31" i="7"/>
  <c r="M28" i="7"/>
  <c r="M30" i="7"/>
  <c r="M27" i="7"/>
  <c r="M24" i="7"/>
  <c r="M29" i="7"/>
  <c r="M26" i="7"/>
  <c r="M23" i="7"/>
  <c r="M21" i="7"/>
  <c r="M25" i="7"/>
  <c r="M22" i="7"/>
  <c r="M33" i="7"/>
  <c r="G33" i="5"/>
  <c r="O19" i="5"/>
  <c r="O30" i="5"/>
  <c r="E28" i="5"/>
  <c r="F28" i="5" s="1"/>
  <c r="N29" i="5" s="1"/>
  <c r="I28" i="5"/>
  <c r="E26" i="5"/>
  <c r="F26" i="5" s="1"/>
  <c r="I26" i="5"/>
  <c r="E6" i="5"/>
  <c r="F6" i="5" s="1"/>
  <c r="N31" i="5" s="1"/>
  <c r="I6" i="5"/>
  <c r="E35" i="5"/>
  <c r="F35" i="5" s="1"/>
  <c r="E37" i="5"/>
  <c r="F37" i="5" s="1"/>
  <c r="I37" i="5"/>
  <c r="E16" i="5"/>
  <c r="F16" i="5" s="1"/>
  <c r="I16" i="5"/>
  <c r="I29" i="5"/>
  <c r="E29" i="5"/>
  <c r="F29" i="5" s="1"/>
  <c r="I22" i="5"/>
  <c r="E22" i="5"/>
  <c r="F22" i="5" s="1"/>
  <c r="E7" i="5"/>
  <c r="F7" i="5" s="1"/>
  <c r="N28" i="5" s="1"/>
  <c r="I7" i="5"/>
  <c r="E3" i="5"/>
  <c r="F3" i="5" s="1"/>
  <c r="I3" i="5"/>
  <c r="E36" i="5"/>
  <c r="F36" i="5" s="1"/>
  <c r="I36" i="5"/>
  <c r="I27" i="5"/>
  <c r="E27" i="5"/>
  <c r="F27" i="5" s="1"/>
  <c r="N27" i="5" s="1"/>
  <c r="E23" i="5"/>
  <c r="F23" i="5" s="1"/>
  <c r="I23" i="5"/>
  <c r="I5" i="5"/>
  <c r="E5" i="5"/>
  <c r="F5" i="5" s="1"/>
  <c r="E15" i="5"/>
  <c r="F15" i="5" s="1"/>
  <c r="I15" i="5"/>
  <c r="E13" i="5"/>
  <c r="F13" i="5" s="1"/>
  <c r="I13" i="5"/>
  <c r="O26" i="5"/>
  <c r="E38" i="5"/>
  <c r="F38" i="5" s="1"/>
  <c r="E25" i="5"/>
  <c r="F25" i="5" s="1"/>
  <c r="I25" i="5"/>
  <c r="O23" i="5"/>
  <c r="I12" i="5"/>
  <c r="E12" i="5"/>
  <c r="F12" i="5" s="1"/>
  <c r="E21" i="5"/>
  <c r="F21" i="5" s="1"/>
  <c r="I21" i="5"/>
  <c r="I4" i="5"/>
  <c r="E4" i="5"/>
  <c r="F4" i="5" s="1"/>
  <c r="N23" i="5" s="1"/>
  <c r="E14" i="5"/>
  <c r="F14" i="5" s="1"/>
  <c r="I14" i="5"/>
  <c r="I24" i="5"/>
  <c r="E24" i="5"/>
  <c r="F24" i="5" s="1"/>
  <c r="N24" i="5" s="1"/>
  <c r="O24" i="5"/>
  <c r="O31" i="5"/>
  <c r="I17" i="5"/>
  <c r="E17" i="5"/>
  <c r="F17" i="5" s="1"/>
  <c r="I11" i="5"/>
  <c r="E11" i="5"/>
  <c r="F11" i="5" s="1"/>
  <c r="E20" i="5"/>
  <c r="F20" i="5" s="1"/>
  <c r="I20" i="5"/>
  <c r="I8" i="5"/>
  <c r="E8" i="5"/>
  <c r="F8" i="5" s="1"/>
  <c r="P2" i="1"/>
  <c r="R2" i="1" s="1"/>
  <c r="T2" i="1"/>
  <c r="D19" i="1"/>
  <c r="D10" i="1"/>
  <c r="G10" i="1" s="1"/>
  <c r="P3" i="1"/>
  <c r="P4" i="1"/>
  <c r="P5" i="1"/>
  <c r="C31" i="1"/>
  <c r="C34" i="1" s="1"/>
  <c r="C19" i="1"/>
  <c r="C27" i="1" s="1"/>
  <c r="C10" i="1"/>
  <c r="C14" i="1" s="1"/>
  <c r="C2" i="1"/>
  <c r="D31" i="1"/>
  <c r="D37" i="1" s="1"/>
  <c r="O5" i="1"/>
  <c r="O4" i="1"/>
  <c r="O3" i="1"/>
  <c r="N25" i="5" l="1"/>
  <c r="R25" i="5" s="1"/>
  <c r="I33" i="5"/>
  <c r="O20" i="5"/>
  <c r="O32" i="5" s="1"/>
  <c r="N30" i="5"/>
  <c r="R30" i="5" s="1"/>
  <c r="P27" i="5"/>
  <c r="R27" i="5"/>
  <c r="C54" i="5"/>
  <c r="P31" i="5"/>
  <c r="C58" i="5"/>
  <c r="R31" i="5"/>
  <c r="R24" i="5"/>
  <c r="P24" i="5"/>
  <c r="C51" i="5"/>
  <c r="P19" i="5"/>
  <c r="R19" i="5"/>
  <c r="C46" i="5"/>
  <c r="C52" i="5"/>
  <c r="P25" i="5"/>
  <c r="N26" i="5"/>
  <c r="P23" i="5"/>
  <c r="C50" i="5"/>
  <c r="R23" i="5"/>
  <c r="N22" i="5"/>
  <c r="P28" i="5"/>
  <c r="C55" i="5"/>
  <c r="R28" i="5"/>
  <c r="R29" i="5"/>
  <c r="C56" i="5"/>
  <c r="P29" i="5"/>
  <c r="C4" i="1"/>
  <c r="C6" i="1"/>
  <c r="D24" i="1"/>
  <c r="G19" i="1"/>
  <c r="C32" i="1"/>
  <c r="C38" i="1"/>
  <c r="C40" i="1"/>
  <c r="C37" i="1"/>
  <c r="C36" i="1"/>
  <c r="C33" i="1"/>
  <c r="C11" i="1"/>
  <c r="R3" i="1"/>
  <c r="D2" i="1"/>
  <c r="E2" i="1" s="1"/>
  <c r="D36" i="1"/>
  <c r="D35" i="1"/>
  <c r="D40" i="1"/>
  <c r="D32" i="1"/>
  <c r="D39" i="1"/>
  <c r="D34" i="1"/>
  <c r="D33" i="1"/>
  <c r="D38" i="1"/>
  <c r="C39" i="1"/>
  <c r="C35" i="1"/>
  <c r="D28" i="1"/>
  <c r="C26" i="1"/>
  <c r="C25" i="1"/>
  <c r="C24" i="1"/>
  <c r="C23" i="1"/>
  <c r="C22" i="1"/>
  <c r="C29" i="1"/>
  <c r="C21" i="1"/>
  <c r="C20" i="1"/>
  <c r="C28" i="1"/>
  <c r="C3" i="1"/>
  <c r="C8" i="1"/>
  <c r="C7" i="1"/>
  <c r="C5" i="1"/>
  <c r="C17" i="1"/>
  <c r="C13" i="1"/>
  <c r="C12" i="1"/>
  <c r="C16" i="1"/>
  <c r="C15" i="1"/>
  <c r="D12" i="1"/>
  <c r="D16" i="1"/>
  <c r="D11" i="1"/>
  <c r="D17" i="1"/>
  <c r="D29" i="1"/>
  <c r="D22" i="1"/>
  <c r="D21" i="1"/>
  <c r="D20" i="1"/>
  <c r="D23" i="1"/>
  <c r="D15" i="1"/>
  <c r="D27" i="1"/>
  <c r="D14" i="1"/>
  <c r="D26" i="1"/>
  <c r="D13" i="1"/>
  <c r="D25" i="1"/>
  <c r="T3" i="1"/>
  <c r="T4" i="1"/>
  <c r="R4" i="1"/>
  <c r="P30" i="5" l="1"/>
  <c r="C57" i="5"/>
  <c r="E57" i="5" s="1"/>
  <c r="R26" i="5"/>
  <c r="P26" i="5"/>
  <c r="C53" i="5"/>
  <c r="D46" i="5"/>
  <c r="E46" i="5"/>
  <c r="G46" i="5"/>
  <c r="G50" i="5"/>
  <c r="I50" i="5" s="1"/>
  <c r="E50" i="5"/>
  <c r="D50" i="5"/>
  <c r="P20" i="5"/>
  <c r="C47" i="5"/>
  <c r="R20" i="5"/>
  <c r="G57" i="5"/>
  <c r="I57" i="5" s="1"/>
  <c r="E54" i="5"/>
  <c r="D54" i="5"/>
  <c r="G54" i="5"/>
  <c r="I54" i="5" s="1"/>
  <c r="G56" i="5"/>
  <c r="I56" i="5" s="1"/>
  <c r="E56" i="5"/>
  <c r="D56" i="5"/>
  <c r="G58" i="5"/>
  <c r="I58" i="5" s="1"/>
  <c r="E58" i="5"/>
  <c r="D58" i="5"/>
  <c r="E55" i="5"/>
  <c r="D55" i="5"/>
  <c r="G55" i="5"/>
  <c r="I55" i="5" s="1"/>
  <c r="D52" i="5"/>
  <c r="G52" i="5"/>
  <c r="I52" i="5" s="1"/>
  <c r="E52" i="5"/>
  <c r="R21" i="5"/>
  <c r="C48" i="5"/>
  <c r="P21" i="5"/>
  <c r="C49" i="5"/>
  <c r="R22" i="5"/>
  <c r="P22" i="5"/>
  <c r="N32" i="5"/>
  <c r="R32" i="5" s="1"/>
  <c r="G51" i="5"/>
  <c r="I51" i="5" s="1"/>
  <c r="D51" i="5"/>
  <c r="E51" i="5"/>
  <c r="G2" i="1"/>
  <c r="I2" i="1" s="1"/>
  <c r="D4" i="1"/>
  <c r="E4" i="1" s="1"/>
  <c r="F4" i="1" s="1"/>
  <c r="D7" i="1"/>
  <c r="E7" i="1" s="1"/>
  <c r="F7" i="1" s="1"/>
  <c r="D5" i="1"/>
  <c r="E5" i="1" s="1"/>
  <c r="F5" i="1" s="1"/>
  <c r="D8" i="1"/>
  <c r="E8" i="1" s="1"/>
  <c r="F8" i="1" s="1"/>
  <c r="D6" i="1"/>
  <c r="E6" i="1" s="1"/>
  <c r="F6" i="1" s="1"/>
  <c r="D3" i="1"/>
  <c r="E3" i="1" s="1"/>
  <c r="F3" i="1" s="1"/>
  <c r="D57" i="5" l="1"/>
  <c r="C59" i="5"/>
  <c r="D59" i="5" s="1"/>
  <c r="P32" i="5"/>
  <c r="I46" i="5"/>
  <c r="G53" i="5"/>
  <c r="I53" i="5" s="1"/>
  <c r="E53" i="5"/>
  <c r="D53" i="5"/>
  <c r="E47" i="5"/>
  <c r="D47" i="5"/>
  <c r="G47" i="5"/>
  <c r="I47" i="5" s="1"/>
  <c r="G48" i="5"/>
  <c r="I48" i="5" s="1"/>
  <c r="E48" i="5"/>
  <c r="D48" i="5"/>
  <c r="G49" i="5"/>
  <c r="I49" i="5" s="1"/>
  <c r="E49" i="5"/>
  <c r="D49" i="5"/>
  <c r="Q19" i="1"/>
  <c r="C41" i="1"/>
  <c r="Q20" i="1"/>
  <c r="Q21" i="1"/>
  <c r="Q22" i="1"/>
  <c r="Q23" i="1"/>
  <c r="Q24" i="1"/>
  <c r="Q25" i="1"/>
  <c r="Q26" i="1"/>
  <c r="Q27" i="1"/>
  <c r="Q28" i="1"/>
  <c r="Q29" i="1"/>
  <c r="Q30" i="1"/>
  <c r="Q31" i="1"/>
  <c r="H32" i="1"/>
  <c r="H33" i="1"/>
  <c r="H34" i="1"/>
  <c r="H35" i="1"/>
  <c r="H36" i="1"/>
  <c r="H37" i="1"/>
  <c r="H38" i="1"/>
  <c r="H39" i="1"/>
  <c r="H40" i="1"/>
  <c r="H31" i="1"/>
  <c r="H20" i="1"/>
  <c r="H21" i="1"/>
  <c r="H22" i="1"/>
  <c r="H23" i="1"/>
  <c r="H24" i="1"/>
  <c r="H25" i="1"/>
  <c r="H26" i="1"/>
  <c r="H27" i="1"/>
  <c r="H28" i="1"/>
  <c r="H29" i="1"/>
  <c r="H19" i="1"/>
  <c r="I19" i="1" s="1"/>
  <c r="H11" i="1"/>
  <c r="H12" i="1"/>
  <c r="H13" i="1"/>
  <c r="H14" i="1"/>
  <c r="H15" i="1"/>
  <c r="H16" i="1"/>
  <c r="H17" i="1"/>
  <c r="H10" i="1"/>
  <c r="H4" i="1"/>
  <c r="H5" i="1"/>
  <c r="H6" i="1"/>
  <c r="H7" i="1"/>
  <c r="H8" i="1"/>
  <c r="H3" i="1"/>
  <c r="K4" i="4"/>
  <c r="J22" i="4" s="1"/>
  <c r="K5" i="4"/>
  <c r="J23" i="4" s="1"/>
  <c r="K6" i="4"/>
  <c r="J24" i="4" s="1"/>
  <c r="K7" i="4"/>
  <c r="J25" i="4" s="1"/>
  <c r="K8" i="4"/>
  <c r="J26" i="4" s="1"/>
  <c r="K9" i="4"/>
  <c r="J27" i="4" s="1"/>
  <c r="K10" i="4"/>
  <c r="J28" i="4" s="1"/>
  <c r="K11" i="4"/>
  <c r="J29" i="4" s="1"/>
  <c r="K12" i="4"/>
  <c r="J30" i="4" s="1"/>
  <c r="K13" i="4"/>
  <c r="J31" i="4" s="1"/>
  <c r="K14" i="4"/>
  <c r="J32" i="4" s="1"/>
  <c r="K15" i="4"/>
  <c r="J33" i="4" s="1"/>
  <c r="K3" i="4"/>
  <c r="J21" i="4" s="1"/>
  <c r="I4" i="4"/>
  <c r="H22" i="4" s="1"/>
  <c r="I5" i="4"/>
  <c r="H23" i="4" s="1"/>
  <c r="I6" i="4"/>
  <c r="H24" i="4" s="1"/>
  <c r="I7" i="4"/>
  <c r="H25" i="4" s="1"/>
  <c r="I8" i="4"/>
  <c r="H26" i="4" s="1"/>
  <c r="I9" i="4"/>
  <c r="H27" i="4" s="1"/>
  <c r="I10" i="4"/>
  <c r="H28" i="4" s="1"/>
  <c r="I11" i="4"/>
  <c r="H29" i="4" s="1"/>
  <c r="I12" i="4"/>
  <c r="H30" i="4" s="1"/>
  <c r="I13" i="4"/>
  <c r="H31" i="4" s="1"/>
  <c r="I14" i="4"/>
  <c r="H32" i="4" s="1"/>
  <c r="I15" i="4"/>
  <c r="H33" i="4" s="1"/>
  <c r="I3" i="4"/>
  <c r="H21" i="4" s="1"/>
  <c r="G15" i="4"/>
  <c r="F33" i="4" s="1"/>
  <c r="G4" i="4"/>
  <c r="F22" i="4" s="1"/>
  <c r="G5" i="4"/>
  <c r="F23" i="4" s="1"/>
  <c r="G6" i="4"/>
  <c r="F24" i="4" s="1"/>
  <c r="G7" i="4"/>
  <c r="F25" i="4" s="1"/>
  <c r="G8" i="4"/>
  <c r="F26" i="4" s="1"/>
  <c r="G9" i="4"/>
  <c r="F27" i="4" s="1"/>
  <c r="G10" i="4"/>
  <c r="F28" i="4" s="1"/>
  <c r="G11" i="4"/>
  <c r="F29" i="4" s="1"/>
  <c r="G12" i="4"/>
  <c r="F30" i="4" s="1"/>
  <c r="G13" i="4"/>
  <c r="F31" i="4" s="1"/>
  <c r="G14" i="4"/>
  <c r="F32" i="4" s="1"/>
  <c r="G3" i="4"/>
  <c r="E4" i="4"/>
  <c r="D22" i="4" s="1"/>
  <c r="E22" i="4" s="1"/>
  <c r="E5" i="4"/>
  <c r="D23" i="4" s="1"/>
  <c r="E23" i="4" s="1"/>
  <c r="E6" i="4"/>
  <c r="D24" i="4" s="1"/>
  <c r="E24" i="4" s="1"/>
  <c r="E7" i="4"/>
  <c r="D25" i="4" s="1"/>
  <c r="E25" i="4" s="1"/>
  <c r="E8" i="4"/>
  <c r="D26" i="4" s="1"/>
  <c r="E26" i="4" s="1"/>
  <c r="E9" i="4"/>
  <c r="D27" i="4" s="1"/>
  <c r="E27" i="4" s="1"/>
  <c r="E10" i="4"/>
  <c r="D28" i="4" s="1"/>
  <c r="E28" i="4" s="1"/>
  <c r="E11" i="4"/>
  <c r="D29" i="4" s="1"/>
  <c r="E29" i="4" s="1"/>
  <c r="E12" i="4"/>
  <c r="D30" i="4" s="1"/>
  <c r="E30" i="4" s="1"/>
  <c r="E13" i="4"/>
  <c r="D31" i="4" s="1"/>
  <c r="E31" i="4" s="1"/>
  <c r="E14" i="4"/>
  <c r="D32" i="4" s="1"/>
  <c r="E32" i="4" s="1"/>
  <c r="E15" i="4"/>
  <c r="D33" i="4" s="1"/>
  <c r="E33" i="4" s="1"/>
  <c r="G33" i="4" s="1"/>
  <c r="E3" i="4"/>
  <c r="D21" i="4" s="1"/>
  <c r="E21" i="4" s="1"/>
  <c r="C4" i="4"/>
  <c r="C5" i="4"/>
  <c r="C6" i="4"/>
  <c r="C7" i="4"/>
  <c r="C8" i="4"/>
  <c r="C9" i="4"/>
  <c r="C10" i="4"/>
  <c r="C11" i="4"/>
  <c r="C12" i="4"/>
  <c r="C13" i="4"/>
  <c r="C14" i="4"/>
  <c r="C15" i="4"/>
  <c r="C3" i="4"/>
  <c r="M32" i="1"/>
  <c r="E59" i="5" l="1"/>
  <c r="G59" i="5"/>
  <c r="I59" i="5" s="1"/>
  <c r="L32" i="4"/>
  <c r="L24" i="4"/>
  <c r="L27" i="4"/>
  <c r="L21" i="4"/>
  <c r="L25" i="4"/>
  <c r="L31" i="4"/>
  <c r="L30" i="4"/>
  <c r="L22" i="4"/>
  <c r="L23" i="4"/>
  <c r="I33" i="4"/>
  <c r="K33" i="4" s="1"/>
  <c r="L29" i="4"/>
  <c r="L33" i="4"/>
  <c r="G32" i="4"/>
  <c r="I32" i="4" s="1"/>
  <c r="K32" i="4" s="1"/>
  <c r="G24" i="4"/>
  <c r="I24" i="4" s="1"/>
  <c r="K24" i="4" s="1"/>
  <c r="L28" i="4"/>
  <c r="L26" i="4"/>
  <c r="G25" i="4"/>
  <c r="I25" i="4" s="1"/>
  <c r="K25" i="4" s="1"/>
  <c r="G31" i="4"/>
  <c r="I31" i="4" s="1"/>
  <c r="K31" i="4" s="1"/>
  <c r="G23" i="4"/>
  <c r="I23" i="4" s="1"/>
  <c r="K23" i="4" s="1"/>
  <c r="G30" i="4"/>
  <c r="I30" i="4" s="1"/>
  <c r="K30" i="4" s="1"/>
  <c r="G22" i="4"/>
  <c r="I22" i="4" s="1"/>
  <c r="K22" i="4" s="1"/>
  <c r="G27" i="4"/>
  <c r="I27" i="4" s="1"/>
  <c r="K27" i="4" s="1"/>
  <c r="G29" i="4"/>
  <c r="I29" i="4" s="1"/>
  <c r="K29" i="4" s="1"/>
  <c r="G28" i="4"/>
  <c r="I28" i="4" s="1"/>
  <c r="K28" i="4" s="1"/>
  <c r="G21" i="4"/>
  <c r="I21" i="4" s="1"/>
  <c r="K21" i="4" s="1"/>
  <c r="G26" i="4"/>
  <c r="I26" i="4" s="1"/>
  <c r="K26" i="4" s="1"/>
  <c r="E25" i="1"/>
  <c r="F25" i="1" s="1"/>
  <c r="E27" i="1"/>
  <c r="F27" i="1" s="1"/>
  <c r="E24" i="1"/>
  <c r="F24" i="1" s="1"/>
  <c r="E47" i="1"/>
  <c r="E48" i="1"/>
  <c r="E49" i="1"/>
  <c r="E50" i="1"/>
  <c r="E51" i="1"/>
  <c r="E52" i="1"/>
  <c r="E53" i="1"/>
  <c r="E54" i="1"/>
  <c r="E55" i="1"/>
  <c r="E56" i="1"/>
  <c r="E57" i="1"/>
  <c r="E58" i="1"/>
  <c r="E46" i="1"/>
  <c r="D55" i="1"/>
  <c r="E23" i="1"/>
  <c r="F23" i="1" s="1"/>
  <c r="G23" i="1"/>
  <c r="I23" i="1" s="1"/>
  <c r="E26" i="1"/>
  <c r="F26" i="1" s="1"/>
  <c r="G26" i="1"/>
  <c r="E28" i="1"/>
  <c r="F28" i="1" s="1"/>
  <c r="G28" i="1"/>
  <c r="G5" i="1"/>
  <c r="M24" i="4" l="1"/>
  <c r="M32" i="4"/>
  <c r="M26" i="4"/>
  <c r="M30" i="4"/>
  <c r="M28" i="4"/>
  <c r="M31" i="4"/>
  <c r="M25" i="4"/>
  <c r="M29" i="4"/>
  <c r="M27" i="4"/>
  <c r="M21" i="4"/>
  <c r="M23" i="4"/>
  <c r="M33" i="4"/>
  <c r="M22" i="4"/>
  <c r="I28" i="1"/>
  <c r="I26" i="1"/>
  <c r="G25" i="1"/>
  <c r="G24" i="1"/>
  <c r="G27" i="1"/>
  <c r="B59" i="1"/>
  <c r="I5" i="1"/>
  <c r="G20" i="1"/>
  <c r="I20" i="1" s="1"/>
  <c r="G21" i="1"/>
  <c r="I21" i="1" s="1"/>
  <c r="G22" i="1"/>
  <c r="G11" i="1"/>
  <c r="G12" i="1"/>
  <c r="G13" i="1"/>
  <c r="I13" i="1" s="1"/>
  <c r="G14" i="1"/>
  <c r="I14" i="1" s="1"/>
  <c r="G15" i="1"/>
  <c r="G16" i="1"/>
  <c r="G17" i="1"/>
  <c r="G3" i="1"/>
  <c r="G4" i="1"/>
  <c r="G6" i="1"/>
  <c r="G7" i="1"/>
  <c r="G8" i="1"/>
  <c r="I27" i="1" l="1"/>
  <c r="I12" i="1"/>
  <c r="I24" i="1"/>
  <c r="I25" i="1"/>
  <c r="I6" i="1"/>
  <c r="I16" i="1"/>
  <c r="I4" i="1"/>
  <c r="I11" i="1"/>
  <c r="I7" i="1"/>
  <c r="I17" i="1"/>
  <c r="I22" i="1"/>
  <c r="I3" i="1"/>
  <c r="I15" i="1"/>
  <c r="I8" i="1"/>
  <c r="E20" i="1"/>
  <c r="F20" i="1" s="1"/>
  <c r="E21" i="1"/>
  <c r="F21" i="1" s="1"/>
  <c r="E22" i="1"/>
  <c r="F22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H59" i="1" l="1"/>
  <c r="P23" i="1" l="1"/>
  <c r="P28" i="1"/>
  <c r="P22" i="1" l="1"/>
  <c r="G29" i="1"/>
  <c r="E29" i="1"/>
  <c r="F29" i="1" s="1"/>
  <c r="E19" i="1"/>
  <c r="F19" i="1" s="1"/>
  <c r="E10" i="1"/>
  <c r="F10" i="1" s="1"/>
  <c r="I10" i="1" l="1"/>
  <c r="I29" i="1"/>
  <c r="C59" i="1" l="1"/>
  <c r="G59" i="1"/>
  <c r="I59" i="1" s="1"/>
  <c r="E59" i="1" l="1"/>
  <c r="D51" i="1" l="1"/>
  <c r="D57" i="1" l="1"/>
  <c r="D53" i="1"/>
  <c r="D56" i="1"/>
  <c r="D58" i="1"/>
  <c r="D47" i="1" l="1"/>
  <c r="D48" i="1"/>
  <c r="D52" i="1"/>
  <c r="D54" i="1"/>
  <c r="D59" i="1" l="1"/>
  <c r="T5" i="1"/>
  <c r="G32" i="1" l="1"/>
  <c r="R5" i="1"/>
  <c r="G40" i="1"/>
  <c r="G37" i="1"/>
  <c r="G33" i="1"/>
  <c r="G36" i="1"/>
  <c r="G35" i="1"/>
  <c r="G38" i="1"/>
  <c r="G34" i="1"/>
  <c r="G31" i="1"/>
  <c r="G39" i="1"/>
  <c r="O32" i="1" l="1"/>
  <c r="I38" i="1" l="1"/>
  <c r="E38" i="1"/>
  <c r="F38" i="1" s="1"/>
  <c r="I35" i="1"/>
  <c r="E35" i="1"/>
  <c r="F35" i="1" s="1"/>
  <c r="E37" i="1"/>
  <c r="F37" i="1" s="1"/>
  <c r="I37" i="1"/>
  <c r="I34" i="1"/>
  <c r="E34" i="1"/>
  <c r="F34" i="1" s="1"/>
  <c r="E39" i="1"/>
  <c r="F39" i="1" s="1"/>
  <c r="I39" i="1"/>
  <c r="I33" i="1"/>
  <c r="E33" i="1"/>
  <c r="F33" i="1" s="1"/>
  <c r="E32" i="1"/>
  <c r="F32" i="1" s="1"/>
  <c r="I32" i="1"/>
  <c r="I40" i="1"/>
  <c r="E40" i="1"/>
  <c r="F40" i="1" s="1"/>
  <c r="I31" i="1"/>
  <c r="E31" i="1"/>
  <c r="F31" i="1" s="1"/>
  <c r="I36" i="1"/>
  <c r="E36" i="1"/>
  <c r="F36" i="1" s="1"/>
  <c r="P20" i="1" l="1"/>
  <c r="P29" i="1"/>
  <c r="P21" i="1"/>
  <c r="P25" i="1"/>
  <c r="P26" i="1"/>
  <c r="P27" i="1"/>
  <c r="P24" i="1"/>
  <c r="P31" i="1"/>
  <c r="P30" i="1"/>
  <c r="N32" i="1"/>
  <c r="R32" i="1" s="1"/>
  <c r="P32" i="1" l="1"/>
</calcChain>
</file>

<file path=xl/sharedStrings.xml><?xml version="1.0" encoding="utf-8"?>
<sst xmlns="http://schemas.openxmlformats.org/spreadsheetml/2006/main" count="548" uniqueCount="89">
  <si>
    <t>Вход в систему</t>
  </si>
  <si>
    <t>Выход из системы</t>
  </si>
  <si>
    <t>ИТОГО</t>
  </si>
  <si>
    <t>рпс</t>
  </si>
  <si>
    <t>vus расчетные</t>
  </si>
  <si>
    <t>vus ИТОГОВЫЙ</t>
  </si>
  <si>
    <t>рпс ИТОГОВЫЙ</t>
  </si>
  <si>
    <t>Заполнение полей регистрации</t>
  </si>
  <si>
    <t>vuser</t>
  </si>
  <si>
    <t>операции в час *3600</t>
  </si>
  <si>
    <t>Статистика с ПРОДа</t>
  </si>
  <si>
    <t>Профиль</t>
  </si>
  <si>
    <t>Название запроса</t>
  </si>
  <si>
    <t>Интенсивность по статистике запросов / час</t>
  </si>
  <si>
    <t>Расчетная интенсивность запросов / час</t>
  </si>
  <si>
    <t>Итого</t>
  </si>
  <si>
    <t>Соответствие профилю</t>
  </si>
  <si>
    <t>Фактическая интенсивность в тесте</t>
  </si>
  <si>
    <t>% Отклонение от Профиля</t>
  </si>
  <si>
    <t>transaction</t>
  </si>
  <si>
    <t>script name</t>
  </si>
  <si>
    <t>ОТЛАДОЧНЫЙ ТЕСТ</t>
  </si>
  <si>
    <t>UC1_UserRegistration</t>
  </si>
  <si>
    <t>ToHomePage</t>
  </si>
  <si>
    <t>ToRegister</t>
  </si>
  <si>
    <t>ToSignOut</t>
  </si>
  <si>
    <t>ToLogin</t>
  </si>
  <si>
    <t>ToMyAccount</t>
  </si>
  <si>
    <t>UC2_CatalogueViewer</t>
  </si>
  <si>
    <t>UC3_NewBuyer</t>
  </si>
  <si>
    <t>ToCategory</t>
  </si>
  <si>
    <t>ToProduct</t>
  </si>
  <si>
    <t>ToRegistration</t>
  </si>
  <si>
    <t>AddToCart</t>
  </si>
  <si>
    <t>ToCart</t>
  </si>
  <si>
    <t>ToCheckout</t>
  </si>
  <si>
    <t>ToPayNow</t>
  </si>
  <si>
    <t>ToMyOrders</t>
  </si>
  <si>
    <t>UC4_Buyer</t>
  </si>
  <si>
    <t>НАИМЕНОВАНИЕ ОПЕРАЦИИ</t>
  </si>
  <si>
    <t>ОПЕРАЦИЙ ЗА 1,5 ЧАСА</t>
  </si>
  <si>
    <t>ОПЕРАЦИИ В МИНУТУ</t>
  </si>
  <si>
    <t>Главная страница</t>
  </si>
  <si>
    <t>Переход к странице товара</t>
  </si>
  <si>
    <t>Переход к  странице категории</t>
  </si>
  <si>
    <t>Переход к странице регистрации</t>
  </si>
  <si>
    <t>Добавление товаров в корзину</t>
  </si>
  <si>
    <t>Переход к оформлению заказа</t>
  </si>
  <si>
    <t>Переход к просмотру корзины</t>
  </si>
  <si>
    <t>Переход к странице оплаты</t>
  </si>
  <si>
    <t>Переход к странице заказов</t>
  </si>
  <si>
    <t>Название сценария</t>
  </si>
  <si>
    <t>ДЛИТЕЛЬНОСТЬ
СТУПЕНИ</t>
  </si>
  <si>
    <t>Переход к странице профиля</t>
  </si>
  <si>
    <t>Расчетная интенсивность запросов / 30 мин</t>
  </si>
  <si>
    <t>Transaction Name</t>
  </si>
  <si>
    <t>ВРЕМЯ ОПЕРАЦИИ, С</t>
  </si>
  <si>
    <t>Количество вхождений в сценариях</t>
  </si>
  <si>
    <t>Название транзакции в статистике</t>
  </si>
  <si>
    <t>Название транзакции в сценариях</t>
  </si>
  <si>
    <t>по скрипту</t>
  </si>
  <si>
    <t>по статистике</t>
  </si>
  <si>
    <t>Количество вхождений в сценариях UC1</t>
  </si>
  <si>
    <t>Количество вхождений в сценариях UC2</t>
  </si>
  <si>
    <t>Количество вхождений в сценариях UC3</t>
  </si>
  <si>
    <t>Количество вхождений в сценариях UC4</t>
  </si>
  <si>
    <t>Количество сценариев в час</t>
  </si>
  <si>
    <t>Длительность, с</t>
  </si>
  <si>
    <t>pacing, с</t>
  </si>
  <si>
    <t>RPS</t>
  </si>
  <si>
    <t>Pacing, с</t>
  </si>
  <si>
    <t>Think Time, с</t>
  </si>
  <si>
    <t>ИТОГО на ступени  операций за 30 мин</t>
  </si>
  <si>
    <t>Время ожидания Длительность + Пауза</t>
  </si>
  <si>
    <t>ИТОГО ОПЕРАЦИИ В ЧАС</t>
  </si>
  <si>
    <t>ОПЕРАЦИИ В ЧАС НА 1 ПОЛЬЗОВАТЕЛЯ</t>
  </si>
  <si>
    <t>Остаток</t>
  </si>
  <si>
    <t>UC1_ UserRegistration</t>
  </si>
  <si>
    <t>UC2_ CatalogueViewer</t>
  </si>
  <si>
    <t>UC3_ NewBuyer</t>
  </si>
  <si>
    <t>UC4_ Buyer</t>
  </si>
  <si>
    <t>Статистика</t>
  </si>
  <si>
    <t>Наименование сценария</t>
  </si>
  <si>
    <t>Число сценариев расчетное</t>
  </si>
  <si>
    <t>Расхождение со статистикой</t>
  </si>
  <si>
    <t>Итог операций по расчету</t>
  </si>
  <si>
    <t xml:space="preserve">операций в минуту одним пользователем </t>
  </si>
  <si>
    <t>КОЛИЧЕСТВО ВХОЖДЕНИЙ В СЦЕНАРИЯХ</t>
  </si>
  <si>
    <t>длительность ступени,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</si>
</sst>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9197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2" fontId="0" fillId="0" borderId="0" xfId="0" applyNumberFormat="1"/>
    <xf numFmtId="0" fontId="4" fillId="3" borderId="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11" borderId="1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164" fontId="7" fillId="7" borderId="1" xfId="0" applyNumberFormat="1" applyFont="1" applyFill="1" applyBorder="1" applyAlignment="1">
      <alignment horizontal="center" vertical="top"/>
    </xf>
    <xf numFmtId="164" fontId="7" fillId="3" borderId="1" xfId="0" applyNumberFormat="1" applyFont="1" applyFill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2" fontId="7" fillId="3" borderId="1" xfId="0" applyNumberFormat="1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 wrapText="1"/>
    </xf>
    <xf numFmtId="0" fontId="4" fillId="10" borderId="5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1" fontId="3" fillId="7" borderId="1" xfId="0" applyNumberFormat="1" applyFont="1" applyFill="1" applyBorder="1" applyAlignment="1">
      <alignment horizontal="center" vertical="top"/>
    </xf>
    <xf numFmtId="1" fontId="7" fillId="6" borderId="1" xfId="0" applyNumberFormat="1" applyFont="1" applyFill="1" applyBorder="1" applyAlignment="1">
      <alignment horizontal="center" vertical="top"/>
    </xf>
    <xf numFmtId="9" fontId="7" fillId="6" borderId="1" xfId="1" applyFont="1" applyFill="1" applyBorder="1" applyAlignment="1">
      <alignment horizontal="center" vertical="top"/>
    </xf>
    <xf numFmtId="2" fontId="7" fillId="0" borderId="0" xfId="0" applyNumberFormat="1" applyFont="1" applyAlignment="1">
      <alignment horizontal="center" vertical="top"/>
    </xf>
    <xf numFmtId="0" fontId="10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9" fontId="3" fillId="4" borderId="1" xfId="1" applyFont="1" applyFill="1" applyBorder="1" applyAlignment="1">
      <alignment horizontal="center" vertical="top"/>
    </xf>
    <xf numFmtId="1" fontId="7" fillId="9" borderId="1" xfId="0" applyNumberFormat="1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center" vertical="top"/>
    </xf>
    <xf numFmtId="9" fontId="7" fillId="9" borderId="1" xfId="1" applyFont="1" applyFill="1" applyBorder="1" applyAlignment="1">
      <alignment horizontal="center" vertical="top"/>
    </xf>
    <xf numFmtId="10" fontId="7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2" fillId="0" borderId="0" xfId="2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1" fontId="2" fillId="5" borderId="1" xfId="0" applyNumberFormat="1" applyFont="1" applyFill="1" applyBorder="1" applyAlignment="1">
      <alignment horizontal="center" vertical="top" wrapText="1"/>
    </xf>
    <xf numFmtId="1" fontId="0" fillId="0" borderId="0" xfId="0" applyNumberFormat="1"/>
    <xf numFmtId="0" fontId="9" fillId="6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165" fontId="7" fillId="7" borderId="1" xfId="0" applyNumberFormat="1" applyFont="1" applyFill="1" applyBorder="1" applyAlignment="1">
      <alignment horizontal="center" vertical="top"/>
    </xf>
    <xf numFmtId="9" fontId="7" fillId="7" borderId="1" xfId="1" applyFont="1" applyFill="1" applyBorder="1" applyAlignment="1">
      <alignment horizontal="center" vertical="top"/>
    </xf>
    <xf numFmtId="9" fontId="7" fillId="4" borderId="1" xfId="1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" fontId="7" fillId="7" borderId="1" xfId="0" applyNumberFormat="1" applyFont="1" applyFill="1" applyBorder="1" applyAlignment="1">
      <alignment horizontal="center" vertical="top"/>
    </xf>
    <xf numFmtId="166" fontId="7" fillId="2" borderId="1" xfId="0" applyNumberFormat="1" applyFont="1" applyFill="1" applyBorder="1" applyAlignment="1">
      <alignment horizontal="center" vertical="top"/>
    </xf>
    <xf numFmtId="1" fontId="7" fillId="2" borderId="1" xfId="0" applyNumberFormat="1" applyFont="1" applyFill="1" applyBorder="1" applyAlignment="1">
      <alignment horizontal="center" vertical="top"/>
    </xf>
    <xf numFmtId="166" fontId="7" fillId="3" borderId="1" xfId="0" applyNumberFormat="1" applyFont="1" applyFill="1" applyBorder="1" applyAlignment="1">
      <alignment horizontal="center" vertical="top"/>
    </xf>
    <xf numFmtId="166" fontId="7" fillId="3" borderId="4" xfId="0" applyNumberFormat="1" applyFont="1" applyFill="1" applyBorder="1" applyAlignment="1">
      <alignment horizontal="center" vertical="top"/>
    </xf>
    <xf numFmtId="1" fontId="7" fillId="3" borderId="1" xfId="0" applyNumberFormat="1" applyFont="1" applyFill="1" applyBorder="1" applyAlignment="1">
      <alignment horizontal="center" vertical="top"/>
    </xf>
    <xf numFmtId="1" fontId="7" fillId="8" borderId="2" xfId="0" applyNumberFormat="1" applyFont="1" applyFill="1" applyBorder="1" applyAlignment="1">
      <alignment horizontal="center" vertical="top"/>
    </xf>
    <xf numFmtId="165" fontId="7" fillId="0" borderId="0" xfId="0" applyNumberFormat="1" applyFont="1" applyAlignment="1">
      <alignment horizontal="center" vertical="top"/>
    </xf>
    <xf numFmtId="9" fontId="7" fillId="0" borderId="0" xfId="1" applyFont="1" applyAlignment="1">
      <alignment horizontal="center" vertical="top"/>
    </xf>
    <xf numFmtId="167" fontId="7" fillId="0" borderId="0" xfId="1" applyNumberFormat="1" applyFont="1" applyAlignment="1">
      <alignment horizontal="center" vertical="top"/>
    </xf>
    <xf numFmtId="0" fontId="4" fillId="3" borderId="7" xfId="0" applyFont="1" applyFill="1" applyBorder="1" applyAlignment="1">
      <alignment horizontal="center" vertical="top" wrapText="1"/>
    </xf>
    <xf numFmtId="9" fontId="7" fillId="6" borderId="1" xfId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165" fontId="7" fillId="6" borderId="1" xfId="0" applyNumberFormat="1" applyFont="1" applyFill="1" applyBorder="1" applyAlignment="1">
      <alignment horizontal="center" vertical="top"/>
    </xf>
    <xf numFmtId="165" fontId="7" fillId="3" borderId="1" xfId="0" applyNumberFormat="1" applyFont="1" applyFill="1" applyBorder="1" applyAlignment="1">
      <alignment horizontal="center" vertical="top"/>
    </xf>
    <xf numFmtId="165" fontId="7" fillId="2" borderId="1" xfId="0" applyNumberFormat="1" applyFont="1" applyFill="1" applyBorder="1" applyAlignment="1">
      <alignment horizontal="center" vertical="top"/>
    </xf>
    <xf numFmtId="165" fontId="7" fillId="8" borderId="1" xfId="0" applyNumberFormat="1" applyFont="1" applyFill="1" applyBorder="1" applyAlignment="1">
      <alignment horizontal="center" vertical="top"/>
    </xf>
    <xf numFmtId="165" fontId="7" fillId="3" borderId="4" xfId="0" applyNumberFormat="1" applyFont="1" applyFill="1" applyBorder="1" applyAlignment="1">
      <alignment horizontal="center" vertical="top"/>
    </xf>
    <xf numFmtId="1" fontId="7" fillId="8" borderId="1" xfId="0" applyNumberFormat="1" applyFont="1" applyFill="1" applyBorder="1" applyAlignment="1">
      <alignment horizontal="center" vertical="top"/>
    </xf>
    <xf numFmtId="167" fontId="3" fillId="7" borderId="1" xfId="1" applyNumberFormat="1" applyFont="1" applyFill="1" applyBorder="1" applyAlignment="1">
      <alignment horizontal="center" vertical="top"/>
    </xf>
    <xf numFmtId="1" fontId="7" fillId="6" borderId="1" xfId="0" applyNumberFormat="1" applyFont="1" applyFill="1" applyBorder="1" applyAlignment="1">
      <alignment horizontal="center" vertical="top" wrapText="1"/>
    </xf>
    <xf numFmtId="1" fontId="7" fillId="6" borderId="1" xfId="1" applyNumberFormat="1" applyFont="1" applyFill="1" applyBorder="1" applyAlignment="1">
      <alignment horizontal="center" vertical="top" wrapText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zoomScale="70" zoomScaleNormal="70" workbookViewId="0">
      <selection activeCell="K16" sqref="K16"/>
    </sheetView>
  </sheetViews>
  <sheetFormatPr defaultColWidth="9.140625" defaultRowHeight="15.75" x14ac:dyDescent="0.25"/>
  <cols>
    <col min="1" max="1" width="34.85546875" style="7" customWidth="1"/>
    <col min="2" max="2" width="16.5703125" style="7" bestFit="1" customWidth="1"/>
    <col min="3" max="3" width="15.5703125" style="7" bestFit="1" customWidth="1"/>
    <col min="4" max="4" width="16.28515625" style="7" bestFit="1" customWidth="1"/>
    <col min="5" max="5" width="24.5703125" style="7" bestFit="1" customWidth="1"/>
    <col min="6" max="6" width="23.7109375" style="7" customWidth="1"/>
    <col min="7" max="8" width="25.7109375" style="7" customWidth="1"/>
    <col min="9" max="9" width="24.5703125" style="7" customWidth="1"/>
    <col min="10" max="10" width="17.28515625" style="7" bestFit="1" customWidth="1"/>
    <col min="11" max="11" width="22.85546875" style="7" customWidth="1"/>
    <col min="12" max="14" width="21.42578125" style="7" customWidth="1"/>
    <col min="15" max="15" width="22.85546875" style="7" customWidth="1"/>
    <col min="16" max="20" width="21.42578125" style="7" customWidth="1"/>
    <col min="21" max="16384" width="9.140625" style="7"/>
  </cols>
  <sheetData>
    <row r="1" spans="1:20" ht="33" customHeight="1" x14ac:dyDescent="0.25">
      <c r="A1" s="2" t="s">
        <v>20</v>
      </c>
      <c r="B1" s="2" t="s">
        <v>19</v>
      </c>
      <c r="C1" s="2" t="s">
        <v>8</v>
      </c>
      <c r="D1" s="2" t="s">
        <v>68</v>
      </c>
      <c r="E1" s="2" t="s">
        <v>3</v>
      </c>
      <c r="F1" s="2" t="s">
        <v>9</v>
      </c>
      <c r="G1" s="2" t="s">
        <v>86</v>
      </c>
      <c r="H1" s="2" t="s">
        <v>88</v>
      </c>
      <c r="I1" s="2" t="s">
        <v>72</v>
      </c>
      <c r="K1" s="8" t="s">
        <v>51</v>
      </c>
      <c r="L1" s="8" t="s">
        <v>67</v>
      </c>
      <c r="M1" s="8" t="s">
        <v>71</v>
      </c>
      <c r="N1" s="8" t="s">
        <v>66</v>
      </c>
      <c r="O1" s="8" t="s">
        <v>69</v>
      </c>
      <c r="P1" s="8" t="s">
        <v>73</v>
      </c>
      <c r="Q1" s="8" t="s">
        <v>70</v>
      </c>
      <c r="R1" s="8" t="s">
        <v>4</v>
      </c>
      <c r="S1" s="8" t="s">
        <v>5</v>
      </c>
      <c r="T1" s="8" t="s">
        <v>6</v>
      </c>
    </row>
    <row r="2" spans="1:20" x14ac:dyDescent="0.25">
      <c r="A2" s="9" t="s">
        <v>22</v>
      </c>
      <c r="B2" s="10" t="s">
        <v>23</v>
      </c>
      <c r="C2" s="55">
        <f>$S$2</f>
        <v>1</v>
      </c>
      <c r="D2" s="51">
        <f>$Q$2</f>
        <v>105</v>
      </c>
      <c r="E2" s="50">
        <f>C2/D2</f>
        <v>9.5238095238095247E-3</v>
      </c>
      <c r="F2" s="71">
        <f>E2*3600</f>
        <v>34.285714285714292</v>
      </c>
      <c r="G2" s="72">
        <f>60/D2</f>
        <v>0.5714285714285714</v>
      </c>
      <c r="H2" s="74">
        <v>30</v>
      </c>
      <c r="I2" s="71">
        <f>C2*G2*H2</f>
        <v>17.142857142857142</v>
      </c>
      <c r="K2" s="11" t="s">
        <v>22</v>
      </c>
      <c r="L2" s="44">
        <v>6</v>
      </c>
      <c r="M2" s="44">
        <f>Q2-L2</f>
        <v>99</v>
      </c>
      <c r="N2" s="49">
        <f>'Расчет профиля'!B18</f>
        <v>35</v>
      </c>
      <c r="O2" s="12">
        <f>N2/3600</f>
        <v>9.7222222222222224E-3</v>
      </c>
      <c r="P2" s="49">
        <f>L2+M2</f>
        <v>105</v>
      </c>
      <c r="Q2" s="49">
        <v>105</v>
      </c>
      <c r="R2" s="12">
        <f>P2*O2</f>
        <v>1.0208333333333333</v>
      </c>
      <c r="S2" s="54">
        <v>1</v>
      </c>
      <c r="T2" s="13">
        <f>S2/Q2</f>
        <v>9.5238095238095247E-3</v>
      </c>
    </row>
    <row r="3" spans="1:20" x14ac:dyDescent="0.25">
      <c r="A3" s="9" t="s">
        <v>22</v>
      </c>
      <c r="B3" s="10" t="s">
        <v>32</v>
      </c>
      <c r="C3" s="55">
        <f>$C$2</f>
        <v>1</v>
      </c>
      <c r="D3" s="51">
        <f>$D$2</f>
        <v>105</v>
      </c>
      <c r="E3" s="50">
        <f t="shared" ref="E3:E8" si="0">C3/D3</f>
        <v>9.5238095238095247E-3</v>
      </c>
      <c r="F3" s="71">
        <f t="shared" ref="F3:F8" si="1">E3*3600</f>
        <v>34.285714285714292</v>
      </c>
      <c r="G3" s="72">
        <f t="shared" ref="G3:G8" si="2">60/D3</f>
        <v>0.5714285714285714</v>
      </c>
      <c r="H3" s="74">
        <f>$H$2</f>
        <v>30</v>
      </c>
      <c r="I3" s="71">
        <f t="shared" ref="I3:I8" si="3">C3*G3*H3</f>
        <v>17.142857142857142</v>
      </c>
      <c r="K3" s="11" t="s">
        <v>28</v>
      </c>
      <c r="L3" s="44">
        <v>5</v>
      </c>
      <c r="M3" s="44">
        <f t="shared" ref="M3:M5" si="4">Q3-L3</f>
        <v>21</v>
      </c>
      <c r="N3" s="49">
        <f>'Расчет профиля'!C18</f>
        <v>425</v>
      </c>
      <c r="O3" s="12">
        <f t="shared" ref="O3:O5" si="5">N3/3600</f>
        <v>0.11805555555555555</v>
      </c>
      <c r="P3" s="49">
        <f>L3+M3</f>
        <v>26</v>
      </c>
      <c r="Q3" s="49">
        <v>26</v>
      </c>
      <c r="R3" s="12">
        <f>P3*O3</f>
        <v>3.0694444444444442</v>
      </c>
      <c r="S3" s="54">
        <v>3</v>
      </c>
      <c r="T3" s="13">
        <f t="shared" ref="T3:T5" si="6">S3/Q3</f>
        <v>0.11538461538461539</v>
      </c>
    </row>
    <row r="4" spans="1:20" x14ac:dyDescent="0.25">
      <c r="A4" s="9" t="s">
        <v>22</v>
      </c>
      <c r="B4" s="10" t="s">
        <v>24</v>
      </c>
      <c r="C4" s="55">
        <f t="shared" ref="C4:C8" si="7">$C$2</f>
        <v>1</v>
      </c>
      <c r="D4" s="51">
        <f t="shared" ref="D4:D8" si="8">$D$2</f>
        <v>105</v>
      </c>
      <c r="E4" s="50">
        <f t="shared" si="0"/>
        <v>9.5238095238095247E-3</v>
      </c>
      <c r="F4" s="71">
        <f t="shared" si="1"/>
        <v>34.285714285714292</v>
      </c>
      <c r="G4" s="72">
        <f t="shared" si="2"/>
        <v>0.5714285714285714</v>
      </c>
      <c r="H4" s="74">
        <f t="shared" ref="H4:H40" si="9">$H$2</f>
        <v>30</v>
      </c>
      <c r="I4" s="71">
        <f t="shared" si="3"/>
        <v>17.142857142857142</v>
      </c>
      <c r="K4" s="11" t="s">
        <v>29</v>
      </c>
      <c r="L4" s="44">
        <v>9</v>
      </c>
      <c r="M4" s="44">
        <f t="shared" si="4"/>
        <v>27</v>
      </c>
      <c r="N4" s="49">
        <f>'Расчет профиля'!D18</f>
        <v>298</v>
      </c>
      <c r="O4" s="12">
        <f t="shared" si="5"/>
        <v>8.2777777777777783E-2</v>
      </c>
      <c r="P4" s="49">
        <f>L4+M4</f>
        <v>36</v>
      </c>
      <c r="Q4" s="49">
        <v>36</v>
      </c>
      <c r="R4" s="12">
        <f t="shared" ref="R4" si="10">P4*O4</f>
        <v>2.9800000000000004</v>
      </c>
      <c r="S4" s="54">
        <v>3</v>
      </c>
      <c r="T4" s="13">
        <f t="shared" si="6"/>
        <v>8.3333333333333329E-2</v>
      </c>
    </row>
    <row r="5" spans="1:20" x14ac:dyDescent="0.25">
      <c r="A5" s="9" t="s">
        <v>22</v>
      </c>
      <c r="B5" s="10" t="s">
        <v>25</v>
      </c>
      <c r="C5" s="55">
        <f t="shared" si="7"/>
        <v>1</v>
      </c>
      <c r="D5" s="51">
        <f t="shared" si="8"/>
        <v>105</v>
      </c>
      <c r="E5" s="50">
        <f t="shared" si="0"/>
        <v>9.5238095238095247E-3</v>
      </c>
      <c r="F5" s="71">
        <f t="shared" si="1"/>
        <v>34.285714285714292</v>
      </c>
      <c r="G5" s="72">
        <f>60/D5</f>
        <v>0.5714285714285714</v>
      </c>
      <c r="H5" s="74">
        <f t="shared" si="9"/>
        <v>30</v>
      </c>
      <c r="I5" s="71">
        <f t="shared" si="3"/>
        <v>17.142857142857142</v>
      </c>
      <c r="K5" s="11" t="s">
        <v>38</v>
      </c>
      <c r="L5" s="44">
        <v>9</v>
      </c>
      <c r="M5" s="44">
        <f t="shared" si="4"/>
        <v>30</v>
      </c>
      <c r="N5" s="49">
        <f>'Расчет профиля'!E18</f>
        <v>184</v>
      </c>
      <c r="O5" s="12">
        <f t="shared" si="5"/>
        <v>5.1111111111111114E-2</v>
      </c>
      <c r="P5" s="49">
        <f>L5+M5</f>
        <v>39</v>
      </c>
      <c r="Q5" s="49">
        <v>39</v>
      </c>
      <c r="R5" s="12">
        <f>P5*O5</f>
        <v>1.9933333333333334</v>
      </c>
      <c r="S5" s="54">
        <v>2</v>
      </c>
      <c r="T5" s="13">
        <f t="shared" si="6"/>
        <v>5.128205128205128E-2</v>
      </c>
    </row>
    <row r="6" spans="1:20" x14ac:dyDescent="0.25">
      <c r="A6" s="9" t="s">
        <v>22</v>
      </c>
      <c r="B6" s="10" t="s">
        <v>26</v>
      </c>
      <c r="C6" s="55">
        <f t="shared" si="7"/>
        <v>1</v>
      </c>
      <c r="D6" s="51">
        <f t="shared" si="8"/>
        <v>105</v>
      </c>
      <c r="E6" s="50">
        <f t="shared" si="0"/>
        <v>9.5238095238095247E-3</v>
      </c>
      <c r="F6" s="71">
        <f t="shared" si="1"/>
        <v>34.285714285714292</v>
      </c>
      <c r="G6" s="72">
        <f t="shared" si="2"/>
        <v>0.5714285714285714</v>
      </c>
      <c r="H6" s="74">
        <f t="shared" si="9"/>
        <v>30</v>
      </c>
      <c r="I6" s="71">
        <f t="shared" si="3"/>
        <v>17.142857142857142</v>
      </c>
      <c r="K6" s="14"/>
      <c r="R6" s="15"/>
    </row>
    <row r="7" spans="1:20" x14ac:dyDescent="0.25">
      <c r="A7" s="9" t="s">
        <v>22</v>
      </c>
      <c r="B7" s="10" t="s">
        <v>27</v>
      </c>
      <c r="C7" s="55">
        <f t="shared" si="7"/>
        <v>1</v>
      </c>
      <c r="D7" s="51">
        <f t="shared" si="8"/>
        <v>105</v>
      </c>
      <c r="E7" s="50">
        <f t="shared" si="0"/>
        <v>9.5238095238095247E-3</v>
      </c>
      <c r="F7" s="71">
        <f t="shared" si="1"/>
        <v>34.285714285714292</v>
      </c>
      <c r="G7" s="72">
        <f t="shared" si="2"/>
        <v>0.5714285714285714</v>
      </c>
      <c r="H7" s="74">
        <f t="shared" si="9"/>
        <v>30</v>
      </c>
      <c r="I7" s="71">
        <f t="shared" si="3"/>
        <v>17.142857142857142</v>
      </c>
      <c r="K7" s="14"/>
      <c r="R7" s="15"/>
    </row>
    <row r="8" spans="1:20" x14ac:dyDescent="0.25">
      <c r="A8" s="9" t="s">
        <v>22</v>
      </c>
      <c r="B8" s="10" t="s">
        <v>25</v>
      </c>
      <c r="C8" s="55">
        <f t="shared" si="7"/>
        <v>1</v>
      </c>
      <c r="D8" s="51">
        <f t="shared" si="8"/>
        <v>105</v>
      </c>
      <c r="E8" s="50">
        <f t="shared" si="0"/>
        <v>9.5238095238095247E-3</v>
      </c>
      <c r="F8" s="71">
        <f t="shared" si="1"/>
        <v>34.285714285714292</v>
      </c>
      <c r="G8" s="72">
        <f t="shared" si="2"/>
        <v>0.5714285714285714</v>
      </c>
      <c r="H8" s="74">
        <f t="shared" si="9"/>
        <v>30</v>
      </c>
      <c r="I8" s="71">
        <f t="shared" si="3"/>
        <v>17.142857142857142</v>
      </c>
    </row>
    <row r="9" spans="1:20" x14ac:dyDescent="0.25">
      <c r="A9" s="16"/>
      <c r="B9" s="3"/>
      <c r="C9" s="17"/>
      <c r="D9" s="16"/>
      <c r="E9" s="52"/>
      <c r="F9" s="70"/>
      <c r="G9" s="70"/>
      <c r="H9" s="54"/>
      <c r="I9" s="70"/>
    </row>
    <row r="10" spans="1:20" x14ac:dyDescent="0.25">
      <c r="A10" s="9" t="s">
        <v>28</v>
      </c>
      <c r="B10" s="10" t="s">
        <v>23</v>
      </c>
      <c r="C10" s="55">
        <f>$S$3</f>
        <v>3</v>
      </c>
      <c r="D10" s="51">
        <f>$Q$3</f>
        <v>26</v>
      </c>
      <c r="E10" s="50">
        <f t="shared" ref="E10:E31" si="11">C10/D10</f>
        <v>0.11538461538461539</v>
      </c>
      <c r="F10" s="71">
        <f>E10*3600</f>
        <v>415.38461538461542</v>
      </c>
      <c r="G10" s="72">
        <f>60/D10</f>
        <v>2.3076923076923075</v>
      </c>
      <c r="H10" s="74">
        <f t="shared" si="9"/>
        <v>30</v>
      </c>
      <c r="I10" s="71">
        <f>C10*G10*H10</f>
        <v>207.69230769230768</v>
      </c>
      <c r="N10" s="56"/>
    </row>
    <row r="11" spans="1:20" x14ac:dyDescent="0.25">
      <c r="A11" s="9" t="s">
        <v>28</v>
      </c>
      <c r="B11" s="10" t="s">
        <v>30</v>
      </c>
      <c r="C11" s="55">
        <f>$C$10</f>
        <v>3</v>
      </c>
      <c r="D11" s="51">
        <f>$D$10</f>
        <v>26</v>
      </c>
      <c r="E11" s="50">
        <f t="shared" si="11"/>
        <v>0.11538461538461539</v>
      </c>
      <c r="F11" s="71">
        <f t="shared" ref="F11:F17" si="12">E11*3600</f>
        <v>415.38461538461542</v>
      </c>
      <c r="G11" s="72">
        <f t="shared" ref="G11:G17" si="13">60/D11</f>
        <v>2.3076923076923075</v>
      </c>
      <c r="H11" s="74">
        <f t="shared" si="9"/>
        <v>30</v>
      </c>
      <c r="I11" s="71">
        <f t="shared" ref="I11:I17" si="14">C11*G11*H11</f>
        <v>207.69230769230768</v>
      </c>
    </row>
    <row r="12" spans="1:20" x14ac:dyDescent="0.25">
      <c r="A12" s="9" t="s">
        <v>28</v>
      </c>
      <c r="B12" s="10" t="s">
        <v>31</v>
      </c>
      <c r="C12" s="55">
        <f t="shared" ref="C12:C17" si="15">$C$10</f>
        <v>3</v>
      </c>
      <c r="D12" s="51">
        <f t="shared" ref="D12:D17" si="16">$D$10</f>
        <v>26</v>
      </c>
      <c r="E12" s="50">
        <f t="shared" si="11"/>
        <v>0.11538461538461539</v>
      </c>
      <c r="F12" s="71">
        <f t="shared" si="12"/>
        <v>415.38461538461542</v>
      </c>
      <c r="G12" s="72">
        <f t="shared" si="13"/>
        <v>2.3076923076923075</v>
      </c>
      <c r="H12" s="74">
        <f t="shared" si="9"/>
        <v>30</v>
      </c>
      <c r="I12" s="71">
        <f t="shared" si="14"/>
        <v>207.69230769230768</v>
      </c>
    </row>
    <row r="13" spans="1:20" x14ac:dyDescent="0.25">
      <c r="A13" s="9" t="s">
        <v>28</v>
      </c>
      <c r="B13" s="10" t="s">
        <v>30</v>
      </c>
      <c r="C13" s="55">
        <f t="shared" si="15"/>
        <v>3</v>
      </c>
      <c r="D13" s="51">
        <f t="shared" si="16"/>
        <v>26</v>
      </c>
      <c r="E13" s="50">
        <f t="shared" si="11"/>
        <v>0.11538461538461539</v>
      </c>
      <c r="F13" s="71">
        <f t="shared" si="12"/>
        <v>415.38461538461542</v>
      </c>
      <c r="G13" s="72">
        <f t="shared" si="13"/>
        <v>2.3076923076923075</v>
      </c>
      <c r="H13" s="74">
        <f t="shared" si="9"/>
        <v>30</v>
      </c>
      <c r="I13" s="71">
        <f t="shared" si="14"/>
        <v>207.69230769230768</v>
      </c>
    </row>
    <row r="14" spans="1:20" x14ac:dyDescent="0.25">
      <c r="A14" s="9" t="s">
        <v>28</v>
      </c>
      <c r="B14" s="10" t="s">
        <v>31</v>
      </c>
      <c r="C14" s="55">
        <f t="shared" si="15"/>
        <v>3</v>
      </c>
      <c r="D14" s="51">
        <f t="shared" si="16"/>
        <v>26</v>
      </c>
      <c r="E14" s="50">
        <f t="shared" si="11"/>
        <v>0.11538461538461539</v>
      </c>
      <c r="F14" s="71">
        <f t="shared" si="12"/>
        <v>415.38461538461542</v>
      </c>
      <c r="G14" s="72">
        <f t="shared" si="13"/>
        <v>2.3076923076923075</v>
      </c>
      <c r="H14" s="74">
        <f t="shared" si="9"/>
        <v>30</v>
      </c>
      <c r="I14" s="71">
        <f t="shared" si="14"/>
        <v>207.69230769230768</v>
      </c>
    </row>
    <row r="15" spans="1:20" x14ac:dyDescent="0.25">
      <c r="A15" s="9" t="s">
        <v>28</v>
      </c>
      <c r="B15" s="10" t="s">
        <v>31</v>
      </c>
      <c r="C15" s="55">
        <f t="shared" si="15"/>
        <v>3</v>
      </c>
      <c r="D15" s="51">
        <f t="shared" si="16"/>
        <v>26</v>
      </c>
      <c r="E15" s="50">
        <f t="shared" si="11"/>
        <v>0.11538461538461539</v>
      </c>
      <c r="F15" s="71">
        <f t="shared" si="12"/>
        <v>415.38461538461542</v>
      </c>
      <c r="G15" s="72">
        <f t="shared" si="13"/>
        <v>2.3076923076923075</v>
      </c>
      <c r="H15" s="74">
        <f t="shared" si="9"/>
        <v>30</v>
      </c>
      <c r="I15" s="71">
        <f t="shared" si="14"/>
        <v>207.69230769230768</v>
      </c>
    </row>
    <row r="16" spans="1:20" x14ac:dyDescent="0.25">
      <c r="A16" s="9" t="s">
        <v>28</v>
      </c>
      <c r="B16" s="10" t="s">
        <v>31</v>
      </c>
      <c r="C16" s="55">
        <f t="shared" si="15"/>
        <v>3</v>
      </c>
      <c r="D16" s="51">
        <f t="shared" si="16"/>
        <v>26</v>
      </c>
      <c r="E16" s="50">
        <f t="shared" si="11"/>
        <v>0.11538461538461539</v>
      </c>
      <c r="F16" s="71">
        <f t="shared" si="12"/>
        <v>415.38461538461542</v>
      </c>
      <c r="G16" s="72">
        <f t="shared" si="13"/>
        <v>2.3076923076923075</v>
      </c>
      <c r="H16" s="74">
        <f t="shared" si="9"/>
        <v>30</v>
      </c>
      <c r="I16" s="71">
        <f t="shared" si="14"/>
        <v>207.69230769230768</v>
      </c>
    </row>
    <row r="17" spans="1:18" x14ac:dyDescent="0.25">
      <c r="A17" s="9" t="s">
        <v>28</v>
      </c>
      <c r="B17" s="10" t="s">
        <v>31</v>
      </c>
      <c r="C17" s="55">
        <f t="shared" si="15"/>
        <v>3</v>
      </c>
      <c r="D17" s="51">
        <f t="shared" si="16"/>
        <v>26</v>
      </c>
      <c r="E17" s="50">
        <f t="shared" si="11"/>
        <v>0.11538461538461539</v>
      </c>
      <c r="F17" s="71">
        <f t="shared" si="12"/>
        <v>415.38461538461542</v>
      </c>
      <c r="G17" s="72">
        <f t="shared" si="13"/>
        <v>2.3076923076923075</v>
      </c>
      <c r="H17" s="74">
        <f t="shared" si="9"/>
        <v>30</v>
      </c>
      <c r="I17" s="71">
        <f t="shared" si="14"/>
        <v>207.69230769230768</v>
      </c>
    </row>
    <row r="18" spans="1:18" ht="47.25" x14ac:dyDescent="0.25">
      <c r="A18" s="16"/>
      <c r="B18" s="19"/>
      <c r="C18" s="19"/>
      <c r="D18" s="19"/>
      <c r="E18" s="53"/>
      <c r="F18" s="73"/>
      <c r="G18" s="70"/>
      <c r="H18" s="54"/>
      <c r="I18" s="70"/>
      <c r="K18" s="20" t="s">
        <v>39</v>
      </c>
      <c r="L18" s="21" t="s">
        <v>87</v>
      </c>
      <c r="M18" s="21" t="s">
        <v>56</v>
      </c>
      <c r="N18" s="21" t="s">
        <v>74</v>
      </c>
      <c r="O18" s="20" t="s">
        <v>75</v>
      </c>
      <c r="P18" s="20" t="s">
        <v>41</v>
      </c>
      <c r="Q18" s="20" t="s">
        <v>52</v>
      </c>
      <c r="R18" s="20" t="s">
        <v>40</v>
      </c>
    </row>
    <row r="19" spans="1:18" x14ac:dyDescent="0.25">
      <c r="A19" s="9" t="s">
        <v>29</v>
      </c>
      <c r="B19" s="10" t="s">
        <v>23</v>
      </c>
      <c r="C19" s="55">
        <f>$S$4</f>
        <v>3</v>
      </c>
      <c r="D19" s="51">
        <f>$Q$4</f>
        <v>36</v>
      </c>
      <c r="E19" s="50">
        <f t="shared" si="11"/>
        <v>8.3333333333333329E-2</v>
      </c>
      <c r="F19" s="71">
        <f>E19*3600</f>
        <v>300</v>
      </c>
      <c r="G19" s="72">
        <f>60/D19</f>
        <v>1.6666666666666667</v>
      </c>
      <c r="H19" s="74">
        <f t="shared" si="9"/>
        <v>30</v>
      </c>
      <c r="I19" s="71">
        <f>C19*G19*H19</f>
        <v>150</v>
      </c>
      <c r="K19" s="22" t="s">
        <v>23</v>
      </c>
      <c r="L19" s="25">
        <f>COUNTIF($B$2:$B$40,K19)</f>
        <v>4</v>
      </c>
      <c r="M19" s="69">
        <v>2.17</v>
      </c>
      <c r="N19" s="25">
        <f>F2+F10+F19+F31</f>
        <v>934.28571428571433</v>
      </c>
      <c r="O19" s="69">
        <f>G2+G10+G19+G31</f>
        <v>6.0842490842490839</v>
      </c>
      <c r="P19" s="69">
        <f>N19/60</f>
        <v>15.571428571428573</v>
      </c>
      <c r="Q19" s="74">
        <f>$H$2</f>
        <v>30</v>
      </c>
      <c r="R19" s="25">
        <f>ROUND(N19*1.5,0)</f>
        <v>1401</v>
      </c>
    </row>
    <row r="20" spans="1:18" x14ac:dyDescent="0.25">
      <c r="A20" s="9" t="s">
        <v>29</v>
      </c>
      <c r="B20" s="10" t="s">
        <v>30</v>
      </c>
      <c r="C20" s="55">
        <f>$C$19</f>
        <v>3</v>
      </c>
      <c r="D20" s="51">
        <f>$D$19</f>
        <v>36</v>
      </c>
      <c r="E20" s="50">
        <f t="shared" si="11"/>
        <v>8.3333333333333329E-2</v>
      </c>
      <c r="F20" s="71">
        <f t="shared" ref="F20:F29" si="17">E20*3600</f>
        <v>300</v>
      </c>
      <c r="G20" s="72">
        <f t="shared" ref="G20:G22" si="18">60/D20</f>
        <v>1.6666666666666667</v>
      </c>
      <c r="H20" s="74">
        <f t="shared" si="9"/>
        <v>30</v>
      </c>
      <c r="I20" s="71">
        <f t="shared" ref="I20:I22" si="19">C20*G20*H20</f>
        <v>150</v>
      </c>
      <c r="K20" s="22" t="s">
        <v>30</v>
      </c>
      <c r="L20" s="25">
        <f t="shared" ref="L20:L31" si="20">COUNTIF($B$2:$B$40,K20)</f>
        <v>4</v>
      </c>
      <c r="M20" s="69">
        <v>1.65</v>
      </c>
      <c r="N20" s="25">
        <f>F11+F13+F20+F33</f>
        <v>1315.3846153846155</v>
      </c>
      <c r="O20" s="69">
        <f>G11++G13+G20+G33</f>
        <v>7.8205128205128203</v>
      </c>
      <c r="P20" s="69">
        <f>N20/60</f>
        <v>21.923076923076923</v>
      </c>
      <c r="Q20" s="74">
        <f t="shared" ref="Q20:Q31" si="21">$H$2</f>
        <v>30</v>
      </c>
      <c r="R20" s="25">
        <f t="shared" ref="R20:R32" si="22">ROUND(N20*1.5,0)</f>
        <v>1973</v>
      </c>
    </row>
    <row r="21" spans="1:18" x14ac:dyDescent="0.25">
      <c r="A21" s="9" t="s">
        <v>29</v>
      </c>
      <c r="B21" s="10" t="s">
        <v>31</v>
      </c>
      <c r="C21" s="55">
        <f t="shared" ref="C21:C29" si="23">$C$19</f>
        <v>3</v>
      </c>
      <c r="D21" s="51">
        <f t="shared" ref="D21:D29" si="24">$D$19</f>
        <v>36</v>
      </c>
      <c r="E21" s="50">
        <f t="shared" si="11"/>
        <v>8.3333333333333329E-2</v>
      </c>
      <c r="F21" s="71">
        <f t="shared" si="17"/>
        <v>300</v>
      </c>
      <c r="G21" s="72">
        <f t="shared" si="18"/>
        <v>1.6666666666666667</v>
      </c>
      <c r="H21" s="74">
        <f t="shared" si="9"/>
        <v>30</v>
      </c>
      <c r="I21" s="71">
        <f>C21*G21*H21</f>
        <v>150</v>
      </c>
      <c r="K21" s="22" t="s">
        <v>31</v>
      </c>
      <c r="L21" s="25">
        <f t="shared" si="20"/>
        <v>7</v>
      </c>
      <c r="M21" s="69">
        <v>0.71</v>
      </c>
      <c r="N21" s="25">
        <f>F12+F14+F15+F16+F17+F21+F34</f>
        <v>2561.5384615384619</v>
      </c>
      <c r="O21" s="69">
        <f>G12+G14+G15+G16+G17+G21+G34</f>
        <v>14.743589743589741</v>
      </c>
      <c r="P21" s="69">
        <f t="shared" ref="P21:P31" si="25">N21/60</f>
        <v>42.692307692307701</v>
      </c>
      <c r="Q21" s="74">
        <f t="shared" si="21"/>
        <v>30</v>
      </c>
      <c r="R21" s="25">
        <f t="shared" si="22"/>
        <v>3842</v>
      </c>
    </row>
    <row r="22" spans="1:18" x14ac:dyDescent="0.25">
      <c r="A22" s="9" t="s">
        <v>29</v>
      </c>
      <c r="B22" s="10" t="s">
        <v>32</v>
      </c>
      <c r="C22" s="55">
        <f t="shared" si="23"/>
        <v>3</v>
      </c>
      <c r="D22" s="51">
        <f t="shared" si="24"/>
        <v>36</v>
      </c>
      <c r="E22" s="50">
        <f t="shared" si="11"/>
        <v>8.3333333333333329E-2</v>
      </c>
      <c r="F22" s="71">
        <f t="shared" si="17"/>
        <v>300</v>
      </c>
      <c r="G22" s="72">
        <f t="shared" si="18"/>
        <v>1.6666666666666667</v>
      </c>
      <c r="H22" s="74">
        <f t="shared" si="9"/>
        <v>30</v>
      </c>
      <c r="I22" s="71">
        <f t="shared" si="19"/>
        <v>150</v>
      </c>
      <c r="K22" s="22" t="s">
        <v>32</v>
      </c>
      <c r="L22" s="25">
        <f t="shared" si="20"/>
        <v>2</v>
      </c>
      <c r="M22" s="69">
        <v>0.32</v>
      </c>
      <c r="N22" s="25">
        <f>F3+F22</f>
        <v>334.28571428571428</v>
      </c>
      <c r="O22" s="69">
        <f>G3+G22</f>
        <v>2.2380952380952381</v>
      </c>
      <c r="P22" s="69">
        <f t="shared" si="25"/>
        <v>5.5714285714285712</v>
      </c>
      <c r="Q22" s="74">
        <f t="shared" si="21"/>
        <v>30</v>
      </c>
      <c r="R22" s="25">
        <f t="shared" si="22"/>
        <v>501</v>
      </c>
    </row>
    <row r="23" spans="1:18" x14ac:dyDescent="0.25">
      <c r="A23" s="9" t="s">
        <v>29</v>
      </c>
      <c r="B23" s="10" t="s">
        <v>24</v>
      </c>
      <c r="C23" s="55">
        <f t="shared" si="23"/>
        <v>3</v>
      </c>
      <c r="D23" s="51">
        <f t="shared" si="24"/>
        <v>36</v>
      </c>
      <c r="E23" s="50">
        <f t="shared" ref="E23:E28" si="26">C23/D23</f>
        <v>8.3333333333333329E-2</v>
      </c>
      <c r="F23" s="71">
        <f t="shared" si="17"/>
        <v>300</v>
      </c>
      <c r="G23" s="72">
        <f t="shared" ref="G23:G28" si="27">60/D23</f>
        <v>1.6666666666666667</v>
      </c>
      <c r="H23" s="74">
        <f t="shared" si="9"/>
        <v>30</v>
      </c>
      <c r="I23" s="71">
        <f t="shared" ref="I23:I28" si="28">C23*G23*H23</f>
        <v>150</v>
      </c>
      <c r="K23" s="22" t="s">
        <v>24</v>
      </c>
      <c r="L23" s="25">
        <f t="shared" si="20"/>
        <v>2</v>
      </c>
      <c r="M23" s="69">
        <v>1.53</v>
      </c>
      <c r="N23" s="25">
        <f>F4+F23</f>
        <v>334.28571428571428</v>
      </c>
      <c r="O23" s="69">
        <f>G4+G23</f>
        <v>2.2380952380952381</v>
      </c>
      <c r="P23" s="69">
        <f t="shared" si="25"/>
        <v>5.5714285714285712</v>
      </c>
      <c r="Q23" s="74">
        <f t="shared" si="21"/>
        <v>30</v>
      </c>
      <c r="R23" s="25">
        <f t="shared" si="22"/>
        <v>501</v>
      </c>
    </row>
    <row r="24" spans="1:18" x14ac:dyDescent="0.25">
      <c r="A24" s="9" t="s">
        <v>29</v>
      </c>
      <c r="B24" s="10" t="s">
        <v>33</v>
      </c>
      <c r="C24" s="55">
        <f t="shared" si="23"/>
        <v>3</v>
      </c>
      <c r="D24" s="51">
        <f t="shared" si="24"/>
        <v>36</v>
      </c>
      <c r="E24" s="50">
        <f t="shared" si="26"/>
        <v>8.3333333333333329E-2</v>
      </c>
      <c r="F24" s="71">
        <f t="shared" si="17"/>
        <v>300</v>
      </c>
      <c r="G24" s="72">
        <f t="shared" si="27"/>
        <v>1.6666666666666667</v>
      </c>
      <c r="H24" s="74">
        <f t="shared" si="9"/>
        <v>30</v>
      </c>
      <c r="I24" s="71">
        <f t="shared" si="28"/>
        <v>150</v>
      </c>
      <c r="K24" s="22" t="s">
        <v>33</v>
      </c>
      <c r="L24" s="25">
        <f t="shared" si="20"/>
        <v>2</v>
      </c>
      <c r="M24" s="69">
        <v>0.62</v>
      </c>
      <c r="N24" s="25">
        <f>F24+F35</f>
        <v>484.61538461538464</v>
      </c>
      <c r="O24" s="69">
        <f>G24+G35</f>
        <v>3.2051282051282053</v>
      </c>
      <c r="P24" s="69">
        <f t="shared" si="25"/>
        <v>8.0769230769230766</v>
      </c>
      <c r="Q24" s="74">
        <f t="shared" si="21"/>
        <v>30</v>
      </c>
      <c r="R24" s="25">
        <f t="shared" si="22"/>
        <v>727</v>
      </c>
    </row>
    <row r="25" spans="1:18" x14ac:dyDescent="0.25">
      <c r="A25" s="9" t="s">
        <v>29</v>
      </c>
      <c r="B25" s="10" t="s">
        <v>34</v>
      </c>
      <c r="C25" s="55">
        <f t="shared" si="23"/>
        <v>3</v>
      </c>
      <c r="D25" s="51">
        <f t="shared" si="24"/>
        <v>36</v>
      </c>
      <c r="E25" s="50">
        <f t="shared" si="26"/>
        <v>8.3333333333333329E-2</v>
      </c>
      <c r="F25" s="71">
        <f t="shared" si="17"/>
        <v>300</v>
      </c>
      <c r="G25" s="72">
        <f t="shared" si="27"/>
        <v>1.6666666666666667</v>
      </c>
      <c r="H25" s="74">
        <f t="shared" si="9"/>
        <v>30</v>
      </c>
      <c r="I25" s="71">
        <f t="shared" si="28"/>
        <v>150</v>
      </c>
      <c r="K25" s="22" t="s">
        <v>34</v>
      </c>
      <c r="L25" s="25">
        <f t="shared" si="20"/>
        <v>2</v>
      </c>
      <c r="M25" s="69">
        <v>0.56000000000000005</v>
      </c>
      <c r="N25" s="25">
        <f>F25+F36</f>
        <v>484.61538461538464</v>
      </c>
      <c r="O25" s="69">
        <f>G25+G36</f>
        <v>3.2051282051282053</v>
      </c>
      <c r="P25" s="69">
        <f t="shared" si="25"/>
        <v>8.0769230769230766</v>
      </c>
      <c r="Q25" s="74">
        <f t="shared" si="21"/>
        <v>30</v>
      </c>
      <c r="R25" s="25">
        <f t="shared" si="22"/>
        <v>727</v>
      </c>
    </row>
    <row r="26" spans="1:18" x14ac:dyDescent="0.25">
      <c r="A26" s="9" t="s">
        <v>29</v>
      </c>
      <c r="B26" s="10" t="s">
        <v>35</v>
      </c>
      <c r="C26" s="55">
        <f t="shared" si="23"/>
        <v>3</v>
      </c>
      <c r="D26" s="51">
        <f t="shared" si="24"/>
        <v>36</v>
      </c>
      <c r="E26" s="50">
        <f t="shared" si="26"/>
        <v>8.3333333333333329E-2</v>
      </c>
      <c r="F26" s="71">
        <f t="shared" si="17"/>
        <v>300</v>
      </c>
      <c r="G26" s="72">
        <f t="shared" si="27"/>
        <v>1.6666666666666667</v>
      </c>
      <c r="H26" s="74">
        <f t="shared" si="9"/>
        <v>30</v>
      </c>
      <c r="I26" s="71">
        <f t="shared" si="28"/>
        <v>150</v>
      </c>
      <c r="K26" s="22" t="s">
        <v>35</v>
      </c>
      <c r="L26" s="25">
        <f t="shared" si="20"/>
        <v>2</v>
      </c>
      <c r="M26" s="69">
        <v>1.54</v>
      </c>
      <c r="N26" s="25">
        <f>F26+F37</f>
        <v>484.61538461538464</v>
      </c>
      <c r="O26" s="69">
        <f>G26+G37</f>
        <v>3.2051282051282053</v>
      </c>
      <c r="P26" s="69">
        <f t="shared" si="25"/>
        <v>8.0769230769230766</v>
      </c>
      <c r="Q26" s="74">
        <f t="shared" si="21"/>
        <v>30</v>
      </c>
      <c r="R26" s="25">
        <f t="shared" si="22"/>
        <v>727</v>
      </c>
    </row>
    <row r="27" spans="1:18" x14ac:dyDescent="0.25">
      <c r="A27" s="9" t="s">
        <v>29</v>
      </c>
      <c r="B27" s="10" t="s">
        <v>36</v>
      </c>
      <c r="C27" s="55">
        <f t="shared" si="23"/>
        <v>3</v>
      </c>
      <c r="D27" s="51">
        <f t="shared" si="24"/>
        <v>36</v>
      </c>
      <c r="E27" s="50">
        <f t="shared" si="26"/>
        <v>8.3333333333333329E-2</v>
      </c>
      <c r="F27" s="71">
        <f t="shared" si="17"/>
        <v>300</v>
      </c>
      <c r="G27" s="72">
        <f t="shared" si="27"/>
        <v>1.6666666666666667</v>
      </c>
      <c r="H27" s="74">
        <f t="shared" si="9"/>
        <v>30</v>
      </c>
      <c r="I27" s="71">
        <f t="shared" si="28"/>
        <v>150</v>
      </c>
      <c r="K27" s="22" t="s">
        <v>36</v>
      </c>
      <c r="L27" s="25">
        <f t="shared" si="20"/>
        <v>2</v>
      </c>
      <c r="M27" s="69">
        <v>0.97</v>
      </c>
      <c r="N27" s="25">
        <f>F27+F38</f>
        <v>484.61538461538464</v>
      </c>
      <c r="O27" s="69">
        <f>G27+G38</f>
        <v>3.2051282051282053</v>
      </c>
      <c r="P27" s="69">
        <f t="shared" si="25"/>
        <v>8.0769230769230766</v>
      </c>
      <c r="Q27" s="74">
        <f t="shared" si="21"/>
        <v>30</v>
      </c>
      <c r="R27" s="25">
        <f t="shared" si="22"/>
        <v>727</v>
      </c>
    </row>
    <row r="28" spans="1:18" ht="16.5" customHeight="1" x14ac:dyDescent="0.25">
      <c r="A28" s="9" t="s">
        <v>29</v>
      </c>
      <c r="B28" s="10" t="s">
        <v>37</v>
      </c>
      <c r="C28" s="55">
        <f t="shared" si="23"/>
        <v>3</v>
      </c>
      <c r="D28" s="51">
        <f t="shared" si="24"/>
        <v>36</v>
      </c>
      <c r="E28" s="50">
        <f t="shared" si="26"/>
        <v>8.3333333333333329E-2</v>
      </c>
      <c r="F28" s="71">
        <f t="shared" si="17"/>
        <v>300</v>
      </c>
      <c r="G28" s="72">
        <f t="shared" si="27"/>
        <v>1.6666666666666667</v>
      </c>
      <c r="H28" s="74">
        <f t="shared" si="9"/>
        <v>30</v>
      </c>
      <c r="I28" s="71">
        <f t="shared" si="28"/>
        <v>150</v>
      </c>
      <c r="K28" s="22" t="s">
        <v>27</v>
      </c>
      <c r="L28" s="25">
        <f t="shared" si="20"/>
        <v>1</v>
      </c>
      <c r="M28" s="69">
        <v>0.79</v>
      </c>
      <c r="N28" s="25">
        <f>F7</f>
        <v>34.285714285714292</v>
      </c>
      <c r="O28" s="69">
        <f>G7</f>
        <v>0.5714285714285714</v>
      </c>
      <c r="P28" s="69">
        <f t="shared" si="25"/>
        <v>0.57142857142857151</v>
      </c>
      <c r="Q28" s="74">
        <f t="shared" si="21"/>
        <v>30</v>
      </c>
      <c r="R28" s="25">
        <f t="shared" si="22"/>
        <v>51</v>
      </c>
    </row>
    <row r="29" spans="1:18" x14ac:dyDescent="0.25">
      <c r="A29" s="9" t="s">
        <v>29</v>
      </c>
      <c r="B29" s="10" t="s">
        <v>25</v>
      </c>
      <c r="C29" s="55">
        <f t="shared" si="23"/>
        <v>3</v>
      </c>
      <c r="D29" s="51">
        <f t="shared" si="24"/>
        <v>36</v>
      </c>
      <c r="E29" s="50">
        <f t="shared" si="11"/>
        <v>8.3333333333333329E-2</v>
      </c>
      <c r="F29" s="71">
        <f t="shared" si="17"/>
        <v>300</v>
      </c>
      <c r="G29" s="72">
        <f>60/D29</f>
        <v>1.6666666666666667</v>
      </c>
      <c r="H29" s="74">
        <f t="shared" si="9"/>
        <v>30</v>
      </c>
      <c r="I29" s="71">
        <f>C29*G29*H29</f>
        <v>150</v>
      </c>
      <c r="K29" s="22" t="s">
        <v>37</v>
      </c>
      <c r="L29" s="25">
        <f t="shared" si="20"/>
        <v>2</v>
      </c>
      <c r="M29" s="69">
        <v>0.35</v>
      </c>
      <c r="N29" s="25">
        <f>F28+F39</f>
        <v>484.61538461538464</v>
      </c>
      <c r="O29" s="69">
        <f>G28+G39</f>
        <v>3.2051282051282053</v>
      </c>
      <c r="P29" s="69">
        <f t="shared" si="25"/>
        <v>8.0769230769230766</v>
      </c>
      <c r="Q29" s="74">
        <f t="shared" si="21"/>
        <v>30</v>
      </c>
      <c r="R29" s="25">
        <f t="shared" si="22"/>
        <v>727</v>
      </c>
    </row>
    <row r="30" spans="1:18" x14ac:dyDescent="0.25">
      <c r="A30" s="16"/>
      <c r="B30" s="19"/>
      <c r="C30" s="19"/>
      <c r="D30" s="19"/>
      <c r="E30" s="53"/>
      <c r="F30" s="73"/>
      <c r="G30" s="70"/>
      <c r="H30" s="54"/>
      <c r="I30" s="70"/>
      <c r="K30" s="22" t="s">
        <v>25</v>
      </c>
      <c r="L30" s="25">
        <f t="shared" si="20"/>
        <v>4</v>
      </c>
      <c r="M30" s="69">
        <v>0.31</v>
      </c>
      <c r="N30" s="25">
        <f>F5+F8+F29+F40</f>
        <v>553.1868131868132</v>
      </c>
      <c r="O30" s="69">
        <f>G5+G8+G29+G40</f>
        <v>4.3479853479853476</v>
      </c>
      <c r="P30" s="69">
        <f t="shared" si="25"/>
        <v>9.2197802197802208</v>
      </c>
      <c r="Q30" s="74">
        <f t="shared" si="21"/>
        <v>30</v>
      </c>
      <c r="R30" s="25">
        <f t="shared" si="22"/>
        <v>830</v>
      </c>
    </row>
    <row r="31" spans="1:18" x14ac:dyDescent="0.25">
      <c r="A31" s="9" t="s">
        <v>38</v>
      </c>
      <c r="B31" s="10" t="s">
        <v>23</v>
      </c>
      <c r="C31" s="55">
        <f>$S$5</f>
        <v>2</v>
      </c>
      <c r="D31" s="51">
        <f>$Q$5</f>
        <v>39</v>
      </c>
      <c r="E31" s="50">
        <f t="shared" si="11"/>
        <v>5.128205128205128E-2</v>
      </c>
      <c r="F31" s="71">
        <f>E31*3600</f>
        <v>184.61538461538461</v>
      </c>
      <c r="G31" s="72">
        <f t="shared" ref="G31" si="29">60/D31</f>
        <v>1.5384615384615385</v>
      </c>
      <c r="H31" s="74">
        <f t="shared" si="9"/>
        <v>30</v>
      </c>
      <c r="I31" s="71">
        <f t="shared" ref="I31" si="30">C31*G31*H31</f>
        <v>92.307692307692307</v>
      </c>
      <c r="K31" s="22" t="s">
        <v>26</v>
      </c>
      <c r="L31" s="25">
        <f t="shared" si="20"/>
        <v>2</v>
      </c>
      <c r="M31" s="69">
        <v>0.56999999999999995</v>
      </c>
      <c r="N31" s="25">
        <f>F6+F32</f>
        <v>218.90109890109892</v>
      </c>
      <c r="O31" s="69">
        <f>G6+G32</f>
        <v>2.1098901098901099</v>
      </c>
      <c r="P31" s="69">
        <f t="shared" si="25"/>
        <v>3.6483516483516487</v>
      </c>
      <c r="Q31" s="74">
        <f t="shared" si="21"/>
        <v>30</v>
      </c>
      <c r="R31" s="25">
        <f t="shared" si="22"/>
        <v>328</v>
      </c>
    </row>
    <row r="32" spans="1:18" x14ac:dyDescent="0.25">
      <c r="A32" s="9" t="s">
        <v>38</v>
      </c>
      <c r="B32" s="10" t="s">
        <v>26</v>
      </c>
      <c r="C32" s="55">
        <f>$C$31</f>
        <v>2</v>
      </c>
      <c r="D32" s="51">
        <f>$D$31</f>
        <v>39</v>
      </c>
      <c r="E32" s="50">
        <f t="shared" ref="E32:E40" si="31">C32/D32</f>
        <v>5.128205128205128E-2</v>
      </c>
      <c r="F32" s="71">
        <f t="shared" ref="F32:F40" si="32">E32*3600</f>
        <v>184.61538461538461</v>
      </c>
      <c r="G32" s="72">
        <f t="shared" ref="G32:G40" si="33">60/D32</f>
        <v>1.5384615384615385</v>
      </c>
      <c r="H32" s="74">
        <f t="shared" si="9"/>
        <v>30</v>
      </c>
      <c r="I32" s="71">
        <f t="shared" ref="I32:I40" si="34">C32*G32*H32</f>
        <v>92.307692307692307</v>
      </c>
      <c r="K32" s="23" t="s">
        <v>2</v>
      </c>
      <c r="L32" s="54">
        <f>SUM(L19:L31)</f>
        <v>36</v>
      </c>
      <c r="M32" s="70">
        <f>SUM(M19:M31)</f>
        <v>12.090000000000003</v>
      </c>
      <c r="N32" s="54">
        <f t="shared" ref="N32:R32" si="35">SUM(N19:N31)</f>
        <v>8709.2307692307713</v>
      </c>
      <c r="O32" s="70">
        <f t="shared" si="35"/>
        <v>56.179487179487175</v>
      </c>
      <c r="P32" s="70">
        <f t="shared" si="35"/>
        <v>145.15384615384619</v>
      </c>
      <c r="Q32" s="18"/>
      <c r="R32" s="54">
        <f t="shared" si="22"/>
        <v>13064</v>
      </c>
    </row>
    <row r="33" spans="1:20" x14ac:dyDescent="0.25">
      <c r="A33" s="9" t="s">
        <v>38</v>
      </c>
      <c r="B33" s="10" t="s">
        <v>30</v>
      </c>
      <c r="C33" s="55">
        <f t="shared" ref="C33:C40" si="36">$C$31</f>
        <v>2</v>
      </c>
      <c r="D33" s="51">
        <f t="shared" ref="D33:D40" si="37">$D$31</f>
        <v>39</v>
      </c>
      <c r="E33" s="50">
        <f t="shared" si="31"/>
        <v>5.128205128205128E-2</v>
      </c>
      <c r="F33" s="71">
        <f t="shared" si="32"/>
        <v>184.61538461538461</v>
      </c>
      <c r="G33" s="72">
        <f t="shared" si="33"/>
        <v>1.5384615384615385</v>
      </c>
      <c r="H33" s="74">
        <f t="shared" si="9"/>
        <v>30</v>
      </c>
      <c r="I33" s="71">
        <f t="shared" si="34"/>
        <v>92.307692307692307</v>
      </c>
    </row>
    <row r="34" spans="1:20" x14ac:dyDescent="0.25">
      <c r="A34" s="9" t="s">
        <v>38</v>
      </c>
      <c r="B34" s="10" t="s">
        <v>31</v>
      </c>
      <c r="C34" s="55">
        <f t="shared" si="36"/>
        <v>2</v>
      </c>
      <c r="D34" s="51">
        <f t="shared" si="37"/>
        <v>39</v>
      </c>
      <c r="E34" s="50">
        <f t="shared" si="31"/>
        <v>5.128205128205128E-2</v>
      </c>
      <c r="F34" s="71">
        <f t="shared" si="32"/>
        <v>184.61538461538461</v>
      </c>
      <c r="G34" s="72">
        <f t="shared" si="33"/>
        <v>1.5384615384615385</v>
      </c>
      <c r="H34" s="74">
        <f t="shared" si="9"/>
        <v>30</v>
      </c>
      <c r="I34" s="71">
        <f t="shared" si="34"/>
        <v>92.307692307692307</v>
      </c>
    </row>
    <row r="35" spans="1:20" x14ac:dyDescent="0.25">
      <c r="A35" s="9" t="s">
        <v>38</v>
      </c>
      <c r="B35" s="10" t="s">
        <v>33</v>
      </c>
      <c r="C35" s="55">
        <f t="shared" si="36"/>
        <v>2</v>
      </c>
      <c r="D35" s="51">
        <f t="shared" si="37"/>
        <v>39</v>
      </c>
      <c r="E35" s="50">
        <f t="shared" si="31"/>
        <v>5.128205128205128E-2</v>
      </c>
      <c r="F35" s="71">
        <f t="shared" si="32"/>
        <v>184.61538461538461</v>
      </c>
      <c r="G35" s="72">
        <f t="shared" si="33"/>
        <v>1.5384615384615385</v>
      </c>
      <c r="H35" s="74">
        <f t="shared" si="9"/>
        <v>30</v>
      </c>
      <c r="I35" s="71">
        <f t="shared" si="34"/>
        <v>92.307692307692307</v>
      </c>
    </row>
    <row r="36" spans="1:20" x14ac:dyDescent="0.25">
      <c r="A36" s="9" t="s">
        <v>38</v>
      </c>
      <c r="B36" s="10" t="s">
        <v>34</v>
      </c>
      <c r="C36" s="55">
        <f t="shared" si="36"/>
        <v>2</v>
      </c>
      <c r="D36" s="51">
        <f t="shared" si="37"/>
        <v>39</v>
      </c>
      <c r="E36" s="50">
        <f t="shared" si="31"/>
        <v>5.128205128205128E-2</v>
      </c>
      <c r="F36" s="71">
        <f t="shared" si="32"/>
        <v>184.61538461538461</v>
      </c>
      <c r="G36" s="72">
        <f t="shared" si="33"/>
        <v>1.5384615384615385</v>
      </c>
      <c r="H36" s="74">
        <f t="shared" si="9"/>
        <v>30</v>
      </c>
      <c r="I36" s="71">
        <f t="shared" si="34"/>
        <v>92.307692307692307</v>
      </c>
    </row>
    <row r="37" spans="1:20" x14ac:dyDescent="0.25">
      <c r="A37" s="9" t="s">
        <v>38</v>
      </c>
      <c r="B37" s="10" t="s">
        <v>35</v>
      </c>
      <c r="C37" s="55">
        <f t="shared" si="36"/>
        <v>2</v>
      </c>
      <c r="D37" s="51">
        <f t="shared" si="37"/>
        <v>39</v>
      </c>
      <c r="E37" s="50">
        <f t="shared" si="31"/>
        <v>5.128205128205128E-2</v>
      </c>
      <c r="F37" s="71">
        <f t="shared" si="32"/>
        <v>184.61538461538461</v>
      </c>
      <c r="G37" s="72">
        <f t="shared" si="33"/>
        <v>1.5384615384615385</v>
      </c>
      <c r="H37" s="74">
        <f t="shared" si="9"/>
        <v>30</v>
      </c>
      <c r="I37" s="71">
        <f t="shared" si="34"/>
        <v>92.307692307692307</v>
      </c>
    </row>
    <row r="38" spans="1:20" x14ac:dyDescent="0.25">
      <c r="A38" s="9" t="s">
        <v>38</v>
      </c>
      <c r="B38" s="10" t="s">
        <v>36</v>
      </c>
      <c r="C38" s="55">
        <f t="shared" si="36"/>
        <v>2</v>
      </c>
      <c r="D38" s="51">
        <f t="shared" si="37"/>
        <v>39</v>
      </c>
      <c r="E38" s="50">
        <f t="shared" si="31"/>
        <v>5.128205128205128E-2</v>
      </c>
      <c r="F38" s="71">
        <f t="shared" si="32"/>
        <v>184.61538461538461</v>
      </c>
      <c r="G38" s="72">
        <f t="shared" si="33"/>
        <v>1.5384615384615385</v>
      </c>
      <c r="H38" s="74">
        <f t="shared" si="9"/>
        <v>30</v>
      </c>
      <c r="I38" s="71">
        <f t="shared" si="34"/>
        <v>92.307692307692307</v>
      </c>
    </row>
    <row r="39" spans="1:20" x14ac:dyDescent="0.25">
      <c r="A39" s="9" t="s">
        <v>38</v>
      </c>
      <c r="B39" s="10" t="s">
        <v>37</v>
      </c>
      <c r="C39" s="55">
        <f t="shared" si="36"/>
        <v>2</v>
      </c>
      <c r="D39" s="51">
        <f t="shared" si="37"/>
        <v>39</v>
      </c>
      <c r="E39" s="50">
        <f t="shared" ref="E39" si="38">C39/D39</f>
        <v>5.128205128205128E-2</v>
      </c>
      <c r="F39" s="71">
        <f t="shared" si="32"/>
        <v>184.61538461538461</v>
      </c>
      <c r="G39" s="72">
        <f t="shared" ref="G39" si="39">60/D39</f>
        <v>1.5384615384615385</v>
      </c>
      <c r="H39" s="74">
        <f t="shared" si="9"/>
        <v>30</v>
      </c>
      <c r="I39" s="71">
        <f t="shared" ref="I39" si="40">C39*G39*H39</f>
        <v>92.307692307692307</v>
      </c>
    </row>
    <row r="40" spans="1:20" x14ac:dyDescent="0.25">
      <c r="A40" s="9" t="s">
        <v>38</v>
      </c>
      <c r="B40" s="10" t="s">
        <v>25</v>
      </c>
      <c r="C40" s="55">
        <f t="shared" si="36"/>
        <v>2</v>
      </c>
      <c r="D40" s="51">
        <f t="shared" si="37"/>
        <v>39</v>
      </c>
      <c r="E40" s="50">
        <f t="shared" si="31"/>
        <v>5.128205128205128E-2</v>
      </c>
      <c r="F40" s="71">
        <f t="shared" si="32"/>
        <v>184.61538461538461</v>
      </c>
      <c r="G40" s="72">
        <f t="shared" si="33"/>
        <v>1.5384615384615385</v>
      </c>
      <c r="H40" s="74">
        <f t="shared" si="9"/>
        <v>30</v>
      </c>
      <c r="I40" s="71">
        <f t="shared" si="34"/>
        <v>92.307692307692307</v>
      </c>
    </row>
    <row r="41" spans="1:20" x14ac:dyDescent="0.25">
      <c r="A41" s="6" t="s">
        <v>2</v>
      </c>
      <c r="B41" s="16"/>
      <c r="C41" s="54">
        <f>SUM(C2+C10+C19+C31)</f>
        <v>9</v>
      </c>
      <c r="D41" s="16"/>
      <c r="E41" s="16"/>
      <c r="F41" s="16"/>
      <c r="G41" s="16"/>
      <c r="H41" s="16"/>
      <c r="I41" s="16"/>
    </row>
    <row r="44" spans="1:20" x14ac:dyDescent="0.25">
      <c r="A44" s="62" t="s">
        <v>10</v>
      </c>
      <c r="B44" s="62"/>
      <c r="C44" s="62" t="s">
        <v>11</v>
      </c>
      <c r="D44" s="62"/>
      <c r="E44" s="62"/>
      <c r="F44" s="64" t="s">
        <v>21</v>
      </c>
      <c r="G44" s="64"/>
      <c r="H44" s="64"/>
      <c r="I44" s="64"/>
    </row>
    <row r="45" spans="1:20" ht="48.75" customHeight="1" x14ac:dyDescent="0.25">
      <c r="A45" s="4" t="s">
        <v>12</v>
      </c>
      <c r="B45" s="4" t="s">
        <v>13</v>
      </c>
      <c r="C45" s="4" t="s">
        <v>14</v>
      </c>
      <c r="D45" s="4" t="s">
        <v>18</v>
      </c>
      <c r="E45" s="5" t="s">
        <v>16</v>
      </c>
      <c r="F45" s="2" t="s">
        <v>55</v>
      </c>
      <c r="G45" s="2" t="s">
        <v>54</v>
      </c>
      <c r="H45" s="2" t="s">
        <v>17</v>
      </c>
      <c r="I45" s="2" t="s">
        <v>18</v>
      </c>
      <c r="K45" s="2" t="s">
        <v>58</v>
      </c>
      <c r="L45" s="2" t="s">
        <v>59</v>
      </c>
    </row>
    <row r="46" spans="1:20" x14ac:dyDescent="0.25">
      <c r="A46" s="42" t="s">
        <v>42</v>
      </c>
      <c r="B46" s="39">
        <v>937</v>
      </c>
      <c r="C46" s="24">
        <f>N19</f>
        <v>934.28571428571433</v>
      </c>
      <c r="D46" s="75">
        <f>1-B46/C46</f>
        <v>-2.9051987767583221E-3</v>
      </c>
      <c r="E46" s="45">
        <f t="shared" ref="E46:E59" si="41">C46/B46</f>
        <v>0.99710321695380399</v>
      </c>
      <c r="F46" s="41" t="s">
        <v>23</v>
      </c>
      <c r="G46" s="25">
        <f>ROUND(C46/2,0)</f>
        <v>467</v>
      </c>
      <c r="H46" s="25">
        <v>466</v>
      </c>
      <c r="I46" s="26">
        <f>1-G46/H46</f>
        <v>-2.1459227467810482E-3</v>
      </c>
      <c r="J46" s="58"/>
      <c r="K46" s="42" t="s">
        <v>42</v>
      </c>
      <c r="L46" s="22" t="s">
        <v>23</v>
      </c>
      <c r="M46"/>
      <c r="T46" s="57"/>
    </row>
    <row r="47" spans="1:20" ht="31.5" x14ac:dyDescent="0.25">
      <c r="A47" s="43" t="s">
        <v>44</v>
      </c>
      <c r="B47" s="39">
        <v>1343</v>
      </c>
      <c r="C47" s="24">
        <f>N20</f>
        <v>1315.3846153846155</v>
      </c>
      <c r="D47" s="75">
        <f t="shared" ref="D46:D58" si="42">1-B47/C47</f>
        <v>-2.0994152046783565E-2</v>
      </c>
      <c r="E47" s="45">
        <f t="shared" si="41"/>
        <v>0.97943753937797129</v>
      </c>
      <c r="F47" s="41" t="s">
        <v>30</v>
      </c>
      <c r="G47" s="25">
        <f t="shared" ref="G47:G58" si="43">ROUND(C47/2,0)</f>
        <v>658</v>
      </c>
      <c r="H47" s="25">
        <v>654</v>
      </c>
      <c r="I47" s="26">
        <f t="shared" ref="I47:I58" si="44">1-G47/H47</f>
        <v>-6.1162079510703737E-3</v>
      </c>
      <c r="J47" s="58"/>
      <c r="K47" s="42" t="s">
        <v>44</v>
      </c>
      <c r="L47" s="22" t="s">
        <v>30</v>
      </c>
      <c r="M47"/>
      <c r="T47" s="57"/>
    </row>
    <row r="48" spans="1:20" ht="31.5" x14ac:dyDescent="0.25">
      <c r="A48" s="43" t="s">
        <v>43</v>
      </c>
      <c r="B48" s="39">
        <v>2638</v>
      </c>
      <c r="C48" s="24">
        <f>N21</f>
        <v>2561.5384615384619</v>
      </c>
      <c r="D48" s="75">
        <f t="shared" si="42"/>
        <v>-2.9849849849849619E-2</v>
      </c>
      <c r="E48" s="45">
        <f t="shared" si="41"/>
        <v>0.97101533795999317</v>
      </c>
      <c r="F48" s="41" t="s">
        <v>31</v>
      </c>
      <c r="G48" s="25">
        <f t="shared" si="43"/>
        <v>1281</v>
      </c>
      <c r="H48" s="25">
        <v>1277</v>
      </c>
      <c r="I48" s="26">
        <f t="shared" si="44"/>
        <v>-3.1323414252153459E-3</v>
      </c>
      <c r="J48" s="58"/>
      <c r="K48" s="42" t="s">
        <v>43</v>
      </c>
      <c r="L48" s="22" t="s">
        <v>31</v>
      </c>
      <c r="M48"/>
      <c r="T48" s="57"/>
    </row>
    <row r="49" spans="1:20" ht="31.5" x14ac:dyDescent="0.25">
      <c r="A49" s="43" t="s">
        <v>45</v>
      </c>
      <c r="B49" s="39">
        <v>350</v>
      </c>
      <c r="C49" s="24">
        <f>N22</f>
        <v>334.28571428571428</v>
      </c>
      <c r="D49" s="75">
        <f t="shared" si="42"/>
        <v>-4.7008547008547064E-2</v>
      </c>
      <c r="E49" s="45">
        <f t="shared" si="41"/>
        <v>0.95510204081632655</v>
      </c>
      <c r="F49" s="41" t="s">
        <v>32</v>
      </c>
      <c r="G49" s="25">
        <f t="shared" si="43"/>
        <v>167</v>
      </c>
      <c r="H49" s="25">
        <v>165</v>
      </c>
      <c r="I49" s="26">
        <f t="shared" si="44"/>
        <v>-1.2121212121212199E-2</v>
      </c>
      <c r="J49" s="58"/>
      <c r="K49" s="42" t="s">
        <v>45</v>
      </c>
      <c r="L49" s="22" t="s">
        <v>32</v>
      </c>
      <c r="M49"/>
      <c r="T49" s="57"/>
    </row>
    <row r="50" spans="1:20" ht="31.5" x14ac:dyDescent="0.25">
      <c r="A50" s="43" t="s">
        <v>7</v>
      </c>
      <c r="B50" s="39">
        <v>326</v>
      </c>
      <c r="C50" s="24">
        <f>N23</f>
        <v>334.28571428571428</v>
      </c>
      <c r="D50" s="75">
        <f t="shared" si="42"/>
        <v>2.4786324786324809E-2</v>
      </c>
      <c r="E50" s="45">
        <f t="shared" si="41"/>
        <v>1.0254163014899211</v>
      </c>
      <c r="F50" s="41" t="s">
        <v>24</v>
      </c>
      <c r="G50" s="25">
        <f t="shared" si="43"/>
        <v>167</v>
      </c>
      <c r="H50" s="25">
        <v>165</v>
      </c>
      <c r="I50" s="26">
        <f t="shared" si="44"/>
        <v>-1.2121212121212199E-2</v>
      </c>
      <c r="J50" s="58"/>
      <c r="K50" s="42" t="s">
        <v>7</v>
      </c>
      <c r="L50" s="22" t="s">
        <v>24</v>
      </c>
      <c r="M50"/>
      <c r="T50" s="57"/>
    </row>
    <row r="51" spans="1:20" ht="31.5" x14ac:dyDescent="0.25">
      <c r="A51" s="43" t="s">
        <v>46</v>
      </c>
      <c r="B51" s="39">
        <v>492</v>
      </c>
      <c r="C51" s="24">
        <f>N24</f>
        <v>484.61538461538464</v>
      </c>
      <c r="D51" s="75">
        <f t="shared" si="42"/>
        <v>-1.5238095238095273E-2</v>
      </c>
      <c r="E51" s="45">
        <f t="shared" si="41"/>
        <v>0.98499061913696062</v>
      </c>
      <c r="F51" s="41" t="s">
        <v>33</v>
      </c>
      <c r="G51" s="25">
        <f t="shared" si="43"/>
        <v>242</v>
      </c>
      <c r="H51" s="25">
        <v>237</v>
      </c>
      <c r="I51" s="26">
        <f t="shared" si="44"/>
        <v>-2.1097046413502074E-2</v>
      </c>
      <c r="J51" s="58"/>
      <c r="K51" s="42" t="s">
        <v>46</v>
      </c>
      <c r="L51" s="22" t="s">
        <v>33</v>
      </c>
      <c r="M51"/>
      <c r="T51" s="57"/>
    </row>
    <row r="52" spans="1:20" ht="31.5" x14ac:dyDescent="0.25">
      <c r="A52" s="43" t="s">
        <v>48</v>
      </c>
      <c r="B52" s="39">
        <v>487</v>
      </c>
      <c r="C52" s="24">
        <f>N25</f>
        <v>484.61538461538464</v>
      </c>
      <c r="D52" s="75">
        <f t="shared" si="42"/>
        <v>-4.9206349206347699E-3</v>
      </c>
      <c r="E52" s="45">
        <f t="shared" si="41"/>
        <v>0.99510345916916765</v>
      </c>
      <c r="F52" s="41" t="s">
        <v>34</v>
      </c>
      <c r="G52" s="25">
        <f t="shared" si="43"/>
        <v>242</v>
      </c>
      <c r="H52" s="25">
        <v>237</v>
      </c>
      <c r="I52" s="26">
        <f t="shared" si="44"/>
        <v>-2.1097046413502074E-2</v>
      </c>
      <c r="J52" s="58"/>
      <c r="K52" s="42" t="s">
        <v>48</v>
      </c>
      <c r="L52" s="22" t="s">
        <v>34</v>
      </c>
      <c r="M52"/>
      <c r="T52" s="57"/>
    </row>
    <row r="53" spans="1:20" ht="31.5" x14ac:dyDescent="0.25">
      <c r="A53" s="43" t="s">
        <v>47</v>
      </c>
      <c r="B53" s="39">
        <v>496</v>
      </c>
      <c r="C53" s="24">
        <f>N26</f>
        <v>484.61538461538464</v>
      </c>
      <c r="D53" s="75">
        <f t="shared" si="42"/>
        <v>-2.3492063492063453E-2</v>
      </c>
      <c r="E53" s="45">
        <f t="shared" si="41"/>
        <v>0.9770471464019852</v>
      </c>
      <c r="F53" s="41" t="s">
        <v>35</v>
      </c>
      <c r="G53" s="25">
        <f t="shared" si="43"/>
        <v>242</v>
      </c>
      <c r="H53" s="25">
        <v>237</v>
      </c>
      <c r="I53" s="26">
        <f t="shared" si="44"/>
        <v>-2.1097046413502074E-2</v>
      </c>
      <c r="J53" s="58"/>
      <c r="K53" s="42" t="s">
        <v>47</v>
      </c>
      <c r="L53" s="22" t="s">
        <v>35</v>
      </c>
      <c r="M53"/>
      <c r="T53" s="57"/>
    </row>
    <row r="54" spans="1:20" ht="31.5" x14ac:dyDescent="0.25">
      <c r="A54" s="43" t="s">
        <v>49</v>
      </c>
      <c r="B54" s="39">
        <v>492</v>
      </c>
      <c r="C54" s="24">
        <f>N27</f>
        <v>484.61538461538464</v>
      </c>
      <c r="D54" s="75">
        <f t="shared" si="42"/>
        <v>-1.5238095238095273E-2</v>
      </c>
      <c r="E54" s="45">
        <f t="shared" si="41"/>
        <v>0.98499061913696062</v>
      </c>
      <c r="F54" s="41" t="s">
        <v>36</v>
      </c>
      <c r="G54" s="25">
        <f t="shared" si="43"/>
        <v>242</v>
      </c>
      <c r="H54" s="25">
        <v>237</v>
      </c>
      <c r="I54" s="26">
        <f t="shared" si="44"/>
        <v>-2.1097046413502074E-2</v>
      </c>
      <c r="J54" s="58"/>
      <c r="K54" s="42" t="s">
        <v>49</v>
      </c>
      <c r="L54" s="22" t="s">
        <v>36</v>
      </c>
      <c r="M54"/>
      <c r="T54" s="57"/>
    </row>
    <row r="55" spans="1:20" ht="31.5" x14ac:dyDescent="0.25">
      <c r="A55" s="43" t="s">
        <v>53</v>
      </c>
      <c r="B55" s="39">
        <v>34</v>
      </c>
      <c r="C55" s="24">
        <f>N28</f>
        <v>34.285714285714292</v>
      </c>
      <c r="D55" s="75">
        <f t="shared" si="42"/>
        <v>8.3333333333335258E-3</v>
      </c>
      <c r="E55" s="45">
        <f t="shared" si="41"/>
        <v>1.008403361344538</v>
      </c>
      <c r="F55" s="41" t="s">
        <v>27</v>
      </c>
      <c r="G55" s="25">
        <f t="shared" si="43"/>
        <v>17</v>
      </c>
      <c r="H55" s="25">
        <v>18</v>
      </c>
      <c r="I55" s="26">
        <f t="shared" si="44"/>
        <v>5.555555555555558E-2</v>
      </c>
      <c r="J55" s="58"/>
      <c r="K55" s="42" t="s">
        <v>53</v>
      </c>
      <c r="L55" s="22" t="s">
        <v>27</v>
      </c>
      <c r="M55"/>
      <c r="T55" s="57"/>
    </row>
    <row r="56" spans="1:20" ht="31.5" x14ac:dyDescent="0.25">
      <c r="A56" s="43" t="s">
        <v>50</v>
      </c>
      <c r="B56" s="39">
        <v>463</v>
      </c>
      <c r="C56" s="24">
        <f>N29</f>
        <v>484.61538461538464</v>
      </c>
      <c r="D56" s="75">
        <f t="shared" si="42"/>
        <v>4.4603174603174645E-2</v>
      </c>
      <c r="E56" s="45">
        <f t="shared" si="41"/>
        <v>1.0466854959295564</v>
      </c>
      <c r="F56" s="41" t="s">
        <v>37</v>
      </c>
      <c r="G56" s="25">
        <f t="shared" si="43"/>
        <v>242</v>
      </c>
      <c r="H56" s="25">
        <v>237</v>
      </c>
      <c r="I56" s="26">
        <f t="shared" si="44"/>
        <v>-2.1097046413502074E-2</v>
      </c>
      <c r="J56" s="58"/>
      <c r="K56" s="42" t="s">
        <v>50</v>
      </c>
      <c r="L56" s="22" t="s">
        <v>37</v>
      </c>
      <c r="M56"/>
      <c r="T56" s="57"/>
    </row>
    <row r="57" spans="1:20" x14ac:dyDescent="0.25">
      <c r="A57" s="43" t="s">
        <v>1</v>
      </c>
      <c r="B57" s="39">
        <v>563</v>
      </c>
      <c r="C57" s="24">
        <f>N30</f>
        <v>553.1868131868132</v>
      </c>
      <c r="D57" s="75">
        <f t="shared" si="42"/>
        <v>-1.7739372268573694E-2</v>
      </c>
      <c r="E57" s="45">
        <f t="shared" si="41"/>
        <v>0.98256982804052073</v>
      </c>
      <c r="F57" s="41" t="s">
        <v>25</v>
      </c>
      <c r="G57" s="25">
        <f t="shared" si="43"/>
        <v>277</v>
      </c>
      <c r="H57" s="25">
        <v>273</v>
      </c>
      <c r="I57" s="26">
        <f t="shared" si="44"/>
        <v>-1.46520146520146E-2</v>
      </c>
      <c r="J57" s="58"/>
      <c r="K57" s="42" t="s">
        <v>1</v>
      </c>
      <c r="L57" s="22" t="s">
        <v>25</v>
      </c>
      <c r="M57"/>
      <c r="T57" s="57"/>
    </row>
    <row r="58" spans="1:20" x14ac:dyDescent="0.25">
      <c r="A58" s="43" t="s">
        <v>0</v>
      </c>
      <c r="B58" s="39">
        <v>217</v>
      </c>
      <c r="C58" s="24">
        <f>N31</f>
        <v>218.90109890109892</v>
      </c>
      <c r="D58" s="75">
        <f t="shared" si="42"/>
        <v>8.6847389558233345E-3</v>
      </c>
      <c r="E58" s="45">
        <f t="shared" si="41"/>
        <v>1.0087608244290274</v>
      </c>
      <c r="F58" s="41" t="s">
        <v>26</v>
      </c>
      <c r="G58" s="25">
        <f t="shared" si="43"/>
        <v>109</v>
      </c>
      <c r="H58" s="25">
        <v>108</v>
      </c>
      <c r="I58" s="26">
        <f t="shared" si="44"/>
        <v>-9.2592592592593004E-3</v>
      </c>
      <c r="J58" s="58"/>
      <c r="K58" s="42" t="s">
        <v>0</v>
      </c>
      <c r="L58" s="22" t="s">
        <v>26</v>
      </c>
      <c r="M58"/>
      <c r="T58" s="57"/>
    </row>
    <row r="59" spans="1:20" x14ac:dyDescent="0.25">
      <c r="A59" s="28" t="s">
        <v>15</v>
      </c>
      <c r="B59" s="29">
        <f>SUM(B46:B58)</f>
        <v>8838</v>
      </c>
      <c r="C59" s="30">
        <f>SUM(C46:C58)</f>
        <v>8709.2307692307713</v>
      </c>
      <c r="D59" s="31">
        <f t="shared" ref="D59" si="45">1-B59/C59</f>
        <v>-1.4785373608902752E-2</v>
      </c>
      <c r="E59" s="46">
        <f t="shared" si="41"/>
        <v>0.98543004856650507</v>
      </c>
      <c r="F59" s="28" t="s">
        <v>15</v>
      </c>
      <c r="G59" s="32">
        <f>SUM(G46:G58)</f>
        <v>4353</v>
      </c>
      <c r="H59" s="33">
        <f>SUM(H46:H58)</f>
        <v>4311</v>
      </c>
      <c r="I59" s="34">
        <f>1-G59/H59</f>
        <v>-9.7425191370912323E-3</v>
      </c>
      <c r="J59" s="27"/>
      <c r="N59" s="1"/>
      <c r="O59" s="1"/>
    </row>
    <row r="60" spans="1:20" x14ac:dyDescent="0.25">
      <c r="I60" s="35"/>
      <c r="J60" s="27"/>
      <c r="N60" s="1"/>
      <c r="O60" s="1"/>
    </row>
    <row r="61" spans="1:20" x14ac:dyDescent="0.25">
      <c r="A61" s="63"/>
      <c r="B61" s="63"/>
      <c r="C61" s="63"/>
      <c r="D61" s="63"/>
      <c r="E61" s="63"/>
      <c r="F61" s="63"/>
      <c r="G61" s="63"/>
      <c r="H61" s="63"/>
      <c r="I61" s="63"/>
    </row>
    <row r="62" spans="1:20" x14ac:dyDescent="0.25">
      <c r="A62" s="36"/>
      <c r="B62" s="36"/>
      <c r="C62" s="36"/>
      <c r="D62" s="36"/>
      <c r="E62" s="36"/>
      <c r="F62" s="36"/>
      <c r="G62" s="36"/>
      <c r="H62" s="36"/>
      <c r="I62" s="36"/>
    </row>
    <row r="63" spans="1:20" x14ac:dyDescent="0.25">
      <c r="A63" s="37"/>
      <c r="B63" s="38"/>
      <c r="C63" s="38"/>
      <c r="D63" s="38"/>
      <c r="E63" s="38"/>
      <c r="F63" s="38"/>
      <c r="G63" s="38"/>
      <c r="H63" s="38"/>
      <c r="I63" s="38"/>
    </row>
    <row r="64" spans="1:20" x14ac:dyDescent="0.25">
      <c r="A64" s="37"/>
      <c r="B64" s="38"/>
      <c r="C64" s="38"/>
      <c r="D64" s="38"/>
      <c r="E64" s="38"/>
      <c r="F64" s="38"/>
      <c r="G64" s="38"/>
      <c r="H64" s="38"/>
      <c r="I64" s="38"/>
    </row>
    <row r="65" spans="1:9" x14ac:dyDescent="0.25">
      <c r="A65" s="37"/>
      <c r="B65" s="38"/>
      <c r="C65" s="38"/>
      <c r="D65" s="38"/>
      <c r="E65" s="38"/>
      <c r="F65" s="38"/>
      <c r="G65" s="38"/>
      <c r="H65" s="38"/>
      <c r="I65" s="38"/>
    </row>
    <row r="66" spans="1:9" x14ac:dyDescent="0.25">
      <c r="A66" s="37"/>
      <c r="B66" s="38"/>
      <c r="C66" s="38"/>
      <c r="D66" s="38"/>
      <c r="E66" s="38"/>
      <c r="F66" s="38"/>
      <c r="G66" s="38"/>
      <c r="H66" s="38"/>
      <c r="I66" s="38"/>
    </row>
    <row r="67" spans="1:9" x14ac:dyDescent="0.25">
      <c r="A67" s="37"/>
      <c r="B67" s="38"/>
      <c r="C67" s="38"/>
      <c r="D67" s="38"/>
      <c r="E67" s="38"/>
      <c r="F67" s="38"/>
      <c r="G67" s="38"/>
      <c r="H67" s="38"/>
      <c r="I67" s="38"/>
    </row>
    <row r="68" spans="1:9" x14ac:dyDescent="0.25">
      <c r="A68" s="37"/>
      <c r="B68" s="38"/>
      <c r="C68" s="38"/>
      <c r="D68" s="38"/>
      <c r="E68" s="38"/>
      <c r="F68" s="38"/>
      <c r="G68" s="38"/>
      <c r="H68" s="38"/>
      <c r="I68" s="38"/>
    </row>
    <row r="69" spans="1:9" x14ac:dyDescent="0.25">
      <c r="A69" s="37"/>
      <c r="B69" s="38"/>
      <c r="C69" s="38"/>
      <c r="D69" s="38"/>
      <c r="E69" s="38"/>
      <c r="F69" s="38"/>
      <c r="G69" s="38"/>
      <c r="H69" s="38"/>
      <c r="I69" s="38"/>
    </row>
    <row r="70" spans="1:9" x14ac:dyDescent="0.25">
      <c r="A70" s="37"/>
      <c r="B70" s="38"/>
      <c r="C70" s="38"/>
      <c r="D70" s="38"/>
      <c r="E70" s="38"/>
      <c r="F70" s="38"/>
      <c r="G70" s="38"/>
      <c r="H70" s="38"/>
      <c r="I70" s="38"/>
    </row>
    <row r="71" spans="1:9" x14ac:dyDescent="0.25">
      <c r="A71" s="37"/>
      <c r="B71" s="38"/>
      <c r="C71" s="38"/>
      <c r="D71" s="38"/>
      <c r="E71" s="38"/>
      <c r="F71" s="38"/>
      <c r="G71" s="38"/>
      <c r="H71" s="38"/>
      <c r="I71" s="38"/>
    </row>
    <row r="72" spans="1:9" x14ac:dyDescent="0.25">
      <c r="A72" s="37"/>
      <c r="B72" s="38"/>
      <c r="C72" s="38"/>
      <c r="D72" s="38"/>
      <c r="E72" s="38"/>
      <c r="F72" s="38"/>
      <c r="G72" s="38"/>
      <c r="H72" s="38"/>
      <c r="I72" s="38"/>
    </row>
    <row r="73" spans="1:9" x14ac:dyDescent="0.25">
      <c r="A73" s="37"/>
      <c r="B73" s="38"/>
      <c r="C73" s="38"/>
      <c r="D73" s="38"/>
      <c r="E73" s="38"/>
      <c r="F73" s="38"/>
      <c r="G73" s="38"/>
      <c r="H73" s="38"/>
      <c r="I73" s="38"/>
    </row>
    <row r="74" spans="1:9" x14ac:dyDescent="0.25">
      <c r="A74" s="37"/>
      <c r="B74" s="38"/>
      <c r="C74" s="38"/>
      <c r="D74" s="38"/>
      <c r="E74" s="38"/>
      <c r="F74" s="38"/>
      <c r="G74" s="38"/>
      <c r="H74" s="38"/>
      <c r="I74" s="38"/>
    </row>
    <row r="75" spans="1:9" x14ac:dyDescent="0.25">
      <c r="A75" s="37"/>
      <c r="B75" s="38"/>
      <c r="C75" s="38"/>
      <c r="D75" s="38"/>
      <c r="E75" s="38"/>
      <c r="F75" s="38"/>
      <c r="G75" s="38"/>
      <c r="H75" s="38"/>
      <c r="I75" s="38"/>
    </row>
    <row r="76" spans="1:9" x14ac:dyDescent="0.25">
      <c r="A76" s="37"/>
      <c r="B76" s="38"/>
      <c r="C76" s="38"/>
      <c r="D76" s="38"/>
      <c r="E76" s="38"/>
      <c r="F76" s="38"/>
      <c r="G76" s="38"/>
      <c r="H76" s="38"/>
      <c r="I76" s="38"/>
    </row>
    <row r="77" spans="1:9" x14ac:dyDescent="0.25">
      <c r="A77" s="37"/>
      <c r="B77" s="38"/>
      <c r="C77" s="38"/>
      <c r="D77" s="38"/>
      <c r="E77" s="38"/>
      <c r="F77" s="38"/>
      <c r="G77" s="38"/>
      <c r="H77" s="38"/>
      <c r="I77" s="38"/>
    </row>
  </sheetData>
  <mergeCells count="4">
    <mergeCell ref="A44:B44"/>
    <mergeCell ref="C44:E44"/>
    <mergeCell ref="A61:I61"/>
    <mergeCell ref="F44:I44"/>
  </mergeCells>
  <phoneticPr fontId="6" type="noConversion"/>
  <hyperlinks>
    <hyperlink ref="A79" display="vuser_init_Transaction" xr:uid="{21F8BBB1-0454-47F9-B3C8-5EE4C939725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9C6E-FBDB-4380-A8CD-C972EE53EF18}">
  <dimension ref="A1:N33"/>
  <sheetViews>
    <sheetView topLeftCell="A7" workbookViewId="0">
      <selection activeCell="D27" sqref="D27"/>
    </sheetView>
  </sheetViews>
  <sheetFormatPr defaultRowHeight="15" x14ac:dyDescent="0.25"/>
  <cols>
    <col min="1" max="1" width="33.28515625" customWidth="1"/>
    <col min="2" max="2" width="22.140625" customWidth="1"/>
    <col min="3" max="12" width="17.140625" style="48" customWidth="1"/>
    <col min="13" max="13" width="17.140625" customWidth="1"/>
  </cols>
  <sheetData>
    <row r="1" spans="1:14" ht="33" customHeight="1" x14ac:dyDescent="0.25">
      <c r="A1" s="67" t="s">
        <v>58</v>
      </c>
      <c r="B1" s="67" t="s">
        <v>59</v>
      </c>
      <c r="C1" s="65" t="s">
        <v>57</v>
      </c>
      <c r="D1" s="66"/>
      <c r="E1" s="65" t="s">
        <v>62</v>
      </c>
      <c r="F1" s="66"/>
      <c r="G1" s="65" t="s">
        <v>63</v>
      </c>
      <c r="H1" s="66"/>
      <c r="I1" s="65" t="s">
        <v>64</v>
      </c>
      <c r="J1" s="66"/>
      <c r="K1" s="65" t="s">
        <v>65</v>
      </c>
      <c r="L1" s="66"/>
    </row>
    <row r="2" spans="1:14" ht="16.5" customHeight="1" x14ac:dyDescent="0.25">
      <c r="A2" s="68"/>
      <c r="B2" s="68"/>
      <c r="C2" s="2" t="s">
        <v>60</v>
      </c>
      <c r="D2" s="2" t="s">
        <v>61</v>
      </c>
      <c r="E2" s="2" t="s">
        <v>60</v>
      </c>
      <c r="F2" s="2" t="s">
        <v>61</v>
      </c>
      <c r="G2" s="2" t="s">
        <v>60</v>
      </c>
      <c r="H2" s="2" t="s">
        <v>61</v>
      </c>
      <c r="I2" s="2" t="s">
        <v>60</v>
      </c>
      <c r="J2" s="2" t="s">
        <v>61</v>
      </c>
      <c r="K2" s="2" t="s">
        <v>60</v>
      </c>
      <c r="L2" s="2" t="s">
        <v>61</v>
      </c>
    </row>
    <row r="3" spans="1:14" ht="16.5" customHeight="1" x14ac:dyDescent="0.25">
      <c r="A3" s="42" t="s">
        <v>42</v>
      </c>
      <c r="B3" s="22" t="s">
        <v>23</v>
      </c>
      <c r="C3" s="47">
        <f>COUNTIF('Автоматизированный расчет'!$B$2:$B$40,B3)</f>
        <v>4</v>
      </c>
      <c r="D3" s="47">
        <v>937</v>
      </c>
      <c r="E3" s="47">
        <f>COUNTIF('Автоматизированный расчет'!$B$2:$B$8,$B3)</f>
        <v>1</v>
      </c>
      <c r="F3" s="47">
        <f>COUNTIF('Автоматизированный расчет'!$B$2:$B$8,$B3)*$B$18</f>
        <v>35</v>
      </c>
      <c r="G3" s="47">
        <f>COUNTIF('Автоматизированный расчет'!$B$10:$B$17,$B3)</f>
        <v>1</v>
      </c>
      <c r="H3" s="47">
        <f>COUNTIF('Автоматизированный расчет'!$B$10:$B$17,$B3)*$C$18</f>
        <v>425</v>
      </c>
      <c r="I3" s="47">
        <f>COUNTIF('Автоматизированный расчет'!$B$19:$B$29,$B3)</f>
        <v>1</v>
      </c>
      <c r="J3" s="47">
        <f>COUNTIF('Автоматизированный расчет'!$B$19:$B$29,$B3)*$D$18</f>
        <v>298</v>
      </c>
      <c r="K3" s="47">
        <f>COUNTIF('Автоматизированный расчет'!$B$31:$B$40,$B3)</f>
        <v>1</v>
      </c>
      <c r="L3" s="47">
        <f>COUNTIF('Автоматизированный расчет'!$B$31:$B$40,$B3)*$E$18</f>
        <v>184</v>
      </c>
      <c r="N3" s="40"/>
    </row>
    <row r="4" spans="1:14" ht="16.5" customHeight="1" x14ac:dyDescent="0.25">
      <c r="A4" s="42" t="s">
        <v>44</v>
      </c>
      <c r="B4" s="22" t="s">
        <v>30</v>
      </c>
      <c r="C4" s="47">
        <f>COUNTIF('Автоматизированный расчет'!$B$2:$B$40,B4)</f>
        <v>4</v>
      </c>
      <c r="D4" s="47">
        <v>1343</v>
      </c>
      <c r="E4" s="47">
        <f>COUNTIF('Автоматизированный расчет'!$B$2:$B$8,$B4)</f>
        <v>0</v>
      </c>
      <c r="F4" s="47">
        <f>COUNTIF('Автоматизированный расчет'!$B$2:$B$8,$B4)*$B$18</f>
        <v>0</v>
      </c>
      <c r="G4" s="47">
        <f>COUNTIF('Автоматизированный расчет'!$B$10:$B$17,$B4)</f>
        <v>2</v>
      </c>
      <c r="H4" s="47">
        <f>COUNTIF('Автоматизированный расчет'!$B$10:$B$17,$B4)*$C$18</f>
        <v>850</v>
      </c>
      <c r="I4" s="47">
        <f>COUNTIF('Автоматизированный расчет'!$B$19:$B$29,$B4)</f>
        <v>1</v>
      </c>
      <c r="J4" s="47">
        <f>COUNTIF('Автоматизированный расчет'!$B$19:$B$29,$B4)*$D$18</f>
        <v>298</v>
      </c>
      <c r="K4" s="47">
        <f>COUNTIF('Автоматизированный расчет'!$B$31:$B$40,$B4)</f>
        <v>1</v>
      </c>
      <c r="L4" s="47">
        <f>COUNTIF('Автоматизированный расчет'!$B$31:$B$40,$B4)*$E$18</f>
        <v>184</v>
      </c>
      <c r="N4" s="40"/>
    </row>
    <row r="5" spans="1:14" ht="16.5" customHeight="1" x14ac:dyDescent="0.25">
      <c r="A5" s="42" t="s">
        <v>43</v>
      </c>
      <c r="B5" s="22" t="s">
        <v>31</v>
      </c>
      <c r="C5" s="47">
        <f>COUNTIF('Автоматизированный расчет'!$B$2:$B$40,B5)</f>
        <v>7</v>
      </c>
      <c r="D5" s="47">
        <v>2638</v>
      </c>
      <c r="E5" s="47">
        <f>COUNTIF('Автоматизированный расчет'!$B$2:$B$8,$B5)</f>
        <v>0</v>
      </c>
      <c r="F5" s="47">
        <f>COUNTIF('Автоматизированный расчет'!$B$2:$B$8,$B5)*$B$18</f>
        <v>0</v>
      </c>
      <c r="G5" s="47">
        <f>COUNTIF('Автоматизированный расчет'!$B$10:$B$17,$B5)</f>
        <v>5</v>
      </c>
      <c r="H5" s="47">
        <f>COUNTIF('Автоматизированный расчет'!$B$10:$B$17,$B5)*$C$18</f>
        <v>2125</v>
      </c>
      <c r="I5" s="47">
        <f>COUNTIF('Автоматизированный расчет'!$B$19:$B$29,$B5)</f>
        <v>1</v>
      </c>
      <c r="J5" s="47">
        <f>COUNTIF('Автоматизированный расчет'!$B$19:$B$29,$B5)*$D$18</f>
        <v>298</v>
      </c>
      <c r="K5" s="47">
        <f>COUNTIF('Автоматизированный расчет'!$B$31:$B$40,$B5)</f>
        <v>1</v>
      </c>
      <c r="L5" s="47">
        <f>COUNTIF('Автоматизированный расчет'!$B$31:$B$40,$B5)*$E$18</f>
        <v>184</v>
      </c>
      <c r="N5" s="40"/>
    </row>
    <row r="6" spans="1:14" ht="16.5" customHeight="1" x14ac:dyDescent="0.25">
      <c r="A6" s="42" t="s">
        <v>45</v>
      </c>
      <c r="B6" s="22" t="s">
        <v>32</v>
      </c>
      <c r="C6" s="47">
        <f>COUNTIF('Автоматизированный расчет'!$B$2:$B$40,B6)</f>
        <v>2</v>
      </c>
      <c r="D6" s="47">
        <v>350</v>
      </c>
      <c r="E6" s="47">
        <f>COUNTIF('Автоматизированный расчет'!$B$2:$B$8,$B6)</f>
        <v>1</v>
      </c>
      <c r="F6" s="47">
        <f>COUNTIF('Автоматизированный расчет'!$B$2:$B$8,$B6)*$B$18</f>
        <v>35</v>
      </c>
      <c r="G6" s="47">
        <f>COUNTIF('Автоматизированный расчет'!$B$10:$B$17,$B6)</f>
        <v>0</v>
      </c>
      <c r="H6" s="47">
        <f>COUNTIF('Автоматизированный расчет'!$B$10:$B$17,$B6)*$C$18</f>
        <v>0</v>
      </c>
      <c r="I6" s="47">
        <f>COUNTIF('Автоматизированный расчет'!$B$19:$B$29,$B6)</f>
        <v>1</v>
      </c>
      <c r="J6" s="47">
        <f>COUNTIF('Автоматизированный расчет'!$B$19:$B$29,$B6)*$D$18</f>
        <v>298</v>
      </c>
      <c r="K6" s="47">
        <f>COUNTIF('Автоматизированный расчет'!$B$31:$B$40,$B6)</f>
        <v>0</v>
      </c>
      <c r="L6" s="47">
        <f>COUNTIF('Автоматизированный расчет'!$B$31:$B$40,$B6)*$E$18</f>
        <v>0</v>
      </c>
      <c r="N6" s="40"/>
    </row>
    <row r="7" spans="1:14" ht="16.5" customHeight="1" x14ac:dyDescent="0.25">
      <c r="A7" s="42" t="s">
        <v>7</v>
      </c>
      <c r="B7" s="22" t="s">
        <v>24</v>
      </c>
      <c r="C7" s="47">
        <f>COUNTIF('Автоматизированный расчет'!$B$2:$B$40,B7)</f>
        <v>2</v>
      </c>
      <c r="D7" s="47">
        <v>326</v>
      </c>
      <c r="E7" s="47">
        <f>COUNTIF('Автоматизированный расчет'!$B$2:$B$8,$B7)</f>
        <v>1</v>
      </c>
      <c r="F7" s="47">
        <f>COUNTIF('Автоматизированный расчет'!$B$2:$B$8,$B7)*$B$18</f>
        <v>35</v>
      </c>
      <c r="G7" s="47">
        <f>COUNTIF('Автоматизированный расчет'!$B$10:$B$17,$B7)</f>
        <v>0</v>
      </c>
      <c r="H7" s="47">
        <f>COUNTIF('Автоматизированный расчет'!$B$10:$B$17,$B7)*$C$18</f>
        <v>0</v>
      </c>
      <c r="I7" s="47">
        <f>COUNTIF('Автоматизированный расчет'!$B$19:$B$29,$B7)</f>
        <v>1</v>
      </c>
      <c r="J7" s="47">
        <f>COUNTIF('Автоматизированный расчет'!$B$19:$B$29,$B7)*$D$18</f>
        <v>298</v>
      </c>
      <c r="K7" s="47">
        <f>COUNTIF('Автоматизированный расчет'!$B$31:$B$40,$B7)</f>
        <v>0</v>
      </c>
      <c r="L7" s="47">
        <f>COUNTIF('Автоматизированный расчет'!$B$31:$B$40,$B7)*$E$18</f>
        <v>0</v>
      </c>
      <c r="N7" s="40"/>
    </row>
    <row r="8" spans="1:14" ht="16.5" customHeight="1" x14ac:dyDescent="0.25">
      <c r="A8" s="42" t="s">
        <v>46</v>
      </c>
      <c r="B8" s="22" t="s">
        <v>33</v>
      </c>
      <c r="C8" s="47">
        <f>COUNTIF('Автоматизированный расчет'!$B$2:$B$40,B8)</f>
        <v>2</v>
      </c>
      <c r="D8" s="47">
        <v>492</v>
      </c>
      <c r="E8" s="47">
        <f>COUNTIF('Автоматизированный расчет'!$B$2:$B$8,$B8)</f>
        <v>0</v>
      </c>
      <c r="F8" s="47">
        <f>COUNTIF('Автоматизированный расчет'!$B$2:$B$8,$B8)*$B$18</f>
        <v>0</v>
      </c>
      <c r="G8" s="47">
        <f>COUNTIF('Автоматизированный расчет'!$B$10:$B$17,$B8)</f>
        <v>0</v>
      </c>
      <c r="H8" s="47">
        <f>COUNTIF('Автоматизированный расчет'!$B$10:$B$17,$B8)*$C$18</f>
        <v>0</v>
      </c>
      <c r="I8" s="47">
        <f>COUNTIF('Автоматизированный расчет'!$B$19:$B$29,$B8)</f>
        <v>1</v>
      </c>
      <c r="J8" s="47">
        <f>COUNTIF('Автоматизированный расчет'!$B$19:$B$29,$B8)*$D$18</f>
        <v>298</v>
      </c>
      <c r="K8" s="47">
        <f>COUNTIF('Автоматизированный расчет'!$B$31:$B$40,$B8)</f>
        <v>1</v>
      </c>
      <c r="L8" s="47">
        <f>COUNTIF('Автоматизированный расчет'!$B$31:$B$40,$B8)*$E$18</f>
        <v>184</v>
      </c>
      <c r="N8" s="40"/>
    </row>
    <row r="9" spans="1:14" ht="16.5" customHeight="1" x14ac:dyDescent="0.25">
      <c r="A9" s="42" t="s">
        <v>48</v>
      </c>
      <c r="B9" s="22" t="s">
        <v>34</v>
      </c>
      <c r="C9" s="47">
        <f>COUNTIF('Автоматизированный расчет'!$B$2:$B$40,B9)</f>
        <v>2</v>
      </c>
      <c r="D9" s="47">
        <v>487</v>
      </c>
      <c r="E9" s="47">
        <f>COUNTIF('Автоматизированный расчет'!$B$2:$B$8,$B9)</f>
        <v>0</v>
      </c>
      <c r="F9" s="47">
        <f>COUNTIF('Автоматизированный расчет'!$B$2:$B$8,$B9)*$B$18</f>
        <v>0</v>
      </c>
      <c r="G9" s="47">
        <f>COUNTIF('Автоматизированный расчет'!$B$10:$B$17,$B9)</f>
        <v>0</v>
      </c>
      <c r="H9" s="47">
        <f>COUNTIF('Автоматизированный расчет'!$B$10:$B$17,$B9)*$C$18</f>
        <v>0</v>
      </c>
      <c r="I9" s="47">
        <f>COUNTIF('Автоматизированный расчет'!$B$19:$B$29,$B9)</f>
        <v>1</v>
      </c>
      <c r="J9" s="47">
        <f>COUNTIF('Автоматизированный расчет'!$B$19:$B$29,$B9)*$D$18</f>
        <v>298</v>
      </c>
      <c r="K9" s="47">
        <f>COUNTIF('Автоматизированный расчет'!$B$31:$B$40,$B9)</f>
        <v>1</v>
      </c>
      <c r="L9" s="47">
        <f>COUNTIF('Автоматизированный расчет'!$B$31:$B$40,$B9)*$E$18</f>
        <v>184</v>
      </c>
      <c r="N9" s="40"/>
    </row>
    <row r="10" spans="1:14" ht="16.5" customHeight="1" x14ac:dyDescent="0.25">
      <c r="A10" s="42" t="s">
        <v>47</v>
      </c>
      <c r="B10" s="22" t="s">
        <v>35</v>
      </c>
      <c r="C10" s="47">
        <f>COUNTIF('Автоматизированный расчет'!$B$2:$B$40,B10)</f>
        <v>2</v>
      </c>
      <c r="D10" s="47">
        <v>496</v>
      </c>
      <c r="E10" s="47">
        <f>COUNTIF('Автоматизированный расчет'!$B$2:$B$8,$B10)</f>
        <v>0</v>
      </c>
      <c r="F10" s="47">
        <f>COUNTIF('Автоматизированный расчет'!$B$2:$B$8,$B10)*$B$18</f>
        <v>0</v>
      </c>
      <c r="G10" s="47">
        <f>COUNTIF('Автоматизированный расчет'!$B$10:$B$17,$B10)</f>
        <v>0</v>
      </c>
      <c r="H10" s="47">
        <f>COUNTIF('Автоматизированный расчет'!$B$10:$B$17,$B10)*$C$18</f>
        <v>0</v>
      </c>
      <c r="I10" s="47">
        <f>COUNTIF('Автоматизированный расчет'!$B$19:$B$29,$B10)</f>
        <v>1</v>
      </c>
      <c r="J10" s="47">
        <f>COUNTIF('Автоматизированный расчет'!$B$19:$B$29,$B10)*$D$18</f>
        <v>298</v>
      </c>
      <c r="K10" s="47">
        <f>COUNTIF('Автоматизированный расчет'!$B$31:$B$40,$B10)</f>
        <v>1</v>
      </c>
      <c r="L10" s="47">
        <f>COUNTIF('Автоматизированный расчет'!$B$31:$B$40,$B10)*$E$18</f>
        <v>184</v>
      </c>
      <c r="N10" s="40"/>
    </row>
    <row r="11" spans="1:14" ht="16.5" customHeight="1" x14ac:dyDescent="0.25">
      <c r="A11" s="42" t="s">
        <v>49</v>
      </c>
      <c r="B11" s="22" t="s">
        <v>36</v>
      </c>
      <c r="C11" s="47">
        <f>COUNTIF('Автоматизированный расчет'!$B$2:$B$40,B11)</f>
        <v>2</v>
      </c>
      <c r="D11" s="47">
        <v>492</v>
      </c>
      <c r="E11" s="47">
        <f>COUNTIF('Автоматизированный расчет'!$B$2:$B$8,$B11)</f>
        <v>0</v>
      </c>
      <c r="F11" s="47">
        <f>COUNTIF('Автоматизированный расчет'!$B$2:$B$8,$B11)*$B$18</f>
        <v>0</v>
      </c>
      <c r="G11" s="47">
        <f>COUNTIF('Автоматизированный расчет'!$B$10:$B$17,$B11)</f>
        <v>0</v>
      </c>
      <c r="H11" s="47">
        <f>COUNTIF('Автоматизированный расчет'!$B$10:$B$17,$B11)*$C$18</f>
        <v>0</v>
      </c>
      <c r="I11" s="47">
        <f>COUNTIF('Автоматизированный расчет'!$B$19:$B$29,$B11)</f>
        <v>1</v>
      </c>
      <c r="J11" s="47">
        <f>COUNTIF('Автоматизированный расчет'!$B$19:$B$29,$B11)*$D$18</f>
        <v>298</v>
      </c>
      <c r="K11" s="47">
        <f>COUNTIF('Автоматизированный расчет'!$B$31:$B$40,$B11)</f>
        <v>1</v>
      </c>
      <c r="L11" s="47">
        <f>COUNTIF('Автоматизированный расчет'!$B$31:$B$40,$B11)*$E$18</f>
        <v>184</v>
      </c>
      <c r="N11" s="40"/>
    </row>
    <row r="12" spans="1:14" ht="16.5" customHeight="1" x14ac:dyDescent="0.25">
      <c r="A12" s="42" t="s">
        <v>53</v>
      </c>
      <c r="B12" s="22" t="s">
        <v>27</v>
      </c>
      <c r="C12" s="47">
        <f>COUNTIF('Автоматизированный расчет'!$B$2:$B$40,B12)</f>
        <v>1</v>
      </c>
      <c r="D12" s="47">
        <v>34</v>
      </c>
      <c r="E12" s="47">
        <f>COUNTIF('Автоматизированный расчет'!$B$2:$B$8,$B12)</f>
        <v>1</v>
      </c>
      <c r="F12" s="47">
        <f>COUNTIF('Автоматизированный расчет'!$B$2:$B$8,$B12)*$B$18</f>
        <v>35</v>
      </c>
      <c r="G12" s="47">
        <f>COUNTIF('Автоматизированный расчет'!$B$10:$B$17,$B12)</f>
        <v>0</v>
      </c>
      <c r="H12" s="47">
        <f>COUNTIF('Автоматизированный расчет'!$B$10:$B$17,$B12)*$C$18</f>
        <v>0</v>
      </c>
      <c r="I12" s="47">
        <f>COUNTIF('Автоматизированный расчет'!$B$19:$B$29,$B12)</f>
        <v>0</v>
      </c>
      <c r="J12" s="47">
        <f>COUNTIF('Автоматизированный расчет'!$B$19:$B$29,$B12)*$D$18</f>
        <v>0</v>
      </c>
      <c r="K12" s="47">
        <f>COUNTIF('Автоматизированный расчет'!$B$31:$B$40,$B12)</f>
        <v>0</v>
      </c>
      <c r="L12" s="47">
        <f>COUNTIF('Автоматизированный расчет'!$B$31:$B$40,$B12)*$E$18</f>
        <v>0</v>
      </c>
      <c r="N12" s="40"/>
    </row>
    <row r="13" spans="1:14" ht="16.5" customHeight="1" x14ac:dyDescent="0.25">
      <c r="A13" s="42" t="s">
        <v>50</v>
      </c>
      <c r="B13" s="22" t="s">
        <v>37</v>
      </c>
      <c r="C13" s="47">
        <f>COUNTIF('Автоматизированный расчет'!$B$2:$B$40,B13)</f>
        <v>2</v>
      </c>
      <c r="D13" s="47">
        <v>463</v>
      </c>
      <c r="E13" s="47">
        <f>COUNTIF('Автоматизированный расчет'!$B$2:$B$8,$B13)</f>
        <v>0</v>
      </c>
      <c r="F13" s="47">
        <f>COUNTIF('Автоматизированный расчет'!$B$2:$B$8,$B13)*$B$18</f>
        <v>0</v>
      </c>
      <c r="G13" s="47">
        <f>COUNTIF('Автоматизированный расчет'!$B$10:$B$17,$B13)</f>
        <v>0</v>
      </c>
      <c r="H13" s="47">
        <f>COUNTIF('Автоматизированный расчет'!$B$10:$B$17,$B13)*$C$18</f>
        <v>0</v>
      </c>
      <c r="I13" s="47">
        <f>COUNTIF('Автоматизированный расчет'!$B$19:$B$29,$B13)</f>
        <v>1</v>
      </c>
      <c r="J13" s="47">
        <f>COUNTIF('Автоматизированный расчет'!$B$19:$B$29,$B13)*$D$18</f>
        <v>298</v>
      </c>
      <c r="K13" s="47">
        <f>COUNTIF('Автоматизированный расчет'!$B$31:$B$40,$B13)</f>
        <v>1</v>
      </c>
      <c r="L13" s="47">
        <f>COUNTIF('Автоматизированный расчет'!$B$31:$B$40,$B13)*$E$18</f>
        <v>184</v>
      </c>
      <c r="N13" s="40"/>
    </row>
    <row r="14" spans="1:14" ht="16.5" customHeight="1" x14ac:dyDescent="0.25">
      <c r="A14" s="42" t="s">
        <v>1</v>
      </c>
      <c r="B14" s="22" t="s">
        <v>25</v>
      </c>
      <c r="C14" s="47">
        <f>COUNTIF('Автоматизированный расчет'!$B$2:$B$40,B14)</f>
        <v>4</v>
      </c>
      <c r="D14" s="47">
        <v>563</v>
      </c>
      <c r="E14" s="47">
        <f>COUNTIF('Автоматизированный расчет'!$B$2:$B$8,$B14)</f>
        <v>2</v>
      </c>
      <c r="F14" s="47">
        <f>COUNTIF('Автоматизированный расчет'!$B$2:$B$8,$B14)*$B$18</f>
        <v>70</v>
      </c>
      <c r="G14" s="47">
        <f>COUNTIF('Автоматизированный расчет'!$B$10:$B$17,$B14)</f>
        <v>0</v>
      </c>
      <c r="H14" s="47">
        <f>COUNTIF('Автоматизированный расчет'!$B$10:$B$17,$B14)*$C$18</f>
        <v>0</v>
      </c>
      <c r="I14" s="47">
        <f>COUNTIF('Автоматизированный расчет'!$B$19:$B$29,$B14)</f>
        <v>1</v>
      </c>
      <c r="J14" s="47">
        <f>COUNTIF('Автоматизированный расчет'!$B$19:$B$29,$B14)*$D$18</f>
        <v>298</v>
      </c>
      <c r="K14" s="47">
        <f>COUNTIF('Автоматизированный расчет'!$B$31:$B$40,$B14)</f>
        <v>1</v>
      </c>
      <c r="L14" s="47">
        <f>COUNTIF('Автоматизированный расчет'!$B$31:$B$40,$B14)*$E$18</f>
        <v>184</v>
      </c>
      <c r="N14" s="40"/>
    </row>
    <row r="15" spans="1:14" ht="16.5" customHeight="1" x14ac:dyDescent="0.25">
      <c r="A15" s="42" t="s">
        <v>0</v>
      </c>
      <c r="B15" s="22" t="s">
        <v>26</v>
      </c>
      <c r="C15" s="47">
        <f>COUNTIF('Автоматизированный расчет'!$B$2:$B$40,B15)</f>
        <v>2</v>
      </c>
      <c r="D15" s="47">
        <v>217</v>
      </c>
      <c r="E15" s="47">
        <f>COUNTIF('Автоматизированный расчет'!$B$2:$B$8,$B15)</f>
        <v>1</v>
      </c>
      <c r="F15" s="47">
        <f>COUNTIF('Автоматизированный расчет'!$B$2:$B$8,$B15)*$B$18</f>
        <v>35</v>
      </c>
      <c r="G15" s="47">
        <f>COUNTIF('Автоматизированный расчет'!$B$10:$B$17,$B15)</f>
        <v>0</v>
      </c>
      <c r="H15" s="47">
        <f>COUNTIF('Автоматизированный расчет'!$B$10:$B$17,$B15)*$C$18</f>
        <v>0</v>
      </c>
      <c r="I15" s="47">
        <f>COUNTIF('Автоматизированный расчет'!$B$19:$B$29,$B15)</f>
        <v>0</v>
      </c>
      <c r="J15" s="47">
        <f>COUNTIF('Автоматизированный расчет'!$B$19:$B$29,$B15)*$D$18</f>
        <v>0</v>
      </c>
      <c r="K15" s="47">
        <f>COUNTIF('Автоматизированный расчет'!$B$31:$B$40,$B15)</f>
        <v>1</v>
      </c>
      <c r="L15" s="47">
        <f>COUNTIF('Автоматизированный расчет'!$B$31:$B$40,$B15)*$E$18</f>
        <v>184</v>
      </c>
      <c r="N15" s="40"/>
    </row>
    <row r="17" spans="1:13" ht="31.5" x14ac:dyDescent="0.25">
      <c r="A17" s="59" t="s">
        <v>82</v>
      </c>
      <c r="B17" s="22" t="s">
        <v>77</v>
      </c>
      <c r="C17" s="47" t="s">
        <v>78</v>
      </c>
      <c r="D17" s="47" t="s">
        <v>79</v>
      </c>
      <c r="E17" s="47" t="s">
        <v>80</v>
      </c>
    </row>
    <row r="18" spans="1:13" ht="16.5" customHeight="1" x14ac:dyDescent="0.25">
      <c r="A18" s="2" t="s">
        <v>83</v>
      </c>
      <c r="B18" s="61">
        <v>35</v>
      </c>
      <c r="C18" s="47">
        <v>425</v>
      </c>
      <c r="D18" s="47">
        <v>298</v>
      </c>
      <c r="E18" s="47">
        <v>184</v>
      </c>
    </row>
    <row r="20" spans="1:13" ht="33" customHeight="1" x14ac:dyDescent="0.25">
      <c r="A20" s="59" t="s">
        <v>58</v>
      </c>
      <c r="B20" s="59" t="s">
        <v>59</v>
      </c>
      <c r="C20" s="59" t="s">
        <v>81</v>
      </c>
      <c r="D20" s="59" t="s">
        <v>77</v>
      </c>
      <c r="E20" s="59" t="s">
        <v>76</v>
      </c>
      <c r="F20" s="59" t="s">
        <v>78</v>
      </c>
      <c r="G20" s="59" t="s">
        <v>76</v>
      </c>
      <c r="H20" s="59" t="s">
        <v>79</v>
      </c>
      <c r="I20" s="59" t="s">
        <v>76</v>
      </c>
      <c r="J20" s="59" t="s">
        <v>80</v>
      </c>
      <c r="K20" s="59" t="s">
        <v>76</v>
      </c>
      <c r="L20" s="59" t="s">
        <v>85</v>
      </c>
      <c r="M20" s="59" t="s">
        <v>84</v>
      </c>
    </row>
    <row r="21" spans="1:13" ht="16.5" customHeight="1" x14ac:dyDescent="0.25">
      <c r="A21" s="42" t="s">
        <v>42</v>
      </c>
      <c r="B21" s="22" t="s">
        <v>23</v>
      </c>
      <c r="C21" s="47">
        <v>937</v>
      </c>
      <c r="D21" s="47">
        <f t="shared" ref="D21:D33" si="0">E3*$B$18</f>
        <v>35</v>
      </c>
      <c r="E21" s="47">
        <f>C21-D21</f>
        <v>902</v>
      </c>
      <c r="F21" s="47">
        <f>G3*$C$18</f>
        <v>425</v>
      </c>
      <c r="G21" s="47">
        <f>E21-F21</f>
        <v>477</v>
      </c>
      <c r="H21" s="47">
        <f>I3*$D$18</f>
        <v>298</v>
      </c>
      <c r="I21" s="47">
        <f>G21-H21</f>
        <v>179</v>
      </c>
      <c r="J21" s="47">
        <f>K3*$E$18</f>
        <v>184</v>
      </c>
      <c r="K21" s="47">
        <f>I21-J21</f>
        <v>-5</v>
      </c>
      <c r="L21" s="47">
        <f>SUM(D21,F21,H21,J21)</f>
        <v>942</v>
      </c>
      <c r="M21" s="60">
        <f>K21/L21</f>
        <v>-5.3078556263269636E-3</v>
      </c>
    </row>
    <row r="22" spans="1:13" ht="16.5" customHeight="1" x14ac:dyDescent="0.25">
      <c r="A22" s="42" t="s">
        <v>44</v>
      </c>
      <c r="B22" s="22" t="s">
        <v>30</v>
      </c>
      <c r="C22" s="47">
        <v>1343</v>
      </c>
      <c r="D22" s="47">
        <f t="shared" si="0"/>
        <v>0</v>
      </c>
      <c r="E22" s="47">
        <f t="shared" ref="E22:E33" si="1">C22-D22</f>
        <v>1343</v>
      </c>
      <c r="F22" s="47">
        <f t="shared" ref="F22:F33" si="2">G4*$C$18</f>
        <v>850</v>
      </c>
      <c r="G22" s="47">
        <f t="shared" ref="G22:G33" si="3">E22-F22</f>
        <v>493</v>
      </c>
      <c r="H22" s="47">
        <f t="shared" ref="H22:H33" si="4">I4*$D$18</f>
        <v>298</v>
      </c>
      <c r="I22" s="47">
        <f t="shared" ref="I22:I33" si="5">G22-H22</f>
        <v>195</v>
      </c>
      <c r="J22" s="47">
        <f t="shared" ref="J22:J33" si="6">K4*$E$18</f>
        <v>184</v>
      </c>
      <c r="K22" s="47">
        <f t="shared" ref="K22:K33" si="7">I22-J22</f>
        <v>11</v>
      </c>
      <c r="L22" s="47">
        <f t="shared" ref="L22:L33" si="8">SUM(D22,F22,H22,J22)</f>
        <v>1332</v>
      </c>
      <c r="M22" s="60">
        <f t="shared" ref="M22:M32" si="9">K22/L22</f>
        <v>8.2582582582582578E-3</v>
      </c>
    </row>
    <row r="23" spans="1:13" ht="16.5" customHeight="1" x14ac:dyDescent="0.25">
      <c r="A23" s="42" t="s">
        <v>43</v>
      </c>
      <c r="B23" s="22" t="s">
        <v>31</v>
      </c>
      <c r="C23" s="47">
        <v>2638</v>
      </c>
      <c r="D23" s="47">
        <f t="shared" si="0"/>
        <v>0</v>
      </c>
      <c r="E23" s="47">
        <f t="shared" si="1"/>
        <v>2638</v>
      </c>
      <c r="F23" s="47">
        <f t="shared" si="2"/>
        <v>2125</v>
      </c>
      <c r="G23" s="47">
        <f t="shared" si="3"/>
        <v>513</v>
      </c>
      <c r="H23" s="47">
        <f t="shared" si="4"/>
        <v>298</v>
      </c>
      <c r="I23" s="47">
        <f t="shared" si="5"/>
        <v>215</v>
      </c>
      <c r="J23" s="47">
        <f t="shared" si="6"/>
        <v>184</v>
      </c>
      <c r="K23" s="47">
        <f t="shared" si="7"/>
        <v>31</v>
      </c>
      <c r="L23" s="47">
        <f t="shared" si="8"/>
        <v>2607</v>
      </c>
      <c r="M23" s="60">
        <f t="shared" si="9"/>
        <v>1.1891062523973917E-2</v>
      </c>
    </row>
    <row r="24" spans="1:13" ht="16.5" customHeight="1" x14ac:dyDescent="0.25">
      <c r="A24" s="42" t="s">
        <v>45</v>
      </c>
      <c r="B24" s="22" t="s">
        <v>32</v>
      </c>
      <c r="C24" s="47">
        <v>350</v>
      </c>
      <c r="D24" s="47">
        <f t="shared" si="0"/>
        <v>35</v>
      </c>
      <c r="E24" s="47">
        <f t="shared" si="1"/>
        <v>315</v>
      </c>
      <c r="F24" s="47">
        <f t="shared" si="2"/>
        <v>0</v>
      </c>
      <c r="G24" s="47">
        <f t="shared" si="3"/>
        <v>315</v>
      </c>
      <c r="H24" s="47">
        <f t="shared" si="4"/>
        <v>298</v>
      </c>
      <c r="I24" s="47">
        <f t="shared" si="5"/>
        <v>17</v>
      </c>
      <c r="J24" s="47">
        <f t="shared" si="6"/>
        <v>0</v>
      </c>
      <c r="K24" s="47">
        <f t="shared" si="7"/>
        <v>17</v>
      </c>
      <c r="L24" s="47">
        <f t="shared" si="8"/>
        <v>333</v>
      </c>
      <c r="M24" s="60">
        <f t="shared" si="9"/>
        <v>5.1051051051051052E-2</v>
      </c>
    </row>
    <row r="25" spans="1:13" ht="16.5" customHeight="1" x14ac:dyDescent="0.25">
      <c r="A25" s="42" t="s">
        <v>7</v>
      </c>
      <c r="B25" s="22" t="s">
        <v>24</v>
      </c>
      <c r="C25" s="47">
        <v>326</v>
      </c>
      <c r="D25" s="47">
        <f t="shared" si="0"/>
        <v>35</v>
      </c>
      <c r="E25" s="47">
        <f t="shared" si="1"/>
        <v>291</v>
      </c>
      <c r="F25" s="47">
        <f t="shared" si="2"/>
        <v>0</v>
      </c>
      <c r="G25" s="47">
        <f t="shared" si="3"/>
        <v>291</v>
      </c>
      <c r="H25" s="47">
        <f t="shared" si="4"/>
        <v>298</v>
      </c>
      <c r="I25" s="47">
        <f t="shared" si="5"/>
        <v>-7</v>
      </c>
      <c r="J25" s="47">
        <f t="shared" si="6"/>
        <v>0</v>
      </c>
      <c r="K25" s="47">
        <f t="shared" si="7"/>
        <v>-7</v>
      </c>
      <c r="L25" s="47">
        <f t="shared" si="8"/>
        <v>333</v>
      </c>
      <c r="M25" s="60">
        <f t="shared" si="9"/>
        <v>-2.1021021021021023E-2</v>
      </c>
    </row>
    <row r="26" spans="1:13" ht="16.5" customHeight="1" x14ac:dyDescent="0.25">
      <c r="A26" s="42" t="s">
        <v>46</v>
      </c>
      <c r="B26" s="22" t="s">
        <v>33</v>
      </c>
      <c r="C26" s="47">
        <v>492</v>
      </c>
      <c r="D26" s="47">
        <f t="shared" si="0"/>
        <v>0</v>
      </c>
      <c r="E26" s="47">
        <f t="shared" si="1"/>
        <v>492</v>
      </c>
      <c r="F26" s="47">
        <f t="shared" si="2"/>
        <v>0</v>
      </c>
      <c r="G26" s="47">
        <f t="shared" si="3"/>
        <v>492</v>
      </c>
      <c r="H26" s="47">
        <f t="shared" si="4"/>
        <v>298</v>
      </c>
      <c r="I26" s="47">
        <f t="shared" si="5"/>
        <v>194</v>
      </c>
      <c r="J26" s="47">
        <f t="shared" si="6"/>
        <v>184</v>
      </c>
      <c r="K26" s="47">
        <f t="shared" si="7"/>
        <v>10</v>
      </c>
      <c r="L26" s="47">
        <f t="shared" si="8"/>
        <v>482</v>
      </c>
      <c r="M26" s="60">
        <f t="shared" si="9"/>
        <v>2.0746887966804978E-2</v>
      </c>
    </row>
    <row r="27" spans="1:13" ht="16.5" customHeight="1" x14ac:dyDescent="0.25">
      <c r="A27" s="42" t="s">
        <v>48</v>
      </c>
      <c r="B27" s="22" t="s">
        <v>34</v>
      </c>
      <c r="C27" s="47">
        <v>487</v>
      </c>
      <c r="D27" s="47">
        <f t="shared" si="0"/>
        <v>0</v>
      </c>
      <c r="E27" s="47">
        <f t="shared" si="1"/>
        <v>487</v>
      </c>
      <c r="F27" s="47">
        <f t="shared" si="2"/>
        <v>0</v>
      </c>
      <c r="G27" s="47">
        <f t="shared" si="3"/>
        <v>487</v>
      </c>
      <c r="H27" s="47">
        <f t="shared" si="4"/>
        <v>298</v>
      </c>
      <c r="I27" s="47">
        <f t="shared" si="5"/>
        <v>189</v>
      </c>
      <c r="J27" s="47">
        <f t="shared" si="6"/>
        <v>184</v>
      </c>
      <c r="K27" s="47">
        <f t="shared" si="7"/>
        <v>5</v>
      </c>
      <c r="L27" s="47">
        <f t="shared" si="8"/>
        <v>482</v>
      </c>
      <c r="M27" s="60">
        <f t="shared" si="9"/>
        <v>1.0373443983402489E-2</v>
      </c>
    </row>
    <row r="28" spans="1:13" ht="16.5" customHeight="1" x14ac:dyDescent="0.25">
      <c r="A28" s="42" t="s">
        <v>47</v>
      </c>
      <c r="B28" s="22" t="s">
        <v>35</v>
      </c>
      <c r="C28" s="47">
        <v>496</v>
      </c>
      <c r="D28" s="47">
        <f t="shared" si="0"/>
        <v>0</v>
      </c>
      <c r="E28" s="47">
        <f t="shared" si="1"/>
        <v>496</v>
      </c>
      <c r="F28" s="47">
        <f t="shared" si="2"/>
        <v>0</v>
      </c>
      <c r="G28" s="47">
        <f t="shared" si="3"/>
        <v>496</v>
      </c>
      <c r="H28" s="47">
        <f t="shared" si="4"/>
        <v>298</v>
      </c>
      <c r="I28" s="47">
        <f t="shared" si="5"/>
        <v>198</v>
      </c>
      <c r="J28" s="47">
        <f t="shared" si="6"/>
        <v>184</v>
      </c>
      <c r="K28" s="47">
        <f t="shared" si="7"/>
        <v>14</v>
      </c>
      <c r="L28" s="47">
        <f t="shared" si="8"/>
        <v>482</v>
      </c>
      <c r="M28" s="60">
        <f t="shared" si="9"/>
        <v>2.9045643153526972E-2</v>
      </c>
    </row>
    <row r="29" spans="1:13" ht="16.5" customHeight="1" x14ac:dyDescent="0.25">
      <c r="A29" s="42" t="s">
        <v>49</v>
      </c>
      <c r="B29" s="22" t="s">
        <v>36</v>
      </c>
      <c r="C29" s="47">
        <v>492</v>
      </c>
      <c r="D29" s="47">
        <f t="shared" si="0"/>
        <v>0</v>
      </c>
      <c r="E29" s="47">
        <f t="shared" si="1"/>
        <v>492</v>
      </c>
      <c r="F29" s="47">
        <f t="shared" si="2"/>
        <v>0</v>
      </c>
      <c r="G29" s="47">
        <f t="shared" si="3"/>
        <v>492</v>
      </c>
      <c r="H29" s="47">
        <f t="shared" si="4"/>
        <v>298</v>
      </c>
      <c r="I29" s="47">
        <f t="shared" si="5"/>
        <v>194</v>
      </c>
      <c r="J29" s="47">
        <f t="shared" si="6"/>
        <v>184</v>
      </c>
      <c r="K29" s="47">
        <f t="shared" si="7"/>
        <v>10</v>
      </c>
      <c r="L29" s="47">
        <f t="shared" si="8"/>
        <v>482</v>
      </c>
      <c r="M29" s="60">
        <f t="shared" si="9"/>
        <v>2.0746887966804978E-2</v>
      </c>
    </row>
    <row r="30" spans="1:13" ht="16.5" customHeight="1" x14ac:dyDescent="0.25">
      <c r="A30" s="42" t="s">
        <v>53</v>
      </c>
      <c r="B30" s="22" t="s">
        <v>27</v>
      </c>
      <c r="C30" s="47">
        <v>34</v>
      </c>
      <c r="D30" s="47">
        <f t="shared" si="0"/>
        <v>35</v>
      </c>
      <c r="E30" s="47">
        <f t="shared" si="1"/>
        <v>-1</v>
      </c>
      <c r="F30" s="47">
        <f t="shared" si="2"/>
        <v>0</v>
      </c>
      <c r="G30" s="47">
        <f t="shared" si="3"/>
        <v>-1</v>
      </c>
      <c r="H30" s="47">
        <f t="shared" si="4"/>
        <v>0</v>
      </c>
      <c r="I30" s="47">
        <f t="shared" si="5"/>
        <v>-1</v>
      </c>
      <c r="J30" s="47">
        <f t="shared" si="6"/>
        <v>0</v>
      </c>
      <c r="K30" s="47">
        <f t="shared" si="7"/>
        <v>-1</v>
      </c>
      <c r="L30" s="47">
        <f t="shared" si="8"/>
        <v>35</v>
      </c>
      <c r="M30" s="60">
        <f t="shared" si="9"/>
        <v>-2.8571428571428571E-2</v>
      </c>
    </row>
    <row r="31" spans="1:13" ht="16.5" customHeight="1" x14ac:dyDescent="0.25">
      <c r="A31" s="42" t="s">
        <v>50</v>
      </c>
      <c r="B31" s="22" t="s">
        <v>37</v>
      </c>
      <c r="C31" s="47">
        <v>463</v>
      </c>
      <c r="D31" s="47">
        <f t="shared" si="0"/>
        <v>0</v>
      </c>
      <c r="E31" s="47">
        <f t="shared" si="1"/>
        <v>463</v>
      </c>
      <c r="F31" s="47">
        <f t="shared" si="2"/>
        <v>0</v>
      </c>
      <c r="G31" s="47">
        <f t="shared" si="3"/>
        <v>463</v>
      </c>
      <c r="H31" s="47">
        <f t="shared" si="4"/>
        <v>298</v>
      </c>
      <c r="I31" s="47">
        <f t="shared" si="5"/>
        <v>165</v>
      </c>
      <c r="J31" s="47">
        <f t="shared" si="6"/>
        <v>184</v>
      </c>
      <c r="K31" s="47">
        <f t="shared" si="7"/>
        <v>-19</v>
      </c>
      <c r="L31" s="47">
        <f t="shared" si="8"/>
        <v>482</v>
      </c>
      <c r="M31" s="60">
        <f t="shared" si="9"/>
        <v>-3.9419087136929459E-2</v>
      </c>
    </row>
    <row r="32" spans="1:13" ht="16.5" customHeight="1" x14ac:dyDescent="0.25">
      <c r="A32" s="42" t="s">
        <v>1</v>
      </c>
      <c r="B32" s="22" t="s">
        <v>25</v>
      </c>
      <c r="C32" s="47">
        <v>563</v>
      </c>
      <c r="D32" s="47">
        <f t="shared" si="0"/>
        <v>70</v>
      </c>
      <c r="E32" s="47">
        <f t="shared" si="1"/>
        <v>493</v>
      </c>
      <c r="F32" s="47">
        <f t="shared" si="2"/>
        <v>0</v>
      </c>
      <c r="G32" s="47">
        <f t="shared" si="3"/>
        <v>493</v>
      </c>
      <c r="H32" s="47">
        <f t="shared" si="4"/>
        <v>298</v>
      </c>
      <c r="I32" s="47">
        <f t="shared" si="5"/>
        <v>195</v>
      </c>
      <c r="J32" s="47">
        <f t="shared" si="6"/>
        <v>184</v>
      </c>
      <c r="K32" s="47">
        <f t="shared" si="7"/>
        <v>11</v>
      </c>
      <c r="L32" s="47">
        <f t="shared" si="8"/>
        <v>552</v>
      </c>
      <c r="M32" s="60">
        <f t="shared" si="9"/>
        <v>1.9927536231884056E-2</v>
      </c>
    </row>
    <row r="33" spans="1:13" ht="16.5" customHeight="1" x14ac:dyDescent="0.25">
      <c r="A33" s="42" t="s">
        <v>0</v>
      </c>
      <c r="B33" s="22" t="s">
        <v>26</v>
      </c>
      <c r="C33" s="47">
        <v>217</v>
      </c>
      <c r="D33" s="47">
        <f t="shared" si="0"/>
        <v>35</v>
      </c>
      <c r="E33" s="47">
        <f t="shared" si="1"/>
        <v>182</v>
      </c>
      <c r="F33" s="47">
        <f t="shared" si="2"/>
        <v>0</v>
      </c>
      <c r="G33" s="47">
        <f t="shared" si="3"/>
        <v>182</v>
      </c>
      <c r="H33" s="47">
        <f t="shared" si="4"/>
        <v>0</v>
      </c>
      <c r="I33" s="47">
        <f t="shared" si="5"/>
        <v>182</v>
      </c>
      <c r="J33" s="47">
        <f t="shared" si="6"/>
        <v>184</v>
      </c>
      <c r="K33" s="47">
        <f t="shared" si="7"/>
        <v>-2</v>
      </c>
      <c r="L33" s="47">
        <f t="shared" si="8"/>
        <v>219</v>
      </c>
      <c r="M33" s="60">
        <f>K33/L33</f>
        <v>-9.1324200913242004E-3</v>
      </c>
    </row>
  </sheetData>
  <mergeCells count="7">
    <mergeCell ref="K1:L1"/>
    <mergeCell ref="A1:A2"/>
    <mergeCell ref="B1:B2"/>
    <mergeCell ref="C1:D1"/>
    <mergeCell ref="E1:F1"/>
    <mergeCell ref="G1:H1"/>
    <mergeCell ref="I1:J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A3B0-0055-47E6-A063-489B2394307B}">
  <dimension ref="A1:T77"/>
  <sheetViews>
    <sheetView topLeftCell="B1" zoomScale="70" zoomScaleNormal="70" workbookViewId="0">
      <selection activeCell="Q2" sqref="Q2"/>
    </sheetView>
  </sheetViews>
  <sheetFormatPr defaultColWidth="9.140625" defaultRowHeight="15.75" x14ac:dyDescent="0.25"/>
  <cols>
    <col min="1" max="1" width="34.85546875" style="7" customWidth="1"/>
    <col min="2" max="2" width="16.5703125" style="7" bestFit="1" customWidth="1"/>
    <col min="3" max="3" width="15.5703125" style="7" bestFit="1" customWidth="1"/>
    <col min="4" max="4" width="16.28515625" style="7" bestFit="1" customWidth="1"/>
    <col min="5" max="5" width="24.5703125" style="7" bestFit="1" customWidth="1"/>
    <col min="6" max="6" width="23.7109375" style="7" customWidth="1"/>
    <col min="7" max="8" width="25.7109375" style="7" customWidth="1"/>
    <col min="9" max="9" width="24.5703125" style="7" customWidth="1"/>
    <col min="10" max="10" width="17.28515625" style="7" bestFit="1" customWidth="1"/>
    <col min="11" max="11" width="22.85546875" style="7" customWidth="1"/>
    <col min="12" max="14" width="21.42578125" style="7" customWidth="1"/>
    <col min="15" max="15" width="22.85546875" style="7" customWidth="1"/>
    <col min="16" max="20" width="21.42578125" style="7" customWidth="1"/>
    <col min="21" max="16384" width="9.140625" style="7"/>
  </cols>
  <sheetData>
    <row r="1" spans="1:20" ht="33" customHeight="1" x14ac:dyDescent="0.25">
      <c r="A1" s="2" t="s">
        <v>20</v>
      </c>
      <c r="B1" s="2" t="s">
        <v>19</v>
      </c>
      <c r="C1" s="2" t="s">
        <v>8</v>
      </c>
      <c r="D1" s="2" t="s">
        <v>68</v>
      </c>
      <c r="E1" s="2" t="s">
        <v>3</v>
      </c>
      <c r="F1" s="2" t="s">
        <v>9</v>
      </c>
      <c r="G1" s="2" t="s">
        <v>86</v>
      </c>
      <c r="H1" s="2" t="s">
        <v>88</v>
      </c>
      <c r="I1" s="2" t="s">
        <v>72</v>
      </c>
      <c r="K1" s="8" t="s">
        <v>51</v>
      </c>
      <c r="L1" s="8" t="s">
        <v>67</v>
      </c>
      <c r="M1" s="8" t="s">
        <v>71</v>
      </c>
      <c r="N1" s="8" t="s">
        <v>66</v>
      </c>
      <c r="O1" s="8" t="s">
        <v>69</v>
      </c>
      <c r="P1" s="8" t="s">
        <v>73</v>
      </c>
      <c r="Q1" s="8" t="s">
        <v>70</v>
      </c>
      <c r="R1" s="8" t="s">
        <v>4</v>
      </c>
      <c r="S1" s="8" t="s">
        <v>5</v>
      </c>
      <c r="T1" s="8" t="s">
        <v>6</v>
      </c>
    </row>
    <row r="2" spans="1:20" x14ac:dyDescent="0.25">
      <c r="A2" s="9" t="s">
        <v>22</v>
      </c>
      <c r="B2" s="10" t="s">
        <v>23</v>
      </c>
      <c r="C2" s="55">
        <f>$S$2</f>
        <v>1</v>
      </c>
      <c r="D2" s="51">
        <f>$Q$2</f>
        <v>39</v>
      </c>
      <c r="E2" s="50">
        <f>C2/D2</f>
        <v>2.564102564102564E-2</v>
      </c>
      <c r="F2" s="71">
        <f>E2*3600</f>
        <v>92.307692307692307</v>
      </c>
      <c r="G2" s="72">
        <f>60/D2</f>
        <v>1.5384615384615385</v>
      </c>
      <c r="H2" s="74">
        <v>30</v>
      </c>
      <c r="I2" s="71">
        <f>C2*G2*H2</f>
        <v>46.153846153846153</v>
      </c>
      <c r="K2" s="11" t="s">
        <v>22</v>
      </c>
      <c r="L2" s="44">
        <v>6</v>
      </c>
      <c r="M2" s="44">
        <v>33</v>
      </c>
      <c r="N2" s="49">
        <f>'Расчет профиля'!B18</f>
        <v>35</v>
      </c>
      <c r="O2" s="12">
        <f>N2/3600</f>
        <v>9.7222222222222224E-3</v>
      </c>
      <c r="P2" s="12">
        <f>L2+M2</f>
        <v>39</v>
      </c>
      <c r="Q2" s="49">
        <v>39</v>
      </c>
      <c r="R2" s="12">
        <f>P2*O2</f>
        <v>0.37916666666666665</v>
      </c>
      <c r="S2" s="54">
        <v>1</v>
      </c>
      <c r="T2" s="13">
        <f>S2/Q2</f>
        <v>2.564102564102564E-2</v>
      </c>
    </row>
    <row r="3" spans="1:20" x14ac:dyDescent="0.25">
      <c r="A3" s="9" t="s">
        <v>22</v>
      </c>
      <c r="B3" s="10" t="s">
        <v>32</v>
      </c>
      <c r="C3" s="55">
        <f>$C$2</f>
        <v>1</v>
      </c>
      <c r="D3" s="51">
        <f>$D$2</f>
        <v>39</v>
      </c>
      <c r="E3" s="50">
        <f t="shared" ref="E3:E8" si="0">C3/D3</f>
        <v>2.564102564102564E-2</v>
      </c>
      <c r="F3" s="71">
        <f t="shared" ref="F3:F8" si="1">E3*3600</f>
        <v>92.307692307692307</v>
      </c>
      <c r="G3" s="72">
        <f t="shared" ref="G3:G8" si="2">60/D3</f>
        <v>1.5384615384615385</v>
      </c>
      <c r="H3" s="74">
        <f>$H$2</f>
        <v>30</v>
      </c>
      <c r="I3" s="71">
        <f t="shared" ref="I3:I8" si="3">C3*G3*H3</f>
        <v>46.153846153846153</v>
      </c>
      <c r="K3" s="11" t="s">
        <v>28</v>
      </c>
      <c r="L3" s="44">
        <v>5</v>
      </c>
      <c r="M3" s="44">
        <v>7</v>
      </c>
      <c r="N3" s="49">
        <f>'Расчет профиля'!C18</f>
        <v>425</v>
      </c>
      <c r="O3" s="12">
        <f t="shared" ref="O3:O5" si="4">N3/3600</f>
        <v>0.11805555555555555</v>
      </c>
      <c r="P3" s="12">
        <f>L3+M3</f>
        <v>12</v>
      </c>
      <c r="Q3" s="49">
        <v>12</v>
      </c>
      <c r="R3" s="12">
        <f>P3*O3</f>
        <v>1.4166666666666665</v>
      </c>
      <c r="S3" s="54">
        <v>3</v>
      </c>
      <c r="T3" s="13">
        <f t="shared" ref="T3:T5" si="5">S3/Q3</f>
        <v>0.25</v>
      </c>
    </row>
    <row r="4" spans="1:20" x14ac:dyDescent="0.25">
      <c r="A4" s="9" t="s">
        <v>22</v>
      </c>
      <c r="B4" s="10" t="s">
        <v>24</v>
      </c>
      <c r="C4" s="55">
        <f t="shared" ref="C4:C8" si="6">$C$2</f>
        <v>1</v>
      </c>
      <c r="D4" s="51">
        <f t="shared" ref="D4:D8" si="7">$D$2</f>
        <v>39</v>
      </c>
      <c r="E4" s="50">
        <f t="shared" si="0"/>
        <v>2.564102564102564E-2</v>
      </c>
      <c r="F4" s="71">
        <f t="shared" si="1"/>
        <v>92.307692307692307</v>
      </c>
      <c r="G4" s="72">
        <f t="shared" si="2"/>
        <v>1.5384615384615385</v>
      </c>
      <c r="H4" s="74">
        <f t="shared" ref="H4:H40" si="8">$H$2</f>
        <v>30</v>
      </c>
      <c r="I4" s="71">
        <f t="shared" si="3"/>
        <v>46.153846153846153</v>
      </c>
      <c r="K4" s="11" t="s">
        <v>29</v>
      </c>
      <c r="L4" s="44">
        <v>9</v>
      </c>
      <c r="M4" s="44">
        <v>9</v>
      </c>
      <c r="N4" s="49">
        <f>'Расчет профиля'!D18</f>
        <v>298</v>
      </c>
      <c r="O4" s="12">
        <f t="shared" si="4"/>
        <v>8.2777777777777783E-2</v>
      </c>
      <c r="P4" s="12">
        <f>L4+M4</f>
        <v>18</v>
      </c>
      <c r="Q4" s="49">
        <v>18</v>
      </c>
      <c r="R4" s="12">
        <f t="shared" ref="R4" si="9">P4*O4</f>
        <v>1.4900000000000002</v>
      </c>
      <c r="S4" s="54">
        <v>3</v>
      </c>
      <c r="T4" s="13">
        <f t="shared" si="5"/>
        <v>0.16666666666666666</v>
      </c>
    </row>
    <row r="5" spans="1:20" x14ac:dyDescent="0.25">
      <c r="A5" s="9" t="s">
        <v>22</v>
      </c>
      <c r="B5" s="10" t="s">
        <v>25</v>
      </c>
      <c r="C5" s="55">
        <f t="shared" si="6"/>
        <v>1</v>
      </c>
      <c r="D5" s="51">
        <f t="shared" si="7"/>
        <v>39</v>
      </c>
      <c r="E5" s="50">
        <f t="shared" si="0"/>
        <v>2.564102564102564E-2</v>
      </c>
      <c r="F5" s="71">
        <f t="shared" si="1"/>
        <v>92.307692307692307</v>
      </c>
      <c r="G5" s="72">
        <f>60/D5</f>
        <v>1.5384615384615385</v>
      </c>
      <c r="H5" s="74">
        <f t="shared" si="8"/>
        <v>30</v>
      </c>
      <c r="I5" s="71">
        <f t="shared" si="3"/>
        <v>46.153846153846153</v>
      </c>
      <c r="K5" s="11" t="s">
        <v>38</v>
      </c>
      <c r="L5" s="44">
        <v>9</v>
      </c>
      <c r="M5" s="44">
        <v>10</v>
      </c>
      <c r="N5" s="49">
        <f>'Расчет профиля'!E18</f>
        <v>184</v>
      </c>
      <c r="O5" s="12">
        <f t="shared" si="4"/>
        <v>5.1111111111111114E-2</v>
      </c>
      <c r="P5" s="12">
        <f>L5+M5</f>
        <v>19</v>
      </c>
      <c r="Q5" s="49">
        <v>19</v>
      </c>
      <c r="R5" s="12">
        <f>P5*O5</f>
        <v>0.97111111111111115</v>
      </c>
      <c r="S5" s="54">
        <v>2</v>
      </c>
      <c r="T5" s="13">
        <f t="shared" si="5"/>
        <v>0.10526315789473684</v>
      </c>
    </row>
    <row r="6" spans="1:20" x14ac:dyDescent="0.25">
      <c r="A6" s="9" t="s">
        <v>22</v>
      </c>
      <c r="B6" s="10" t="s">
        <v>26</v>
      </c>
      <c r="C6" s="55">
        <f t="shared" si="6"/>
        <v>1</v>
      </c>
      <c r="D6" s="51">
        <f t="shared" si="7"/>
        <v>39</v>
      </c>
      <c r="E6" s="50">
        <f t="shared" si="0"/>
        <v>2.564102564102564E-2</v>
      </c>
      <c r="F6" s="71">
        <f t="shared" si="1"/>
        <v>92.307692307692307</v>
      </c>
      <c r="G6" s="72">
        <f t="shared" si="2"/>
        <v>1.5384615384615385</v>
      </c>
      <c r="H6" s="74">
        <f t="shared" si="8"/>
        <v>30</v>
      </c>
      <c r="I6" s="71">
        <f t="shared" si="3"/>
        <v>46.153846153846153</v>
      </c>
      <c r="K6" s="14"/>
      <c r="R6" s="15"/>
    </row>
    <row r="7" spans="1:20" x14ac:dyDescent="0.25">
      <c r="A7" s="9" t="s">
        <v>22</v>
      </c>
      <c r="B7" s="10" t="s">
        <v>27</v>
      </c>
      <c r="C7" s="55">
        <f t="shared" si="6"/>
        <v>1</v>
      </c>
      <c r="D7" s="51">
        <f t="shared" si="7"/>
        <v>39</v>
      </c>
      <c r="E7" s="50">
        <f t="shared" si="0"/>
        <v>2.564102564102564E-2</v>
      </c>
      <c r="F7" s="71">
        <f t="shared" si="1"/>
        <v>92.307692307692307</v>
      </c>
      <c r="G7" s="72">
        <f t="shared" si="2"/>
        <v>1.5384615384615385</v>
      </c>
      <c r="H7" s="74">
        <f t="shared" si="8"/>
        <v>30</v>
      </c>
      <c r="I7" s="71">
        <f t="shared" si="3"/>
        <v>46.153846153846153</v>
      </c>
      <c r="K7" s="14"/>
      <c r="R7" s="15"/>
    </row>
    <row r="8" spans="1:20" x14ac:dyDescent="0.25">
      <c r="A8" s="9" t="s">
        <v>22</v>
      </c>
      <c r="B8" s="10" t="s">
        <v>25</v>
      </c>
      <c r="C8" s="55">
        <f t="shared" si="6"/>
        <v>1</v>
      </c>
      <c r="D8" s="51">
        <f t="shared" si="7"/>
        <v>39</v>
      </c>
      <c r="E8" s="50">
        <f t="shared" si="0"/>
        <v>2.564102564102564E-2</v>
      </c>
      <c r="F8" s="71">
        <f t="shared" si="1"/>
        <v>92.307692307692307</v>
      </c>
      <c r="G8" s="72">
        <f t="shared" si="2"/>
        <v>1.5384615384615385</v>
      </c>
      <c r="H8" s="74">
        <f t="shared" si="8"/>
        <v>30</v>
      </c>
      <c r="I8" s="71">
        <f t="shared" si="3"/>
        <v>46.153846153846153</v>
      </c>
    </row>
    <row r="9" spans="1:20" x14ac:dyDescent="0.25">
      <c r="A9" s="16"/>
      <c r="B9" s="3"/>
      <c r="C9" s="17"/>
      <c r="D9" s="16"/>
      <c r="E9" s="52"/>
      <c r="F9" s="70"/>
      <c r="G9" s="70"/>
      <c r="H9" s="54"/>
      <c r="I9" s="70"/>
    </row>
    <row r="10" spans="1:20" x14ac:dyDescent="0.25">
      <c r="A10" s="9" t="s">
        <v>28</v>
      </c>
      <c r="B10" s="10" t="s">
        <v>23</v>
      </c>
      <c r="C10" s="55">
        <f>$S$3</f>
        <v>3</v>
      </c>
      <c r="D10" s="51">
        <f>$Q$3</f>
        <v>12</v>
      </c>
      <c r="E10" s="50">
        <f t="shared" ref="E10:E40" si="10">C10/D10</f>
        <v>0.25</v>
      </c>
      <c r="F10" s="71">
        <f>E10*3600</f>
        <v>900</v>
      </c>
      <c r="G10" s="72">
        <f>60/D10</f>
        <v>5</v>
      </c>
      <c r="H10" s="74">
        <f t="shared" si="8"/>
        <v>30</v>
      </c>
      <c r="I10" s="71">
        <f>C10*G10*H10</f>
        <v>450</v>
      </c>
      <c r="N10" s="56"/>
    </row>
    <row r="11" spans="1:20" x14ac:dyDescent="0.25">
      <c r="A11" s="9" t="s">
        <v>28</v>
      </c>
      <c r="B11" s="10" t="s">
        <v>30</v>
      </c>
      <c r="C11" s="55">
        <f>$C$10</f>
        <v>3</v>
      </c>
      <c r="D11" s="51">
        <f>$D$10</f>
        <v>12</v>
      </c>
      <c r="E11" s="50">
        <f t="shared" si="10"/>
        <v>0.25</v>
      </c>
      <c r="F11" s="71">
        <f t="shared" ref="F11:F17" si="11">E11*3600</f>
        <v>900</v>
      </c>
      <c r="G11" s="72">
        <f t="shared" ref="G11:G17" si="12">60/D11</f>
        <v>5</v>
      </c>
      <c r="H11" s="74">
        <f t="shared" si="8"/>
        <v>30</v>
      </c>
      <c r="I11" s="71">
        <f t="shared" ref="I11:I17" si="13">C11*G11*H11</f>
        <v>450</v>
      </c>
    </row>
    <row r="12" spans="1:20" x14ac:dyDescent="0.25">
      <c r="A12" s="9" t="s">
        <v>28</v>
      </c>
      <c r="B12" s="10" t="s">
        <v>31</v>
      </c>
      <c r="C12" s="55">
        <f t="shared" ref="C12:C17" si="14">$C$10</f>
        <v>3</v>
      </c>
      <c r="D12" s="51">
        <f t="shared" ref="D12:D17" si="15">$D$10</f>
        <v>12</v>
      </c>
      <c r="E12" s="50">
        <f t="shared" si="10"/>
        <v>0.25</v>
      </c>
      <c r="F12" s="71">
        <f t="shared" si="11"/>
        <v>900</v>
      </c>
      <c r="G12" s="72">
        <f t="shared" si="12"/>
        <v>5</v>
      </c>
      <c r="H12" s="74">
        <f t="shared" si="8"/>
        <v>30</v>
      </c>
      <c r="I12" s="71">
        <f t="shared" si="13"/>
        <v>450</v>
      </c>
    </row>
    <row r="13" spans="1:20" x14ac:dyDescent="0.25">
      <c r="A13" s="9" t="s">
        <v>28</v>
      </c>
      <c r="B13" s="10" t="s">
        <v>30</v>
      </c>
      <c r="C13" s="55">
        <f t="shared" si="14"/>
        <v>3</v>
      </c>
      <c r="D13" s="51">
        <f t="shared" si="15"/>
        <v>12</v>
      </c>
      <c r="E13" s="50">
        <f t="shared" si="10"/>
        <v>0.25</v>
      </c>
      <c r="F13" s="71">
        <f t="shared" si="11"/>
        <v>900</v>
      </c>
      <c r="G13" s="72">
        <f t="shared" si="12"/>
        <v>5</v>
      </c>
      <c r="H13" s="74">
        <f t="shared" si="8"/>
        <v>30</v>
      </c>
      <c r="I13" s="71">
        <f t="shared" si="13"/>
        <v>450</v>
      </c>
    </row>
    <row r="14" spans="1:20" x14ac:dyDescent="0.25">
      <c r="A14" s="9" t="s">
        <v>28</v>
      </c>
      <c r="B14" s="10" t="s">
        <v>31</v>
      </c>
      <c r="C14" s="55">
        <f t="shared" si="14"/>
        <v>3</v>
      </c>
      <c r="D14" s="51">
        <f t="shared" si="15"/>
        <v>12</v>
      </c>
      <c r="E14" s="50">
        <f t="shared" si="10"/>
        <v>0.25</v>
      </c>
      <c r="F14" s="71">
        <f t="shared" si="11"/>
        <v>900</v>
      </c>
      <c r="G14" s="72">
        <f t="shared" si="12"/>
        <v>5</v>
      </c>
      <c r="H14" s="74">
        <f t="shared" si="8"/>
        <v>30</v>
      </c>
      <c r="I14" s="71">
        <f t="shared" si="13"/>
        <v>450</v>
      </c>
    </row>
    <row r="15" spans="1:20" x14ac:dyDescent="0.25">
      <c r="A15" s="9" t="s">
        <v>28</v>
      </c>
      <c r="B15" s="10" t="s">
        <v>31</v>
      </c>
      <c r="C15" s="55">
        <f t="shared" si="14"/>
        <v>3</v>
      </c>
      <c r="D15" s="51">
        <f t="shared" si="15"/>
        <v>12</v>
      </c>
      <c r="E15" s="50">
        <f t="shared" si="10"/>
        <v>0.25</v>
      </c>
      <c r="F15" s="71">
        <f t="shared" si="11"/>
        <v>900</v>
      </c>
      <c r="G15" s="72">
        <f t="shared" si="12"/>
        <v>5</v>
      </c>
      <c r="H15" s="74">
        <f t="shared" si="8"/>
        <v>30</v>
      </c>
      <c r="I15" s="71">
        <f t="shared" si="13"/>
        <v>450</v>
      </c>
    </row>
    <row r="16" spans="1:20" x14ac:dyDescent="0.25">
      <c r="A16" s="9" t="s">
        <v>28</v>
      </c>
      <c r="B16" s="10" t="s">
        <v>31</v>
      </c>
      <c r="C16" s="55">
        <f t="shared" si="14"/>
        <v>3</v>
      </c>
      <c r="D16" s="51">
        <f t="shared" si="15"/>
        <v>12</v>
      </c>
      <c r="E16" s="50">
        <f t="shared" si="10"/>
        <v>0.25</v>
      </c>
      <c r="F16" s="71">
        <f t="shared" si="11"/>
        <v>900</v>
      </c>
      <c r="G16" s="72">
        <f t="shared" si="12"/>
        <v>5</v>
      </c>
      <c r="H16" s="74">
        <f t="shared" si="8"/>
        <v>30</v>
      </c>
      <c r="I16" s="71">
        <f t="shared" si="13"/>
        <v>450</v>
      </c>
    </row>
    <row r="17" spans="1:18" x14ac:dyDescent="0.25">
      <c r="A17" s="9" t="s">
        <v>28</v>
      </c>
      <c r="B17" s="10" t="s">
        <v>31</v>
      </c>
      <c r="C17" s="55">
        <f t="shared" si="14"/>
        <v>3</v>
      </c>
      <c r="D17" s="51">
        <f t="shared" si="15"/>
        <v>12</v>
      </c>
      <c r="E17" s="50">
        <f t="shared" si="10"/>
        <v>0.25</v>
      </c>
      <c r="F17" s="71">
        <f t="shared" si="11"/>
        <v>900</v>
      </c>
      <c r="G17" s="72">
        <f t="shared" si="12"/>
        <v>5</v>
      </c>
      <c r="H17" s="74">
        <f t="shared" si="8"/>
        <v>30</v>
      </c>
      <c r="I17" s="71">
        <f t="shared" si="13"/>
        <v>450</v>
      </c>
    </row>
    <row r="18" spans="1:18" ht="47.25" x14ac:dyDescent="0.25">
      <c r="A18" s="16"/>
      <c r="B18" s="19"/>
      <c r="C18" s="19"/>
      <c r="D18" s="19"/>
      <c r="E18" s="53"/>
      <c r="F18" s="73"/>
      <c r="G18" s="70"/>
      <c r="H18" s="54"/>
      <c r="I18" s="70"/>
      <c r="K18" s="20" t="s">
        <v>39</v>
      </c>
      <c r="L18" s="21" t="s">
        <v>87</v>
      </c>
      <c r="M18" s="21" t="s">
        <v>56</v>
      </c>
      <c r="N18" s="21" t="s">
        <v>74</v>
      </c>
      <c r="O18" s="20" t="s">
        <v>75</v>
      </c>
      <c r="P18" s="20" t="s">
        <v>41</v>
      </c>
      <c r="Q18" s="20" t="s">
        <v>52</v>
      </c>
      <c r="R18" s="20" t="s">
        <v>40</v>
      </c>
    </row>
    <row r="19" spans="1:18" x14ac:dyDescent="0.25">
      <c r="A19" s="9" t="s">
        <v>29</v>
      </c>
      <c r="B19" s="10" t="s">
        <v>23</v>
      </c>
      <c r="C19" s="55">
        <f>$S$4</f>
        <v>3</v>
      </c>
      <c r="D19" s="51">
        <f>$Q$4</f>
        <v>18</v>
      </c>
      <c r="E19" s="50">
        <f t="shared" si="10"/>
        <v>0.16666666666666666</v>
      </c>
      <c r="F19" s="71">
        <f>E19*3600</f>
        <v>600</v>
      </c>
      <c r="G19" s="72">
        <f>60/D19</f>
        <v>3.3333333333333335</v>
      </c>
      <c r="H19" s="74">
        <f t="shared" si="8"/>
        <v>30</v>
      </c>
      <c r="I19" s="71">
        <f>C19*G19*H19</f>
        <v>300</v>
      </c>
      <c r="K19" s="22" t="s">
        <v>23</v>
      </c>
      <c r="L19" s="25">
        <f>COUNTIF($B$2:$B$40,K19)</f>
        <v>4</v>
      </c>
      <c r="M19" s="69">
        <v>2.17</v>
      </c>
      <c r="N19" s="25">
        <f>F2+F10+F19+F31</f>
        <v>1971.2550607287449</v>
      </c>
      <c r="O19" s="69">
        <f>G2+G10+G19+G31</f>
        <v>13.029689608636978</v>
      </c>
      <c r="P19" s="69">
        <f>N19/60</f>
        <v>32.854251012145745</v>
      </c>
      <c r="Q19" s="74">
        <f>$H$2</f>
        <v>30</v>
      </c>
      <c r="R19" s="25">
        <f>ROUND(N19*1.5,0)</f>
        <v>2957</v>
      </c>
    </row>
    <row r="20" spans="1:18" x14ac:dyDescent="0.25">
      <c r="A20" s="9" t="s">
        <v>29</v>
      </c>
      <c r="B20" s="10" t="s">
        <v>30</v>
      </c>
      <c r="C20" s="55">
        <f>$C$19</f>
        <v>3</v>
      </c>
      <c r="D20" s="51">
        <f>$D$19</f>
        <v>18</v>
      </c>
      <c r="E20" s="50">
        <f t="shared" si="10"/>
        <v>0.16666666666666666</v>
      </c>
      <c r="F20" s="71">
        <f t="shared" ref="F20:F29" si="16">E20*3600</f>
        <v>600</v>
      </c>
      <c r="G20" s="72">
        <f t="shared" ref="G20:G28" si="17">60/D20</f>
        <v>3.3333333333333335</v>
      </c>
      <c r="H20" s="74">
        <f t="shared" si="8"/>
        <v>30</v>
      </c>
      <c r="I20" s="71">
        <f t="shared" ref="I20:I28" si="18">C20*G20*H20</f>
        <v>300</v>
      </c>
      <c r="K20" s="22" t="s">
        <v>30</v>
      </c>
      <c r="L20" s="25">
        <f t="shared" ref="L20:L31" si="19">COUNTIF($B$2:$B$40,K20)</f>
        <v>4</v>
      </c>
      <c r="M20" s="69">
        <v>1.65</v>
      </c>
      <c r="N20" s="25">
        <f>F11+F13+F20+F33</f>
        <v>2778.9473684210525</v>
      </c>
      <c r="O20" s="69">
        <f>G11++G13+G20+G33</f>
        <v>16.491228070175438</v>
      </c>
      <c r="P20" s="69">
        <f>N20/60</f>
        <v>46.315789473684205</v>
      </c>
      <c r="Q20" s="74">
        <f t="shared" ref="Q20:Q31" si="20">$H$2</f>
        <v>30</v>
      </c>
      <c r="R20" s="25">
        <f t="shared" ref="R20:R32" si="21">ROUND(N20*1.5,0)</f>
        <v>4168</v>
      </c>
    </row>
    <row r="21" spans="1:18" x14ac:dyDescent="0.25">
      <c r="A21" s="9" t="s">
        <v>29</v>
      </c>
      <c r="B21" s="10" t="s">
        <v>31</v>
      </c>
      <c r="C21" s="55">
        <f t="shared" ref="C21:C29" si="22">$C$19</f>
        <v>3</v>
      </c>
      <c r="D21" s="51">
        <f t="shared" ref="D21:D29" si="23">$D$19</f>
        <v>18</v>
      </c>
      <c r="E21" s="50">
        <f t="shared" si="10"/>
        <v>0.16666666666666666</v>
      </c>
      <c r="F21" s="71">
        <f t="shared" si="16"/>
        <v>600</v>
      </c>
      <c r="G21" s="72">
        <f t="shared" si="17"/>
        <v>3.3333333333333335</v>
      </c>
      <c r="H21" s="74">
        <f t="shared" si="8"/>
        <v>30</v>
      </c>
      <c r="I21" s="71">
        <f>C21*G21*H21</f>
        <v>300</v>
      </c>
      <c r="K21" s="22" t="s">
        <v>31</v>
      </c>
      <c r="L21" s="25">
        <f t="shared" si="19"/>
        <v>7</v>
      </c>
      <c r="M21" s="69">
        <v>0.71</v>
      </c>
      <c r="N21" s="25">
        <f>F12+F14+F15+F16+F17+F21+F34</f>
        <v>5478.9473684210525</v>
      </c>
      <c r="O21" s="69">
        <f>G12+G14+G15+G16+G17+G21+G34</f>
        <v>31.491228070175438</v>
      </c>
      <c r="P21" s="69">
        <f t="shared" ref="P21:P31" si="24">N21/60</f>
        <v>91.315789473684205</v>
      </c>
      <c r="Q21" s="74">
        <f t="shared" si="20"/>
        <v>30</v>
      </c>
      <c r="R21" s="25">
        <f t="shared" si="21"/>
        <v>8218</v>
      </c>
    </row>
    <row r="22" spans="1:18" x14ac:dyDescent="0.25">
      <c r="A22" s="9" t="s">
        <v>29</v>
      </c>
      <c r="B22" s="10" t="s">
        <v>32</v>
      </c>
      <c r="C22" s="55">
        <f t="shared" si="22"/>
        <v>3</v>
      </c>
      <c r="D22" s="51">
        <f t="shared" si="23"/>
        <v>18</v>
      </c>
      <c r="E22" s="50">
        <f t="shared" si="10"/>
        <v>0.16666666666666666</v>
      </c>
      <c r="F22" s="71">
        <f t="shared" si="16"/>
        <v>600</v>
      </c>
      <c r="G22" s="72">
        <f t="shared" si="17"/>
        <v>3.3333333333333335</v>
      </c>
      <c r="H22" s="74">
        <f t="shared" si="8"/>
        <v>30</v>
      </c>
      <c r="I22" s="71">
        <f t="shared" si="18"/>
        <v>300</v>
      </c>
      <c r="K22" s="22" t="s">
        <v>32</v>
      </c>
      <c r="L22" s="25">
        <f t="shared" si="19"/>
        <v>2</v>
      </c>
      <c r="M22" s="69">
        <v>0.32</v>
      </c>
      <c r="N22" s="25">
        <f>F3+F22</f>
        <v>692.30769230769226</v>
      </c>
      <c r="O22" s="69">
        <f>G3+G22</f>
        <v>4.8717948717948723</v>
      </c>
      <c r="P22" s="69">
        <f t="shared" si="24"/>
        <v>11.538461538461538</v>
      </c>
      <c r="Q22" s="74">
        <f t="shared" si="20"/>
        <v>30</v>
      </c>
      <c r="R22" s="25">
        <f t="shared" si="21"/>
        <v>1038</v>
      </c>
    </row>
    <row r="23" spans="1:18" x14ac:dyDescent="0.25">
      <c r="A23" s="9" t="s">
        <v>29</v>
      </c>
      <c r="B23" s="10" t="s">
        <v>24</v>
      </c>
      <c r="C23" s="55">
        <f t="shared" si="22"/>
        <v>3</v>
      </c>
      <c r="D23" s="51">
        <f t="shared" si="23"/>
        <v>18</v>
      </c>
      <c r="E23" s="50">
        <f t="shared" si="10"/>
        <v>0.16666666666666666</v>
      </c>
      <c r="F23" s="71">
        <f t="shared" si="16"/>
        <v>600</v>
      </c>
      <c r="G23" s="72">
        <f t="shared" si="17"/>
        <v>3.3333333333333335</v>
      </c>
      <c r="H23" s="74">
        <f t="shared" si="8"/>
        <v>30</v>
      </c>
      <c r="I23" s="71">
        <f t="shared" si="18"/>
        <v>300</v>
      </c>
      <c r="K23" s="22" t="s">
        <v>24</v>
      </c>
      <c r="L23" s="25">
        <f t="shared" si="19"/>
        <v>2</v>
      </c>
      <c r="M23" s="69">
        <v>1.53</v>
      </c>
      <c r="N23" s="25">
        <f>F4+F23</f>
        <v>692.30769230769226</v>
      </c>
      <c r="O23" s="69">
        <f>G4+G23</f>
        <v>4.8717948717948723</v>
      </c>
      <c r="P23" s="69">
        <f t="shared" si="24"/>
        <v>11.538461538461538</v>
      </c>
      <c r="Q23" s="74">
        <f t="shared" si="20"/>
        <v>30</v>
      </c>
      <c r="R23" s="25">
        <f t="shared" si="21"/>
        <v>1038</v>
      </c>
    </row>
    <row r="24" spans="1:18" x14ac:dyDescent="0.25">
      <c r="A24" s="9" t="s">
        <v>29</v>
      </c>
      <c r="B24" s="10" t="s">
        <v>33</v>
      </c>
      <c r="C24" s="55">
        <f t="shared" si="22"/>
        <v>3</v>
      </c>
      <c r="D24" s="51">
        <f t="shared" si="23"/>
        <v>18</v>
      </c>
      <c r="E24" s="50">
        <f t="shared" si="10"/>
        <v>0.16666666666666666</v>
      </c>
      <c r="F24" s="71">
        <f t="shared" si="16"/>
        <v>600</v>
      </c>
      <c r="G24" s="72">
        <f t="shared" si="17"/>
        <v>3.3333333333333335</v>
      </c>
      <c r="H24" s="74">
        <f t="shared" si="8"/>
        <v>30</v>
      </c>
      <c r="I24" s="71">
        <f t="shared" si="18"/>
        <v>300</v>
      </c>
      <c r="K24" s="22" t="s">
        <v>33</v>
      </c>
      <c r="L24" s="25">
        <f t="shared" si="19"/>
        <v>2</v>
      </c>
      <c r="M24" s="69">
        <v>0.62</v>
      </c>
      <c r="N24" s="25">
        <f>F24+F35</f>
        <v>978.9473684210526</v>
      </c>
      <c r="O24" s="69">
        <f>G24+G35</f>
        <v>6.4912280701754383</v>
      </c>
      <c r="P24" s="69">
        <f t="shared" si="24"/>
        <v>16.315789473684209</v>
      </c>
      <c r="Q24" s="74">
        <f t="shared" si="20"/>
        <v>30</v>
      </c>
      <c r="R24" s="25">
        <f t="shared" si="21"/>
        <v>1468</v>
      </c>
    </row>
    <row r="25" spans="1:18" x14ac:dyDescent="0.25">
      <c r="A25" s="9" t="s">
        <v>29</v>
      </c>
      <c r="B25" s="10" t="s">
        <v>34</v>
      </c>
      <c r="C25" s="55">
        <f t="shared" si="22"/>
        <v>3</v>
      </c>
      <c r="D25" s="51">
        <f t="shared" si="23"/>
        <v>18</v>
      </c>
      <c r="E25" s="50">
        <f t="shared" si="10"/>
        <v>0.16666666666666666</v>
      </c>
      <c r="F25" s="71">
        <f t="shared" si="16"/>
        <v>600</v>
      </c>
      <c r="G25" s="72">
        <f t="shared" si="17"/>
        <v>3.3333333333333335</v>
      </c>
      <c r="H25" s="74">
        <f t="shared" si="8"/>
        <v>30</v>
      </c>
      <c r="I25" s="71">
        <f t="shared" si="18"/>
        <v>300</v>
      </c>
      <c r="K25" s="22" t="s">
        <v>34</v>
      </c>
      <c r="L25" s="25">
        <f t="shared" si="19"/>
        <v>2</v>
      </c>
      <c r="M25" s="69">
        <v>0.56000000000000005</v>
      </c>
      <c r="N25" s="25">
        <f>F25+F36</f>
        <v>978.9473684210526</v>
      </c>
      <c r="O25" s="69">
        <f>G25+G36</f>
        <v>6.4912280701754383</v>
      </c>
      <c r="P25" s="69">
        <f t="shared" si="24"/>
        <v>16.315789473684209</v>
      </c>
      <c r="Q25" s="74">
        <f t="shared" si="20"/>
        <v>30</v>
      </c>
      <c r="R25" s="25">
        <f t="shared" si="21"/>
        <v>1468</v>
      </c>
    </row>
    <row r="26" spans="1:18" x14ac:dyDescent="0.25">
      <c r="A26" s="9" t="s">
        <v>29</v>
      </c>
      <c r="B26" s="10" t="s">
        <v>35</v>
      </c>
      <c r="C26" s="55">
        <f t="shared" si="22"/>
        <v>3</v>
      </c>
      <c r="D26" s="51">
        <f t="shared" si="23"/>
        <v>18</v>
      </c>
      <c r="E26" s="50">
        <f t="shared" si="10"/>
        <v>0.16666666666666666</v>
      </c>
      <c r="F26" s="71">
        <f t="shared" si="16"/>
        <v>600</v>
      </c>
      <c r="G26" s="72">
        <f t="shared" si="17"/>
        <v>3.3333333333333335</v>
      </c>
      <c r="H26" s="74">
        <f t="shared" si="8"/>
        <v>30</v>
      </c>
      <c r="I26" s="71">
        <f t="shared" si="18"/>
        <v>300</v>
      </c>
      <c r="K26" s="22" t="s">
        <v>35</v>
      </c>
      <c r="L26" s="25">
        <f t="shared" si="19"/>
        <v>2</v>
      </c>
      <c r="M26" s="69">
        <v>1.54</v>
      </c>
      <c r="N26" s="25">
        <f>F26+F37</f>
        <v>978.9473684210526</v>
      </c>
      <c r="O26" s="69">
        <f>G26+G37</f>
        <v>6.4912280701754383</v>
      </c>
      <c r="P26" s="69">
        <f t="shared" si="24"/>
        <v>16.315789473684209</v>
      </c>
      <c r="Q26" s="74">
        <f t="shared" si="20"/>
        <v>30</v>
      </c>
      <c r="R26" s="25">
        <f t="shared" si="21"/>
        <v>1468</v>
      </c>
    </row>
    <row r="27" spans="1:18" x14ac:dyDescent="0.25">
      <c r="A27" s="9" t="s">
        <v>29</v>
      </c>
      <c r="B27" s="10" t="s">
        <v>36</v>
      </c>
      <c r="C27" s="55">
        <f t="shared" si="22"/>
        <v>3</v>
      </c>
      <c r="D27" s="51">
        <f t="shared" si="23"/>
        <v>18</v>
      </c>
      <c r="E27" s="50">
        <f t="shared" si="10"/>
        <v>0.16666666666666666</v>
      </c>
      <c r="F27" s="71">
        <f t="shared" si="16"/>
        <v>600</v>
      </c>
      <c r="G27" s="72">
        <f t="shared" si="17"/>
        <v>3.3333333333333335</v>
      </c>
      <c r="H27" s="74">
        <f t="shared" si="8"/>
        <v>30</v>
      </c>
      <c r="I27" s="71">
        <f t="shared" si="18"/>
        <v>300</v>
      </c>
      <c r="K27" s="22" t="s">
        <v>36</v>
      </c>
      <c r="L27" s="25">
        <f t="shared" si="19"/>
        <v>2</v>
      </c>
      <c r="M27" s="69">
        <v>0.97</v>
      </c>
      <c r="N27" s="25">
        <f>F27+F38</f>
        <v>978.9473684210526</v>
      </c>
      <c r="O27" s="69">
        <f>G27+G38</f>
        <v>6.4912280701754383</v>
      </c>
      <c r="P27" s="69">
        <f t="shared" si="24"/>
        <v>16.315789473684209</v>
      </c>
      <c r="Q27" s="74">
        <f t="shared" si="20"/>
        <v>30</v>
      </c>
      <c r="R27" s="25">
        <f t="shared" si="21"/>
        <v>1468</v>
      </c>
    </row>
    <row r="28" spans="1:18" ht="16.5" customHeight="1" x14ac:dyDescent="0.25">
      <c r="A28" s="9" t="s">
        <v>29</v>
      </c>
      <c r="B28" s="10" t="s">
        <v>37</v>
      </c>
      <c r="C28" s="55">
        <f t="shared" si="22"/>
        <v>3</v>
      </c>
      <c r="D28" s="51">
        <f t="shared" si="23"/>
        <v>18</v>
      </c>
      <c r="E28" s="50">
        <f t="shared" si="10"/>
        <v>0.16666666666666666</v>
      </c>
      <c r="F28" s="71">
        <f t="shared" si="16"/>
        <v>600</v>
      </c>
      <c r="G28" s="72">
        <f t="shared" si="17"/>
        <v>3.3333333333333335</v>
      </c>
      <c r="H28" s="74">
        <f t="shared" si="8"/>
        <v>30</v>
      </c>
      <c r="I28" s="71">
        <f t="shared" si="18"/>
        <v>300</v>
      </c>
      <c r="K28" s="22" t="s">
        <v>27</v>
      </c>
      <c r="L28" s="25">
        <f t="shared" si="19"/>
        <v>1</v>
      </c>
      <c r="M28" s="69">
        <v>0.79</v>
      </c>
      <c r="N28" s="25">
        <f>F7</f>
        <v>92.307692307692307</v>
      </c>
      <c r="O28" s="69">
        <f>G7</f>
        <v>1.5384615384615385</v>
      </c>
      <c r="P28" s="69">
        <f t="shared" si="24"/>
        <v>1.5384615384615385</v>
      </c>
      <c r="Q28" s="74">
        <f t="shared" si="20"/>
        <v>30</v>
      </c>
      <c r="R28" s="25">
        <f t="shared" si="21"/>
        <v>138</v>
      </c>
    </row>
    <row r="29" spans="1:18" x14ac:dyDescent="0.25">
      <c r="A29" s="9" t="s">
        <v>29</v>
      </c>
      <c r="B29" s="10" t="s">
        <v>25</v>
      </c>
      <c r="C29" s="55">
        <f t="shared" si="22"/>
        <v>3</v>
      </c>
      <c r="D29" s="51">
        <f t="shared" si="23"/>
        <v>18</v>
      </c>
      <c r="E29" s="50">
        <f t="shared" si="10"/>
        <v>0.16666666666666666</v>
      </c>
      <c r="F29" s="71">
        <f t="shared" si="16"/>
        <v>600</v>
      </c>
      <c r="G29" s="72">
        <f>60/D29</f>
        <v>3.3333333333333335</v>
      </c>
      <c r="H29" s="74">
        <f t="shared" si="8"/>
        <v>30</v>
      </c>
      <c r="I29" s="71">
        <f>C29*G29*H29</f>
        <v>300</v>
      </c>
      <c r="K29" s="22" t="s">
        <v>37</v>
      </c>
      <c r="L29" s="25">
        <f t="shared" si="19"/>
        <v>2</v>
      </c>
      <c r="M29" s="69">
        <v>0.35</v>
      </c>
      <c r="N29" s="25">
        <f>F28+F39</f>
        <v>978.9473684210526</v>
      </c>
      <c r="O29" s="69">
        <f>G28+G39</f>
        <v>6.4912280701754383</v>
      </c>
      <c r="P29" s="69">
        <f t="shared" si="24"/>
        <v>16.315789473684209</v>
      </c>
      <c r="Q29" s="74">
        <f t="shared" si="20"/>
        <v>30</v>
      </c>
      <c r="R29" s="25">
        <f t="shared" si="21"/>
        <v>1468</v>
      </c>
    </row>
    <row r="30" spans="1:18" x14ac:dyDescent="0.25">
      <c r="A30" s="16"/>
      <c r="B30" s="19"/>
      <c r="C30" s="19"/>
      <c r="D30" s="19"/>
      <c r="E30" s="53"/>
      <c r="F30" s="73"/>
      <c r="G30" s="70"/>
      <c r="H30" s="54"/>
      <c r="I30" s="70"/>
      <c r="K30" s="22" t="s">
        <v>25</v>
      </c>
      <c r="L30" s="25">
        <f t="shared" si="19"/>
        <v>4</v>
      </c>
      <c r="M30" s="69">
        <v>0.31</v>
      </c>
      <c r="N30" s="25">
        <f>F5+F8+F29+F40</f>
        <v>1163.5627530364372</v>
      </c>
      <c r="O30" s="69">
        <f>G5+G8+G29+G40</f>
        <v>9.568151147098515</v>
      </c>
      <c r="P30" s="69">
        <f t="shared" si="24"/>
        <v>19.392712550607289</v>
      </c>
      <c r="Q30" s="74">
        <f t="shared" si="20"/>
        <v>30</v>
      </c>
      <c r="R30" s="25">
        <f t="shared" si="21"/>
        <v>1745</v>
      </c>
    </row>
    <row r="31" spans="1:18" x14ac:dyDescent="0.25">
      <c r="A31" s="9" t="s">
        <v>38</v>
      </c>
      <c r="B31" s="10" t="s">
        <v>23</v>
      </c>
      <c r="C31" s="55">
        <f>$S$5</f>
        <v>2</v>
      </c>
      <c r="D31" s="51">
        <f>$Q$5</f>
        <v>19</v>
      </c>
      <c r="E31" s="50">
        <f t="shared" si="10"/>
        <v>0.10526315789473684</v>
      </c>
      <c r="F31" s="71">
        <f>E31*3600</f>
        <v>378.9473684210526</v>
      </c>
      <c r="G31" s="72">
        <f t="shared" ref="G31:G40" si="25">60/D31</f>
        <v>3.1578947368421053</v>
      </c>
      <c r="H31" s="74">
        <f t="shared" si="8"/>
        <v>30</v>
      </c>
      <c r="I31" s="71">
        <f t="shared" ref="I31:I40" si="26">C31*G31*H31</f>
        <v>189.47368421052633</v>
      </c>
      <c r="K31" s="22" t="s">
        <v>26</v>
      </c>
      <c r="L31" s="25">
        <f t="shared" si="19"/>
        <v>2</v>
      </c>
      <c r="M31" s="69">
        <v>0.56999999999999995</v>
      </c>
      <c r="N31" s="25">
        <f>F6+F32</f>
        <v>471.25506072874492</v>
      </c>
      <c r="O31" s="69">
        <f>G6+G32</f>
        <v>4.6963562753036436</v>
      </c>
      <c r="P31" s="69">
        <f t="shared" si="24"/>
        <v>7.8542510121457489</v>
      </c>
      <c r="Q31" s="74">
        <f t="shared" si="20"/>
        <v>30</v>
      </c>
      <c r="R31" s="25">
        <f t="shared" si="21"/>
        <v>707</v>
      </c>
    </row>
    <row r="32" spans="1:18" x14ac:dyDescent="0.25">
      <c r="A32" s="9" t="s">
        <v>38</v>
      </c>
      <c r="B32" s="10" t="s">
        <v>26</v>
      </c>
      <c r="C32" s="55">
        <f>$C$31</f>
        <v>2</v>
      </c>
      <c r="D32" s="51">
        <f>$D$31</f>
        <v>19</v>
      </c>
      <c r="E32" s="50">
        <f t="shared" si="10"/>
        <v>0.10526315789473684</v>
      </c>
      <c r="F32" s="71">
        <f t="shared" ref="F32:F40" si="27">E32*3600</f>
        <v>378.9473684210526</v>
      </c>
      <c r="G32" s="72">
        <f t="shared" si="25"/>
        <v>3.1578947368421053</v>
      </c>
      <c r="H32" s="74">
        <f t="shared" si="8"/>
        <v>30</v>
      </c>
      <c r="I32" s="71">
        <f t="shared" si="26"/>
        <v>189.47368421052633</v>
      </c>
      <c r="K32" s="23" t="s">
        <v>2</v>
      </c>
      <c r="L32" s="54">
        <f>SUM(L19:L31)</f>
        <v>36</v>
      </c>
      <c r="M32" s="70">
        <f>SUM(M19:M31)</f>
        <v>12.090000000000003</v>
      </c>
      <c r="N32" s="54">
        <f t="shared" ref="N32:R32" si="28">SUM(N19:N31)</f>
        <v>18235.627530364371</v>
      </c>
      <c r="O32" s="70">
        <f t="shared" si="28"/>
        <v>119.01484480431849</v>
      </c>
      <c r="P32" s="70">
        <f t="shared" si="28"/>
        <v>303.92712550607297</v>
      </c>
      <c r="Q32" s="18"/>
      <c r="R32" s="54">
        <f t="shared" si="21"/>
        <v>27353</v>
      </c>
    </row>
    <row r="33" spans="1:20" x14ac:dyDescent="0.25">
      <c r="A33" s="9" t="s">
        <v>38</v>
      </c>
      <c r="B33" s="10" t="s">
        <v>30</v>
      </c>
      <c r="C33" s="55">
        <f t="shared" ref="C33:C40" si="29">$C$31</f>
        <v>2</v>
      </c>
      <c r="D33" s="51">
        <f t="shared" ref="D33:D40" si="30">$D$31</f>
        <v>19</v>
      </c>
      <c r="E33" s="50">
        <f t="shared" si="10"/>
        <v>0.10526315789473684</v>
      </c>
      <c r="F33" s="71">
        <f>E33*3600</f>
        <v>378.9473684210526</v>
      </c>
      <c r="G33" s="72">
        <f t="shared" si="25"/>
        <v>3.1578947368421053</v>
      </c>
      <c r="H33" s="74">
        <f t="shared" si="8"/>
        <v>30</v>
      </c>
      <c r="I33" s="71">
        <f t="shared" si="26"/>
        <v>189.47368421052633</v>
      </c>
    </row>
    <row r="34" spans="1:20" x14ac:dyDescent="0.25">
      <c r="A34" s="9" t="s">
        <v>38</v>
      </c>
      <c r="B34" s="10" t="s">
        <v>31</v>
      </c>
      <c r="C34" s="55">
        <f t="shared" si="29"/>
        <v>2</v>
      </c>
      <c r="D34" s="51">
        <f t="shared" si="30"/>
        <v>19</v>
      </c>
      <c r="E34" s="50">
        <f t="shared" si="10"/>
        <v>0.10526315789473684</v>
      </c>
      <c r="F34" s="71">
        <f t="shared" si="27"/>
        <v>378.9473684210526</v>
      </c>
      <c r="G34" s="72">
        <f t="shared" si="25"/>
        <v>3.1578947368421053</v>
      </c>
      <c r="H34" s="74">
        <f t="shared" si="8"/>
        <v>30</v>
      </c>
      <c r="I34" s="71">
        <f t="shared" si="26"/>
        <v>189.47368421052633</v>
      </c>
    </row>
    <row r="35" spans="1:20" x14ac:dyDescent="0.25">
      <c r="A35" s="9" t="s">
        <v>38</v>
      </c>
      <c r="B35" s="10" t="s">
        <v>33</v>
      </c>
      <c r="C35" s="55">
        <f t="shared" si="29"/>
        <v>2</v>
      </c>
      <c r="D35" s="51">
        <f t="shared" si="30"/>
        <v>19</v>
      </c>
      <c r="E35" s="50">
        <f t="shared" si="10"/>
        <v>0.10526315789473684</v>
      </c>
      <c r="F35" s="71">
        <f t="shared" si="27"/>
        <v>378.9473684210526</v>
      </c>
      <c r="G35" s="72">
        <f t="shared" si="25"/>
        <v>3.1578947368421053</v>
      </c>
      <c r="H35" s="74">
        <f t="shared" si="8"/>
        <v>30</v>
      </c>
      <c r="I35" s="71">
        <f t="shared" si="26"/>
        <v>189.47368421052633</v>
      </c>
    </row>
    <row r="36" spans="1:20" x14ac:dyDescent="0.25">
      <c r="A36" s="9" t="s">
        <v>38</v>
      </c>
      <c r="B36" s="10" t="s">
        <v>34</v>
      </c>
      <c r="C36" s="55">
        <f t="shared" si="29"/>
        <v>2</v>
      </c>
      <c r="D36" s="51">
        <f t="shared" si="30"/>
        <v>19</v>
      </c>
      <c r="E36" s="50">
        <f t="shared" si="10"/>
        <v>0.10526315789473684</v>
      </c>
      <c r="F36" s="71">
        <f t="shared" si="27"/>
        <v>378.9473684210526</v>
      </c>
      <c r="G36" s="72">
        <f t="shared" si="25"/>
        <v>3.1578947368421053</v>
      </c>
      <c r="H36" s="74">
        <f t="shared" si="8"/>
        <v>30</v>
      </c>
      <c r="I36" s="71">
        <f t="shared" si="26"/>
        <v>189.47368421052633</v>
      </c>
    </row>
    <row r="37" spans="1:20" x14ac:dyDescent="0.25">
      <c r="A37" s="9" t="s">
        <v>38</v>
      </c>
      <c r="B37" s="10" t="s">
        <v>35</v>
      </c>
      <c r="C37" s="55">
        <f t="shared" si="29"/>
        <v>2</v>
      </c>
      <c r="D37" s="51">
        <f t="shared" si="30"/>
        <v>19</v>
      </c>
      <c r="E37" s="50">
        <f t="shared" si="10"/>
        <v>0.10526315789473684</v>
      </c>
      <c r="F37" s="71">
        <f t="shared" si="27"/>
        <v>378.9473684210526</v>
      </c>
      <c r="G37" s="72">
        <f t="shared" si="25"/>
        <v>3.1578947368421053</v>
      </c>
      <c r="H37" s="74">
        <f t="shared" si="8"/>
        <v>30</v>
      </c>
      <c r="I37" s="71">
        <f t="shared" si="26"/>
        <v>189.47368421052633</v>
      </c>
    </row>
    <row r="38" spans="1:20" x14ac:dyDescent="0.25">
      <c r="A38" s="9" t="s">
        <v>38</v>
      </c>
      <c r="B38" s="10" t="s">
        <v>36</v>
      </c>
      <c r="C38" s="55">
        <f t="shared" si="29"/>
        <v>2</v>
      </c>
      <c r="D38" s="51">
        <f t="shared" si="30"/>
        <v>19</v>
      </c>
      <c r="E38" s="50">
        <f t="shared" si="10"/>
        <v>0.10526315789473684</v>
      </c>
      <c r="F38" s="71">
        <f t="shared" si="27"/>
        <v>378.9473684210526</v>
      </c>
      <c r="G38" s="72">
        <f t="shared" si="25"/>
        <v>3.1578947368421053</v>
      </c>
      <c r="H38" s="74">
        <f t="shared" si="8"/>
        <v>30</v>
      </c>
      <c r="I38" s="71">
        <f t="shared" si="26"/>
        <v>189.47368421052633</v>
      </c>
    </row>
    <row r="39" spans="1:20" x14ac:dyDescent="0.25">
      <c r="A39" s="9" t="s">
        <v>38</v>
      </c>
      <c r="B39" s="10" t="s">
        <v>37</v>
      </c>
      <c r="C39" s="55">
        <f t="shared" si="29"/>
        <v>2</v>
      </c>
      <c r="D39" s="51">
        <f t="shared" si="30"/>
        <v>19</v>
      </c>
      <c r="E39" s="50">
        <f t="shared" si="10"/>
        <v>0.10526315789473684</v>
      </c>
      <c r="F39" s="71">
        <f t="shared" si="27"/>
        <v>378.9473684210526</v>
      </c>
      <c r="G39" s="72">
        <f t="shared" si="25"/>
        <v>3.1578947368421053</v>
      </c>
      <c r="H39" s="74">
        <f t="shared" si="8"/>
        <v>30</v>
      </c>
      <c r="I39" s="71">
        <f t="shared" si="26"/>
        <v>189.47368421052633</v>
      </c>
    </row>
    <row r="40" spans="1:20" x14ac:dyDescent="0.25">
      <c r="A40" s="9" t="s">
        <v>38</v>
      </c>
      <c r="B40" s="10" t="s">
        <v>25</v>
      </c>
      <c r="C40" s="55">
        <f t="shared" si="29"/>
        <v>2</v>
      </c>
      <c r="D40" s="51">
        <f t="shared" si="30"/>
        <v>19</v>
      </c>
      <c r="E40" s="50">
        <f t="shared" si="10"/>
        <v>0.10526315789473684</v>
      </c>
      <c r="F40" s="71">
        <f t="shared" si="27"/>
        <v>378.9473684210526</v>
      </c>
      <c r="G40" s="72">
        <f t="shared" si="25"/>
        <v>3.1578947368421053</v>
      </c>
      <c r="H40" s="74">
        <f t="shared" si="8"/>
        <v>30</v>
      </c>
      <c r="I40" s="71">
        <f t="shared" si="26"/>
        <v>189.47368421052633</v>
      </c>
    </row>
    <row r="41" spans="1:20" x14ac:dyDescent="0.25">
      <c r="A41" s="6" t="s">
        <v>2</v>
      </c>
      <c r="B41" s="16"/>
      <c r="C41" s="54">
        <f>SUM(C2+C10+C19+C31)</f>
        <v>9</v>
      </c>
      <c r="D41" s="16"/>
      <c r="E41" s="16"/>
      <c r="F41" s="16"/>
      <c r="G41" s="16"/>
      <c r="H41" s="16"/>
      <c r="I41" s="16"/>
    </row>
    <row r="44" spans="1:20" x14ac:dyDescent="0.25">
      <c r="A44" s="62" t="s">
        <v>10</v>
      </c>
      <c r="B44" s="62"/>
      <c r="C44" s="62" t="s">
        <v>11</v>
      </c>
      <c r="D44" s="62"/>
      <c r="E44" s="62"/>
      <c r="F44" s="64" t="s">
        <v>21</v>
      </c>
      <c r="G44" s="64"/>
      <c r="H44" s="64"/>
      <c r="I44" s="64"/>
    </row>
    <row r="45" spans="1:20" ht="48.75" customHeight="1" x14ac:dyDescent="0.25">
      <c r="A45" s="4" t="s">
        <v>12</v>
      </c>
      <c r="B45" s="4" t="s">
        <v>13</v>
      </c>
      <c r="C45" s="4" t="s">
        <v>14</v>
      </c>
      <c r="D45" s="4" t="s">
        <v>18</v>
      </c>
      <c r="E45" s="5" t="s">
        <v>16</v>
      </c>
      <c r="F45" s="2" t="s">
        <v>55</v>
      </c>
      <c r="G45" s="2" t="s">
        <v>54</v>
      </c>
      <c r="H45" s="2" t="s">
        <v>17</v>
      </c>
      <c r="I45" s="2" t="s">
        <v>18</v>
      </c>
      <c r="K45" s="2" t="s">
        <v>58</v>
      </c>
      <c r="L45" s="2" t="s">
        <v>59</v>
      </c>
    </row>
    <row r="46" spans="1:20" x14ac:dyDescent="0.25">
      <c r="A46" s="42" t="s">
        <v>42</v>
      </c>
      <c r="B46" s="39">
        <v>937</v>
      </c>
      <c r="C46" s="24">
        <f>N19</f>
        <v>1971.2550607287449</v>
      </c>
      <c r="D46" s="75">
        <f>1-B46/C46</f>
        <v>0.52466830971452039</v>
      </c>
      <c r="E46" s="45">
        <f t="shared" ref="E46:E59" si="31">C46/B46</f>
        <v>2.1037940882910831</v>
      </c>
      <c r="F46" s="41" t="s">
        <v>23</v>
      </c>
      <c r="G46" s="25">
        <f>ROUND(C46/2,0)</f>
        <v>986</v>
      </c>
      <c r="H46" s="25">
        <v>466</v>
      </c>
      <c r="I46" s="26">
        <f>1-G46/H46</f>
        <v>-1.1158798283261802</v>
      </c>
      <c r="J46" s="58"/>
      <c r="K46" s="42" t="s">
        <v>42</v>
      </c>
      <c r="L46" s="22" t="s">
        <v>23</v>
      </c>
      <c r="M46"/>
      <c r="T46" s="57"/>
    </row>
    <row r="47" spans="1:20" ht="31.5" x14ac:dyDescent="0.25">
      <c r="A47" s="43" t="s">
        <v>44</v>
      </c>
      <c r="B47" s="39">
        <v>1343</v>
      </c>
      <c r="C47" s="24">
        <f>N20</f>
        <v>2778.9473684210525</v>
      </c>
      <c r="D47" s="75">
        <f t="shared" ref="D47:D59" si="32">1-B47/C47</f>
        <v>0.51672348484848485</v>
      </c>
      <c r="E47" s="45">
        <f t="shared" si="31"/>
        <v>2.069208762785594</v>
      </c>
      <c r="F47" s="41" t="s">
        <v>30</v>
      </c>
      <c r="G47" s="25">
        <f t="shared" ref="G47:G58" si="33">ROUND(C47/2,0)</f>
        <v>1389</v>
      </c>
      <c r="H47" s="25">
        <v>654</v>
      </c>
      <c r="I47" s="26">
        <f t="shared" ref="I47:I58" si="34">1-G47/H47</f>
        <v>-1.1238532110091741</v>
      </c>
      <c r="J47" s="58"/>
      <c r="K47" s="42" t="s">
        <v>44</v>
      </c>
      <c r="L47" s="22" t="s">
        <v>30</v>
      </c>
      <c r="M47"/>
      <c r="T47" s="57"/>
    </row>
    <row r="48" spans="1:20" ht="31.5" x14ac:dyDescent="0.25">
      <c r="A48" s="43" t="s">
        <v>43</v>
      </c>
      <c r="B48" s="39">
        <v>2638</v>
      </c>
      <c r="C48" s="24">
        <f>N21</f>
        <v>5478.9473684210525</v>
      </c>
      <c r="D48" s="75">
        <f t="shared" si="32"/>
        <v>0.51852065321805951</v>
      </c>
      <c r="E48" s="45">
        <f t="shared" si="31"/>
        <v>2.076932285224053</v>
      </c>
      <c r="F48" s="41" t="s">
        <v>31</v>
      </c>
      <c r="G48" s="25">
        <f t="shared" si="33"/>
        <v>2739</v>
      </c>
      <c r="H48" s="25">
        <v>1277</v>
      </c>
      <c r="I48" s="26">
        <f t="shared" si="34"/>
        <v>-1.1448707909162099</v>
      </c>
      <c r="J48" s="58"/>
      <c r="K48" s="42" t="s">
        <v>43</v>
      </c>
      <c r="L48" s="22" t="s">
        <v>31</v>
      </c>
      <c r="M48"/>
      <c r="T48" s="57"/>
    </row>
    <row r="49" spans="1:20" ht="31.5" x14ac:dyDescent="0.25">
      <c r="A49" s="43" t="s">
        <v>45</v>
      </c>
      <c r="B49" s="39">
        <v>350</v>
      </c>
      <c r="C49" s="24">
        <f>N22</f>
        <v>692.30769230769226</v>
      </c>
      <c r="D49" s="75">
        <f t="shared" si="32"/>
        <v>0.49444444444444446</v>
      </c>
      <c r="E49" s="45">
        <f t="shared" si="31"/>
        <v>1.9780219780219779</v>
      </c>
      <c r="F49" s="41" t="s">
        <v>32</v>
      </c>
      <c r="G49" s="25">
        <f t="shared" si="33"/>
        <v>346</v>
      </c>
      <c r="H49" s="25">
        <v>165</v>
      </c>
      <c r="I49" s="26">
        <f t="shared" si="34"/>
        <v>-1.0969696969696972</v>
      </c>
      <c r="J49" s="58"/>
      <c r="K49" s="42" t="s">
        <v>45</v>
      </c>
      <c r="L49" s="22" t="s">
        <v>32</v>
      </c>
      <c r="M49"/>
      <c r="T49" s="57"/>
    </row>
    <row r="50" spans="1:20" ht="31.5" x14ac:dyDescent="0.25">
      <c r="A50" s="43" t="s">
        <v>7</v>
      </c>
      <c r="B50" s="39">
        <v>326</v>
      </c>
      <c r="C50" s="24">
        <f>N23</f>
        <v>692.30769230769226</v>
      </c>
      <c r="D50" s="75">
        <f t="shared" si="32"/>
        <v>0.52911111111111109</v>
      </c>
      <c r="E50" s="45">
        <f t="shared" si="31"/>
        <v>2.1236432279377064</v>
      </c>
      <c r="F50" s="41" t="s">
        <v>24</v>
      </c>
      <c r="G50" s="25">
        <f t="shared" si="33"/>
        <v>346</v>
      </c>
      <c r="H50" s="25">
        <v>165</v>
      </c>
      <c r="I50" s="26">
        <f t="shared" si="34"/>
        <v>-1.0969696969696972</v>
      </c>
      <c r="J50" s="58"/>
      <c r="K50" s="42" t="s">
        <v>7</v>
      </c>
      <c r="L50" s="22" t="s">
        <v>24</v>
      </c>
      <c r="M50"/>
      <c r="T50" s="57"/>
    </row>
    <row r="51" spans="1:20" ht="31.5" x14ac:dyDescent="0.25">
      <c r="A51" s="43" t="s">
        <v>46</v>
      </c>
      <c r="B51" s="39">
        <v>492</v>
      </c>
      <c r="C51" s="24">
        <f>N24</f>
        <v>978.9473684210526</v>
      </c>
      <c r="D51" s="75">
        <f t="shared" si="32"/>
        <v>0.49741935483870969</v>
      </c>
      <c r="E51" s="45">
        <f t="shared" si="31"/>
        <v>1.9897304236200257</v>
      </c>
      <c r="F51" s="41" t="s">
        <v>33</v>
      </c>
      <c r="G51" s="25">
        <f t="shared" si="33"/>
        <v>489</v>
      </c>
      <c r="H51" s="25">
        <v>237</v>
      </c>
      <c r="I51" s="26">
        <f t="shared" si="34"/>
        <v>-1.0632911392405062</v>
      </c>
      <c r="J51" s="58"/>
      <c r="K51" s="42" t="s">
        <v>46</v>
      </c>
      <c r="L51" s="22" t="s">
        <v>33</v>
      </c>
      <c r="M51"/>
      <c r="T51" s="57"/>
    </row>
    <row r="52" spans="1:20" ht="31.5" x14ac:dyDescent="0.25">
      <c r="A52" s="43" t="s">
        <v>48</v>
      </c>
      <c r="B52" s="39">
        <v>487</v>
      </c>
      <c r="C52" s="24">
        <f>N25</f>
        <v>978.9473684210526</v>
      </c>
      <c r="D52" s="75">
        <f t="shared" si="32"/>
        <v>0.50252688172043003</v>
      </c>
      <c r="E52" s="45">
        <f t="shared" si="31"/>
        <v>2.0101588673943587</v>
      </c>
      <c r="F52" s="41" t="s">
        <v>34</v>
      </c>
      <c r="G52" s="25">
        <f t="shared" si="33"/>
        <v>489</v>
      </c>
      <c r="H52" s="25">
        <v>237</v>
      </c>
      <c r="I52" s="26">
        <f t="shared" si="34"/>
        <v>-1.0632911392405062</v>
      </c>
      <c r="J52" s="58"/>
      <c r="K52" s="42" t="s">
        <v>48</v>
      </c>
      <c r="L52" s="22" t="s">
        <v>34</v>
      </c>
      <c r="M52"/>
      <c r="T52" s="57"/>
    </row>
    <row r="53" spans="1:20" ht="31.5" x14ac:dyDescent="0.25">
      <c r="A53" s="43" t="s">
        <v>47</v>
      </c>
      <c r="B53" s="39">
        <v>496</v>
      </c>
      <c r="C53" s="24">
        <f>N26</f>
        <v>978.9473684210526</v>
      </c>
      <c r="D53" s="75">
        <f t="shared" si="32"/>
        <v>0.49333333333333329</v>
      </c>
      <c r="E53" s="45">
        <f t="shared" si="31"/>
        <v>1.9736842105263157</v>
      </c>
      <c r="F53" s="41" t="s">
        <v>35</v>
      </c>
      <c r="G53" s="25">
        <f t="shared" si="33"/>
        <v>489</v>
      </c>
      <c r="H53" s="25">
        <v>237</v>
      </c>
      <c r="I53" s="26">
        <f t="shared" si="34"/>
        <v>-1.0632911392405062</v>
      </c>
      <c r="J53" s="58"/>
      <c r="K53" s="42" t="s">
        <v>47</v>
      </c>
      <c r="L53" s="22" t="s">
        <v>35</v>
      </c>
      <c r="M53"/>
      <c r="T53" s="57"/>
    </row>
    <row r="54" spans="1:20" ht="31.5" x14ac:dyDescent="0.25">
      <c r="A54" s="43" t="s">
        <v>49</v>
      </c>
      <c r="B54" s="39">
        <v>492</v>
      </c>
      <c r="C54" s="24">
        <f>N27</f>
        <v>978.9473684210526</v>
      </c>
      <c r="D54" s="75">
        <f t="shared" si="32"/>
        <v>0.49741935483870969</v>
      </c>
      <c r="E54" s="45">
        <f t="shared" si="31"/>
        <v>1.9897304236200257</v>
      </c>
      <c r="F54" s="41" t="s">
        <v>36</v>
      </c>
      <c r="G54" s="25">
        <f t="shared" si="33"/>
        <v>489</v>
      </c>
      <c r="H54" s="25">
        <v>237</v>
      </c>
      <c r="I54" s="26">
        <f t="shared" si="34"/>
        <v>-1.0632911392405062</v>
      </c>
      <c r="J54" s="58"/>
      <c r="K54" s="42" t="s">
        <v>49</v>
      </c>
      <c r="L54" s="22" t="s">
        <v>36</v>
      </c>
      <c r="M54"/>
      <c r="T54" s="57"/>
    </row>
    <row r="55" spans="1:20" ht="31.5" x14ac:dyDescent="0.25">
      <c r="A55" s="43" t="s">
        <v>53</v>
      </c>
      <c r="B55" s="39">
        <v>34</v>
      </c>
      <c r="C55" s="24">
        <f>N28</f>
        <v>92.307692307692307</v>
      </c>
      <c r="D55" s="75">
        <f t="shared" si="32"/>
        <v>0.6316666666666666</v>
      </c>
      <c r="E55" s="45">
        <f t="shared" si="31"/>
        <v>2.7149321266968327</v>
      </c>
      <c r="F55" s="41" t="s">
        <v>27</v>
      </c>
      <c r="G55" s="25">
        <f t="shared" si="33"/>
        <v>46</v>
      </c>
      <c r="H55" s="25">
        <v>18</v>
      </c>
      <c r="I55" s="26">
        <f t="shared" si="34"/>
        <v>-1.5555555555555554</v>
      </c>
      <c r="J55" s="58"/>
      <c r="K55" s="42" t="s">
        <v>53</v>
      </c>
      <c r="L55" s="22" t="s">
        <v>27</v>
      </c>
      <c r="M55"/>
      <c r="T55" s="57"/>
    </row>
    <row r="56" spans="1:20" ht="31.5" x14ac:dyDescent="0.25">
      <c r="A56" s="43" t="s">
        <v>50</v>
      </c>
      <c r="B56" s="39">
        <v>463</v>
      </c>
      <c r="C56" s="24">
        <f>N29</f>
        <v>978.9473684210526</v>
      </c>
      <c r="D56" s="75">
        <f t="shared" si="32"/>
        <v>0.52704301075268822</v>
      </c>
      <c r="E56" s="45">
        <f t="shared" si="31"/>
        <v>2.1143571672160961</v>
      </c>
      <c r="F56" s="41" t="s">
        <v>37</v>
      </c>
      <c r="G56" s="25">
        <f t="shared" si="33"/>
        <v>489</v>
      </c>
      <c r="H56" s="25">
        <v>237</v>
      </c>
      <c r="I56" s="26">
        <f t="shared" si="34"/>
        <v>-1.0632911392405062</v>
      </c>
      <c r="J56" s="58"/>
      <c r="K56" s="42" t="s">
        <v>50</v>
      </c>
      <c r="L56" s="22" t="s">
        <v>37</v>
      </c>
      <c r="M56"/>
      <c r="T56" s="57"/>
    </row>
    <row r="57" spans="1:20" x14ac:dyDescent="0.25">
      <c r="A57" s="43" t="s">
        <v>1</v>
      </c>
      <c r="B57" s="39">
        <v>563</v>
      </c>
      <c r="C57" s="24">
        <f>N30</f>
        <v>1163.5627530364372</v>
      </c>
      <c r="D57" s="75">
        <f t="shared" si="32"/>
        <v>0.51614126652748782</v>
      </c>
      <c r="E57" s="45">
        <f t="shared" si="31"/>
        <v>2.0667189219119666</v>
      </c>
      <c r="F57" s="41" t="s">
        <v>25</v>
      </c>
      <c r="G57" s="25">
        <f t="shared" si="33"/>
        <v>582</v>
      </c>
      <c r="H57" s="25">
        <v>273</v>
      </c>
      <c r="I57" s="26">
        <f t="shared" si="34"/>
        <v>-1.1318681318681318</v>
      </c>
      <c r="J57" s="58"/>
      <c r="K57" s="42" t="s">
        <v>1</v>
      </c>
      <c r="L57" s="22" t="s">
        <v>25</v>
      </c>
      <c r="M57"/>
      <c r="T57" s="57"/>
    </row>
    <row r="58" spans="1:20" x14ac:dyDescent="0.25">
      <c r="A58" s="43" t="s">
        <v>0</v>
      </c>
      <c r="B58" s="39">
        <v>217</v>
      </c>
      <c r="C58" s="24">
        <f>N31</f>
        <v>471.25506072874492</v>
      </c>
      <c r="D58" s="75">
        <f t="shared" si="32"/>
        <v>0.53952749140893475</v>
      </c>
      <c r="E58" s="45">
        <f t="shared" si="31"/>
        <v>2.171682307505737</v>
      </c>
      <c r="F58" s="41" t="s">
        <v>26</v>
      </c>
      <c r="G58" s="25">
        <f t="shared" si="33"/>
        <v>236</v>
      </c>
      <c r="H58" s="25">
        <v>108</v>
      </c>
      <c r="I58" s="26">
        <f t="shared" si="34"/>
        <v>-1.1851851851851851</v>
      </c>
      <c r="J58" s="58"/>
      <c r="K58" s="42" t="s">
        <v>0</v>
      </c>
      <c r="L58" s="22" t="s">
        <v>26</v>
      </c>
      <c r="M58"/>
      <c r="T58" s="57"/>
    </row>
    <row r="59" spans="1:20" x14ac:dyDescent="0.25">
      <c r="A59" s="28" t="s">
        <v>15</v>
      </c>
      <c r="B59" s="29">
        <f>SUM(B46:B58)</f>
        <v>8838</v>
      </c>
      <c r="C59" s="30">
        <f>SUM(C46:C58)</f>
        <v>18235.627530364371</v>
      </c>
      <c r="D59" s="31">
        <f t="shared" si="32"/>
        <v>0.51534434527774065</v>
      </c>
      <c r="E59" s="46">
        <f t="shared" si="31"/>
        <v>2.0633206076447581</v>
      </c>
      <c r="F59" s="28" t="s">
        <v>15</v>
      </c>
      <c r="G59" s="32">
        <f>SUM(G46:G58)</f>
        <v>9115</v>
      </c>
      <c r="H59" s="33">
        <f>SUM(H46:H58)</f>
        <v>4311</v>
      </c>
      <c r="I59" s="34">
        <f>1-G59/H59</f>
        <v>-1.1143586174901414</v>
      </c>
      <c r="J59" s="27"/>
      <c r="N59" s="1"/>
      <c r="O59" s="1"/>
    </row>
    <row r="60" spans="1:20" x14ac:dyDescent="0.25">
      <c r="I60" s="35"/>
      <c r="J60" s="27"/>
      <c r="N60" s="1"/>
      <c r="O60" s="1"/>
    </row>
    <row r="61" spans="1:20" x14ac:dyDescent="0.25">
      <c r="A61" s="63"/>
      <c r="B61" s="63"/>
      <c r="C61" s="63"/>
      <c r="D61" s="63"/>
      <c r="E61" s="63"/>
      <c r="F61" s="63"/>
      <c r="G61" s="63"/>
      <c r="H61" s="63"/>
      <c r="I61" s="63"/>
    </row>
    <row r="62" spans="1:20" x14ac:dyDescent="0.25">
      <c r="A62" s="36"/>
      <c r="B62" s="36"/>
      <c r="C62" s="36"/>
      <c r="D62" s="36"/>
      <c r="E62" s="36"/>
      <c r="F62" s="36"/>
      <c r="G62" s="36"/>
      <c r="H62" s="36"/>
      <c r="I62" s="36"/>
    </row>
    <row r="63" spans="1:20" x14ac:dyDescent="0.25">
      <c r="A63" s="37"/>
      <c r="B63" s="38"/>
      <c r="C63" s="38"/>
      <c r="D63" s="38"/>
      <c r="E63" s="38"/>
      <c r="F63" s="38"/>
      <c r="G63" s="38"/>
      <c r="H63" s="38"/>
      <c r="I63" s="38"/>
    </row>
    <row r="64" spans="1:20" x14ac:dyDescent="0.25">
      <c r="A64" s="37"/>
      <c r="B64" s="38"/>
      <c r="C64" s="38"/>
      <c r="D64" s="38"/>
      <c r="E64" s="38"/>
      <c r="F64" s="38"/>
      <c r="G64" s="38"/>
      <c r="H64" s="38"/>
      <c r="I64" s="38"/>
    </row>
    <row r="65" spans="1:9" x14ac:dyDescent="0.25">
      <c r="A65" s="37"/>
      <c r="B65" s="38"/>
      <c r="C65" s="38"/>
      <c r="D65" s="38"/>
      <c r="E65" s="38"/>
      <c r="F65" s="38"/>
      <c r="G65" s="38"/>
      <c r="H65" s="38"/>
      <c r="I65" s="38"/>
    </row>
    <row r="66" spans="1:9" x14ac:dyDescent="0.25">
      <c r="A66" s="37"/>
      <c r="B66" s="38"/>
      <c r="C66" s="38"/>
      <c r="D66" s="38"/>
      <c r="E66" s="38"/>
      <c r="F66" s="38"/>
      <c r="G66" s="38"/>
      <c r="H66" s="38"/>
      <c r="I66" s="38"/>
    </row>
    <row r="67" spans="1:9" x14ac:dyDescent="0.25">
      <c r="A67" s="37"/>
      <c r="B67" s="38"/>
      <c r="C67" s="38"/>
      <c r="D67" s="38"/>
      <c r="E67" s="38"/>
      <c r="F67" s="38"/>
      <c r="G67" s="38"/>
      <c r="H67" s="38"/>
      <c r="I67" s="38"/>
    </row>
    <row r="68" spans="1:9" x14ac:dyDescent="0.25">
      <c r="A68" s="37"/>
      <c r="B68" s="38"/>
      <c r="C68" s="38"/>
      <c r="D68" s="38"/>
      <c r="E68" s="38"/>
      <c r="F68" s="38"/>
      <c r="G68" s="38"/>
      <c r="H68" s="38"/>
      <c r="I68" s="38"/>
    </row>
    <row r="69" spans="1:9" x14ac:dyDescent="0.25">
      <c r="A69" s="37"/>
      <c r="B69" s="38"/>
      <c r="C69" s="38"/>
      <c r="D69" s="38"/>
      <c r="E69" s="38"/>
      <c r="F69" s="38"/>
      <c r="G69" s="38"/>
      <c r="H69" s="38"/>
      <c r="I69" s="38"/>
    </row>
    <row r="70" spans="1:9" x14ac:dyDescent="0.25">
      <c r="A70" s="37"/>
      <c r="B70" s="38"/>
      <c r="C70" s="38"/>
      <c r="D70" s="38"/>
      <c r="E70" s="38"/>
      <c r="F70" s="38"/>
      <c r="G70" s="38"/>
      <c r="H70" s="38"/>
      <c r="I70" s="38"/>
    </row>
    <row r="71" spans="1:9" x14ac:dyDescent="0.25">
      <c r="A71" s="37"/>
      <c r="B71" s="38"/>
      <c r="C71" s="38"/>
      <c r="D71" s="38"/>
      <c r="E71" s="38"/>
      <c r="F71" s="38"/>
      <c r="G71" s="38"/>
      <c r="H71" s="38"/>
      <c r="I71" s="38"/>
    </row>
    <row r="72" spans="1:9" x14ac:dyDescent="0.25">
      <c r="A72" s="37"/>
      <c r="B72" s="38"/>
      <c r="C72" s="38"/>
      <c r="D72" s="38"/>
      <c r="E72" s="38"/>
      <c r="F72" s="38"/>
      <c r="G72" s="38"/>
      <c r="H72" s="38"/>
      <c r="I72" s="38"/>
    </row>
    <row r="73" spans="1:9" x14ac:dyDescent="0.25">
      <c r="A73" s="37"/>
      <c r="B73" s="38"/>
      <c r="C73" s="38"/>
      <c r="D73" s="38"/>
      <c r="E73" s="38"/>
      <c r="F73" s="38"/>
      <c r="G73" s="38"/>
      <c r="H73" s="38"/>
      <c r="I73" s="38"/>
    </row>
    <row r="74" spans="1:9" x14ac:dyDescent="0.25">
      <c r="A74" s="37"/>
      <c r="B74" s="38"/>
      <c r="C74" s="38"/>
      <c r="D74" s="38"/>
      <c r="E74" s="38"/>
      <c r="F74" s="38"/>
      <c r="G74" s="38"/>
      <c r="H74" s="38"/>
      <c r="I74" s="38"/>
    </row>
    <row r="75" spans="1:9" x14ac:dyDescent="0.25">
      <c r="A75" s="37"/>
      <c r="B75" s="38"/>
      <c r="C75" s="38"/>
      <c r="D75" s="38"/>
      <c r="E75" s="38"/>
      <c r="F75" s="38"/>
      <c r="G75" s="38"/>
      <c r="H75" s="38"/>
      <c r="I75" s="38"/>
    </row>
    <row r="76" spans="1:9" x14ac:dyDescent="0.25">
      <c r="A76" s="37"/>
      <c r="B76" s="38"/>
      <c r="C76" s="38"/>
      <c r="D76" s="38"/>
      <c r="E76" s="38"/>
      <c r="F76" s="38"/>
      <c r="G76" s="38"/>
      <c r="H76" s="38"/>
      <c r="I76" s="38"/>
    </row>
    <row r="77" spans="1:9" x14ac:dyDescent="0.25">
      <c r="A77" s="37"/>
      <c r="B77" s="38"/>
      <c r="C77" s="38"/>
      <c r="D77" s="38"/>
      <c r="E77" s="38"/>
      <c r="F77" s="38"/>
      <c r="G77" s="38"/>
      <c r="H77" s="38"/>
      <c r="I77" s="38"/>
    </row>
  </sheetData>
  <mergeCells count="4">
    <mergeCell ref="A44:B44"/>
    <mergeCell ref="C44:E44"/>
    <mergeCell ref="F44:I44"/>
    <mergeCell ref="A61:I61"/>
  </mergeCells>
  <hyperlinks>
    <hyperlink ref="A79" display="vuser_init_Transaction" xr:uid="{50077F7A-FCD0-4971-9620-B2446630EF07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5618-BE05-4D6F-9DA8-1D7E89CD9A21}">
  <dimension ref="A1:N33"/>
  <sheetViews>
    <sheetView topLeftCell="A16" workbookViewId="0">
      <selection activeCell="C21" sqref="C21:M33"/>
    </sheetView>
  </sheetViews>
  <sheetFormatPr defaultRowHeight="15" x14ac:dyDescent="0.25"/>
  <cols>
    <col min="1" max="1" width="33.28515625" customWidth="1"/>
    <col min="2" max="2" width="22.140625" customWidth="1"/>
    <col min="3" max="12" width="17.140625" style="48" customWidth="1"/>
    <col min="13" max="13" width="17.140625" customWidth="1"/>
  </cols>
  <sheetData>
    <row r="1" spans="1:14" ht="33" customHeight="1" x14ac:dyDescent="0.25">
      <c r="A1" s="67" t="s">
        <v>58</v>
      </c>
      <c r="B1" s="67" t="s">
        <v>59</v>
      </c>
      <c r="C1" s="65" t="s">
        <v>57</v>
      </c>
      <c r="D1" s="66"/>
      <c r="E1" s="65" t="s">
        <v>62</v>
      </c>
      <c r="F1" s="66"/>
      <c r="G1" s="65" t="s">
        <v>63</v>
      </c>
      <c r="H1" s="66"/>
      <c r="I1" s="65" t="s">
        <v>64</v>
      </c>
      <c r="J1" s="66"/>
      <c r="K1" s="65" t="s">
        <v>65</v>
      </c>
      <c r="L1" s="66"/>
    </row>
    <row r="2" spans="1:14" ht="16.5" customHeight="1" x14ac:dyDescent="0.25">
      <c r="A2" s="68"/>
      <c r="B2" s="68"/>
      <c r="C2" s="2" t="s">
        <v>60</v>
      </c>
      <c r="D2" s="2" t="s">
        <v>61</v>
      </c>
      <c r="E2" s="2" t="s">
        <v>60</v>
      </c>
      <c r="F2" s="2" t="s">
        <v>61</v>
      </c>
      <c r="G2" s="2" t="s">
        <v>60</v>
      </c>
      <c r="H2" s="2" t="s">
        <v>61</v>
      </c>
      <c r="I2" s="2" t="s">
        <v>60</v>
      </c>
      <c r="J2" s="2" t="s">
        <v>61</v>
      </c>
      <c r="K2" s="2" t="s">
        <v>60</v>
      </c>
      <c r="L2" s="2" t="s">
        <v>61</v>
      </c>
    </row>
    <row r="3" spans="1:14" ht="16.5" customHeight="1" x14ac:dyDescent="0.25">
      <c r="A3" s="42" t="s">
        <v>42</v>
      </c>
      <c r="B3" s="22" t="s">
        <v>23</v>
      </c>
      <c r="C3" s="47">
        <f>COUNTIF('Автоматизированный расчет'!$B$2:$B$40,B3)</f>
        <v>4</v>
      </c>
      <c r="D3" s="47">
        <v>937</v>
      </c>
      <c r="E3" s="47">
        <f>COUNTIF('Автоматизированный расчет'!$B$2:$B$8,$B3)</f>
        <v>1</v>
      </c>
      <c r="F3" s="47">
        <f>COUNTIF('Автоматизированный расчет'!$B$2:$B$8,$B3)*$B$18</f>
        <v>90</v>
      </c>
      <c r="G3" s="47">
        <f>COUNTIF('Автоматизированный расчет'!$B$10:$B$17,$B3)</f>
        <v>1</v>
      </c>
      <c r="H3" s="47">
        <f>COUNTIF('Автоматизированный расчет'!$B$10:$B$17,$B3)*$C$18</f>
        <v>850</v>
      </c>
      <c r="I3" s="47">
        <f>COUNTIF('Автоматизированный расчет'!$B$19:$B$29,$B3)</f>
        <v>1</v>
      </c>
      <c r="J3" s="47">
        <f>COUNTIF('Автоматизированный расчет'!$B$19:$B$29,$B3)*$D$18</f>
        <v>596</v>
      </c>
      <c r="K3" s="47">
        <f>COUNTIF('Автоматизированный расчет'!$B$31:$B$40,$B3)</f>
        <v>1</v>
      </c>
      <c r="L3" s="47">
        <f>COUNTIF('Автоматизированный расчет'!$B$31:$B$40,$B3)*$E$18</f>
        <v>368</v>
      </c>
      <c r="N3" s="40"/>
    </row>
    <row r="4" spans="1:14" ht="16.5" customHeight="1" x14ac:dyDescent="0.25">
      <c r="A4" s="42" t="s">
        <v>44</v>
      </c>
      <c r="B4" s="22" t="s">
        <v>30</v>
      </c>
      <c r="C4" s="47">
        <f>COUNTIF('Автоматизированный расчет'!$B$2:$B$40,B4)</f>
        <v>4</v>
      </c>
      <c r="D4" s="47">
        <v>1343</v>
      </c>
      <c r="E4" s="47">
        <f>COUNTIF('Автоматизированный расчет'!$B$2:$B$8,$B4)</f>
        <v>0</v>
      </c>
      <c r="F4" s="47">
        <f>COUNTIF('Автоматизированный расчет'!$B$2:$B$8,$B4)*$B$18</f>
        <v>0</v>
      </c>
      <c r="G4" s="47">
        <f>COUNTIF('Автоматизированный расчет'!$B$10:$B$17,$B4)</f>
        <v>2</v>
      </c>
      <c r="H4" s="47">
        <f>COUNTIF('Автоматизированный расчет'!$B$10:$B$17,$B4)*$C$18</f>
        <v>1700</v>
      </c>
      <c r="I4" s="47">
        <f>COUNTIF('Автоматизированный расчет'!$B$19:$B$29,$B4)</f>
        <v>1</v>
      </c>
      <c r="J4" s="47">
        <f>COUNTIF('Автоматизированный расчет'!$B$19:$B$29,$B4)*$D$18</f>
        <v>596</v>
      </c>
      <c r="K4" s="47">
        <f>COUNTIF('Автоматизированный расчет'!$B$31:$B$40,$B4)</f>
        <v>1</v>
      </c>
      <c r="L4" s="47">
        <f>COUNTIF('Автоматизированный расчет'!$B$31:$B$40,$B4)*$E$18</f>
        <v>368</v>
      </c>
      <c r="N4" s="40"/>
    </row>
    <row r="5" spans="1:14" ht="16.5" customHeight="1" x14ac:dyDescent="0.25">
      <c r="A5" s="42" t="s">
        <v>43</v>
      </c>
      <c r="B5" s="22" t="s">
        <v>31</v>
      </c>
      <c r="C5" s="47">
        <f>COUNTIF('Автоматизированный расчет'!$B$2:$B$40,B5)</f>
        <v>7</v>
      </c>
      <c r="D5" s="47">
        <v>2638</v>
      </c>
      <c r="E5" s="47">
        <f>COUNTIF('Автоматизированный расчет'!$B$2:$B$8,$B5)</f>
        <v>0</v>
      </c>
      <c r="F5" s="47">
        <f>COUNTIF('Автоматизированный расчет'!$B$2:$B$8,$B5)*$B$18</f>
        <v>0</v>
      </c>
      <c r="G5" s="47">
        <f>COUNTIF('Автоматизированный расчет'!$B$10:$B$17,$B5)</f>
        <v>5</v>
      </c>
      <c r="H5" s="47">
        <f>COUNTIF('Автоматизированный расчет'!$B$10:$B$17,$B5)*$C$18</f>
        <v>4250</v>
      </c>
      <c r="I5" s="47">
        <f>COUNTIF('Автоматизированный расчет'!$B$19:$B$29,$B5)</f>
        <v>1</v>
      </c>
      <c r="J5" s="47">
        <f>COUNTIF('Автоматизированный расчет'!$B$19:$B$29,$B5)*$D$18</f>
        <v>596</v>
      </c>
      <c r="K5" s="47">
        <f>COUNTIF('Автоматизированный расчет'!$B$31:$B$40,$B5)</f>
        <v>1</v>
      </c>
      <c r="L5" s="47">
        <f>COUNTIF('Автоматизированный расчет'!$B$31:$B$40,$B5)*$E$18</f>
        <v>368</v>
      </c>
      <c r="N5" s="40"/>
    </row>
    <row r="6" spans="1:14" ht="16.5" customHeight="1" x14ac:dyDescent="0.25">
      <c r="A6" s="42" t="s">
        <v>45</v>
      </c>
      <c r="B6" s="22" t="s">
        <v>32</v>
      </c>
      <c r="C6" s="47">
        <f>COUNTIF('Автоматизированный расчет'!$B$2:$B$40,B6)</f>
        <v>2</v>
      </c>
      <c r="D6" s="47">
        <v>350</v>
      </c>
      <c r="E6" s="47">
        <f>COUNTIF('Автоматизированный расчет'!$B$2:$B$8,$B6)</f>
        <v>1</v>
      </c>
      <c r="F6" s="47">
        <f>COUNTIF('Автоматизированный расчет'!$B$2:$B$8,$B6)*$B$18</f>
        <v>90</v>
      </c>
      <c r="G6" s="47">
        <f>COUNTIF('Автоматизированный расчет'!$B$10:$B$17,$B6)</f>
        <v>0</v>
      </c>
      <c r="H6" s="47">
        <f>COUNTIF('Автоматизированный расчет'!$B$10:$B$17,$B6)*$C$18</f>
        <v>0</v>
      </c>
      <c r="I6" s="47">
        <f>COUNTIF('Автоматизированный расчет'!$B$19:$B$29,$B6)</f>
        <v>1</v>
      </c>
      <c r="J6" s="47">
        <f>COUNTIF('Автоматизированный расчет'!$B$19:$B$29,$B6)*$D$18</f>
        <v>596</v>
      </c>
      <c r="K6" s="47">
        <f>COUNTIF('Автоматизированный расчет'!$B$31:$B$40,$B6)</f>
        <v>0</v>
      </c>
      <c r="L6" s="47">
        <f>COUNTIF('Автоматизированный расчет'!$B$31:$B$40,$B6)*$E$18</f>
        <v>0</v>
      </c>
      <c r="N6" s="40"/>
    </row>
    <row r="7" spans="1:14" ht="16.5" customHeight="1" x14ac:dyDescent="0.25">
      <c r="A7" s="42" t="s">
        <v>7</v>
      </c>
      <c r="B7" s="22" t="s">
        <v>24</v>
      </c>
      <c r="C7" s="47">
        <f>COUNTIF('Автоматизированный расчет'!$B$2:$B$40,B7)</f>
        <v>2</v>
      </c>
      <c r="D7" s="47">
        <v>326</v>
      </c>
      <c r="E7" s="47">
        <f>COUNTIF('Автоматизированный расчет'!$B$2:$B$8,$B7)</f>
        <v>1</v>
      </c>
      <c r="F7" s="47">
        <f>COUNTIF('Автоматизированный расчет'!$B$2:$B$8,$B7)*$B$18</f>
        <v>90</v>
      </c>
      <c r="G7" s="47">
        <f>COUNTIF('Автоматизированный расчет'!$B$10:$B$17,$B7)</f>
        <v>0</v>
      </c>
      <c r="H7" s="47">
        <f>COUNTIF('Автоматизированный расчет'!$B$10:$B$17,$B7)*$C$18</f>
        <v>0</v>
      </c>
      <c r="I7" s="47">
        <f>COUNTIF('Автоматизированный расчет'!$B$19:$B$29,$B7)</f>
        <v>1</v>
      </c>
      <c r="J7" s="47">
        <f>COUNTIF('Автоматизированный расчет'!$B$19:$B$29,$B7)*$D$18</f>
        <v>596</v>
      </c>
      <c r="K7" s="47">
        <f>COUNTIF('Автоматизированный расчет'!$B$31:$B$40,$B7)</f>
        <v>0</v>
      </c>
      <c r="L7" s="47">
        <f>COUNTIF('Автоматизированный расчет'!$B$31:$B$40,$B7)*$E$18</f>
        <v>0</v>
      </c>
      <c r="N7" s="40"/>
    </row>
    <row r="8" spans="1:14" ht="16.5" customHeight="1" x14ac:dyDescent="0.25">
      <c r="A8" s="42" t="s">
        <v>46</v>
      </c>
      <c r="B8" s="22" t="s">
        <v>33</v>
      </c>
      <c r="C8" s="47">
        <f>COUNTIF('Автоматизированный расчет'!$B$2:$B$40,B8)</f>
        <v>2</v>
      </c>
      <c r="D8" s="47">
        <v>492</v>
      </c>
      <c r="E8" s="47">
        <f>COUNTIF('Автоматизированный расчет'!$B$2:$B$8,$B8)</f>
        <v>0</v>
      </c>
      <c r="F8" s="47">
        <f>COUNTIF('Автоматизированный расчет'!$B$2:$B$8,$B8)*$B$18</f>
        <v>0</v>
      </c>
      <c r="G8" s="47">
        <f>COUNTIF('Автоматизированный расчет'!$B$10:$B$17,$B8)</f>
        <v>0</v>
      </c>
      <c r="H8" s="47">
        <f>COUNTIF('Автоматизированный расчет'!$B$10:$B$17,$B8)*$C$18</f>
        <v>0</v>
      </c>
      <c r="I8" s="47">
        <f>COUNTIF('Автоматизированный расчет'!$B$19:$B$29,$B8)</f>
        <v>1</v>
      </c>
      <c r="J8" s="47">
        <f>COUNTIF('Автоматизированный расчет'!$B$19:$B$29,$B8)*$D$18</f>
        <v>596</v>
      </c>
      <c r="K8" s="47">
        <f>COUNTIF('Автоматизированный расчет'!$B$31:$B$40,$B8)</f>
        <v>1</v>
      </c>
      <c r="L8" s="47">
        <f>COUNTIF('Автоматизированный расчет'!$B$31:$B$40,$B8)*$E$18</f>
        <v>368</v>
      </c>
      <c r="N8" s="40"/>
    </row>
    <row r="9" spans="1:14" ht="16.5" customHeight="1" x14ac:dyDescent="0.25">
      <c r="A9" s="42" t="s">
        <v>48</v>
      </c>
      <c r="B9" s="22" t="s">
        <v>34</v>
      </c>
      <c r="C9" s="47">
        <f>COUNTIF('Автоматизированный расчет'!$B$2:$B$40,B9)</f>
        <v>2</v>
      </c>
      <c r="D9" s="47">
        <v>487</v>
      </c>
      <c r="E9" s="47">
        <f>COUNTIF('Автоматизированный расчет'!$B$2:$B$8,$B9)</f>
        <v>0</v>
      </c>
      <c r="F9" s="47">
        <f>COUNTIF('Автоматизированный расчет'!$B$2:$B$8,$B9)*$B$18</f>
        <v>0</v>
      </c>
      <c r="G9" s="47">
        <f>COUNTIF('Автоматизированный расчет'!$B$10:$B$17,$B9)</f>
        <v>0</v>
      </c>
      <c r="H9" s="47">
        <f>COUNTIF('Автоматизированный расчет'!$B$10:$B$17,$B9)*$C$18</f>
        <v>0</v>
      </c>
      <c r="I9" s="47">
        <f>COUNTIF('Автоматизированный расчет'!$B$19:$B$29,$B9)</f>
        <v>1</v>
      </c>
      <c r="J9" s="47">
        <f>COUNTIF('Автоматизированный расчет'!$B$19:$B$29,$B9)*$D$18</f>
        <v>596</v>
      </c>
      <c r="K9" s="47">
        <f>COUNTIF('Автоматизированный расчет'!$B$31:$B$40,$B9)</f>
        <v>1</v>
      </c>
      <c r="L9" s="47">
        <f>COUNTIF('Автоматизированный расчет'!$B$31:$B$40,$B9)*$E$18</f>
        <v>368</v>
      </c>
      <c r="N9" s="40"/>
    </row>
    <row r="10" spans="1:14" ht="16.5" customHeight="1" x14ac:dyDescent="0.25">
      <c r="A10" s="42" t="s">
        <v>47</v>
      </c>
      <c r="B10" s="22" t="s">
        <v>35</v>
      </c>
      <c r="C10" s="47">
        <f>COUNTIF('Автоматизированный расчет'!$B$2:$B$40,B10)</f>
        <v>2</v>
      </c>
      <c r="D10" s="47">
        <v>496</v>
      </c>
      <c r="E10" s="47">
        <f>COUNTIF('Автоматизированный расчет'!$B$2:$B$8,$B10)</f>
        <v>0</v>
      </c>
      <c r="F10" s="47">
        <f>COUNTIF('Автоматизированный расчет'!$B$2:$B$8,$B10)*$B$18</f>
        <v>0</v>
      </c>
      <c r="G10" s="47">
        <f>COUNTIF('Автоматизированный расчет'!$B$10:$B$17,$B10)</f>
        <v>0</v>
      </c>
      <c r="H10" s="47">
        <f>COUNTIF('Автоматизированный расчет'!$B$10:$B$17,$B10)*$C$18</f>
        <v>0</v>
      </c>
      <c r="I10" s="47">
        <f>COUNTIF('Автоматизированный расчет'!$B$19:$B$29,$B10)</f>
        <v>1</v>
      </c>
      <c r="J10" s="47">
        <f>COUNTIF('Автоматизированный расчет'!$B$19:$B$29,$B10)*$D$18</f>
        <v>596</v>
      </c>
      <c r="K10" s="47">
        <f>COUNTIF('Автоматизированный расчет'!$B$31:$B$40,$B10)</f>
        <v>1</v>
      </c>
      <c r="L10" s="47">
        <f>COUNTIF('Автоматизированный расчет'!$B$31:$B$40,$B10)*$E$18</f>
        <v>368</v>
      </c>
      <c r="N10" s="40"/>
    </row>
    <row r="11" spans="1:14" ht="16.5" customHeight="1" x14ac:dyDescent="0.25">
      <c r="A11" s="42" t="s">
        <v>49</v>
      </c>
      <c r="B11" s="22" t="s">
        <v>36</v>
      </c>
      <c r="C11" s="47">
        <f>COUNTIF('Автоматизированный расчет'!$B$2:$B$40,B11)</f>
        <v>2</v>
      </c>
      <c r="D11" s="47">
        <v>492</v>
      </c>
      <c r="E11" s="47">
        <f>COUNTIF('Автоматизированный расчет'!$B$2:$B$8,$B11)</f>
        <v>0</v>
      </c>
      <c r="F11" s="47">
        <f>COUNTIF('Автоматизированный расчет'!$B$2:$B$8,$B11)*$B$18</f>
        <v>0</v>
      </c>
      <c r="G11" s="47">
        <f>COUNTIF('Автоматизированный расчет'!$B$10:$B$17,$B11)</f>
        <v>0</v>
      </c>
      <c r="H11" s="47">
        <f>COUNTIF('Автоматизированный расчет'!$B$10:$B$17,$B11)*$C$18</f>
        <v>0</v>
      </c>
      <c r="I11" s="47">
        <f>COUNTIF('Автоматизированный расчет'!$B$19:$B$29,$B11)</f>
        <v>1</v>
      </c>
      <c r="J11" s="47">
        <f>COUNTIF('Автоматизированный расчет'!$B$19:$B$29,$B11)*$D$18</f>
        <v>596</v>
      </c>
      <c r="K11" s="47">
        <f>COUNTIF('Автоматизированный расчет'!$B$31:$B$40,$B11)</f>
        <v>1</v>
      </c>
      <c r="L11" s="47">
        <f>COUNTIF('Автоматизированный расчет'!$B$31:$B$40,$B11)*$E$18</f>
        <v>368</v>
      </c>
      <c r="N11" s="40"/>
    </row>
    <row r="12" spans="1:14" ht="16.5" customHeight="1" x14ac:dyDescent="0.25">
      <c r="A12" s="42" t="s">
        <v>53</v>
      </c>
      <c r="B12" s="22" t="s">
        <v>27</v>
      </c>
      <c r="C12" s="47">
        <f>COUNTIF('Автоматизированный расчет'!$B$2:$B$40,B12)</f>
        <v>1</v>
      </c>
      <c r="D12" s="47">
        <v>34</v>
      </c>
      <c r="E12" s="47">
        <f>COUNTIF('Автоматизированный расчет'!$B$2:$B$8,$B12)</f>
        <v>1</v>
      </c>
      <c r="F12" s="47">
        <f>COUNTIF('Автоматизированный расчет'!$B$2:$B$8,$B12)*$B$18</f>
        <v>90</v>
      </c>
      <c r="G12" s="47">
        <f>COUNTIF('Автоматизированный расчет'!$B$10:$B$17,$B12)</f>
        <v>0</v>
      </c>
      <c r="H12" s="47">
        <f>COUNTIF('Автоматизированный расчет'!$B$10:$B$17,$B12)*$C$18</f>
        <v>0</v>
      </c>
      <c r="I12" s="47">
        <f>COUNTIF('Автоматизированный расчет'!$B$19:$B$29,$B12)</f>
        <v>0</v>
      </c>
      <c r="J12" s="47">
        <f>COUNTIF('Автоматизированный расчет'!$B$19:$B$29,$B12)*$D$18</f>
        <v>0</v>
      </c>
      <c r="K12" s="47">
        <f>COUNTIF('Автоматизированный расчет'!$B$31:$B$40,$B12)</f>
        <v>0</v>
      </c>
      <c r="L12" s="47">
        <f>COUNTIF('Автоматизированный расчет'!$B$31:$B$40,$B12)*$E$18</f>
        <v>0</v>
      </c>
      <c r="N12" s="40"/>
    </row>
    <row r="13" spans="1:14" ht="16.5" customHeight="1" x14ac:dyDescent="0.25">
      <c r="A13" s="42" t="s">
        <v>50</v>
      </c>
      <c r="B13" s="22" t="s">
        <v>37</v>
      </c>
      <c r="C13" s="47">
        <f>COUNTIF('Автоматизированный расчет'!$B$2:$B$40,B13)</f>
        <v>2</v>
      </c>
      <c r="D13" s="47">
        <v>463</v>
      </c>
      <c r="E13" s="47">
        <f>COUNTIF('Автоматизированный расчет'!$B$2:$B$8,$B13)</f>
        <v>0</v>
      </c>
      <c r="F13" s="47">
        <f>COUNTIF('Автоматизированный расчет'!$B$2:$B$8,$B13)*$B$18</f>
        <v>0</v>
      </c>
      <c r="G13" s="47">
        <f>COUNTIF('Автоматизированный расчет'!$B$10:$B$17,$B13)</f>
        <v>0</v>
      </c>
      <c r="H13" s="47">
        <f>COUNTIF('Автоматизированный расчет'!$B$10:$B$17,$B13)*$C$18</f>
        <v>0</v>
      </c>
      <c r="I13" s="47">
        <f>COUNTIF('Автоматизированный расчет'!$B$19:$B$29,$B13)</f>
        <v>1</v>
      </c>
      <c r="J13" s="47">
        <f>COUNTIF('Автоматизированный расчет'!$B$19:$B$29,$B13)*$D$18</f>
        <v>596</v>
      </c>
      <c r="K13" s="47">
        <f>COUNTIF('Автоматизированный расчет'!$B$31:$B$40,$B13)</f>
        <v>1</v>
      </c>
      <c r="L13" s="47">
        <f>COUNTIF('Автоматизированный расчет'!$B$31:$B$40,$B13)*$E$18</f>
        <v>368</v>
      </c>
      <c r="N13" s="40"/>
    </row>
    <row r="14" spans="1:14" ht="16.5" customHeight="1" x14ac:dyDescent="0.25">
      <c r="A14" s="42" t="s">
        <v>1</v>
      </c>
      <c r="B14" s="22" t="s">
        <v>25</v>
      </c>
      <c r="C14" s="47">
        <f>COUNTIF('Автоматизированный расчет'!$B$2:$B$40,B14)</f>
        <v>4</v>
      </c>
      <c r="D14" s="47">
        <v>563</v>
      </c>
      <c r="E14" s="47">
        <f>COUNTIF('Автоматизированный расчет'!$B$2:$B$8,$B14)</f>
        <v>2</v>
      </c>
      <c r="F14" s="47">
        <f>COUNTIF('Автоматизированный расчет'!$B$2:$B$8,$B14)*$B$18</f>
        <v>180</v>
      </c>
      <c r="G14" s="47">
        <f>COUNTIF('Автоматизированный расчет'!$B$10:$B$17,$B14)</f>
        <v>0</v>
      </c>
      <c r="H14" s="47">
        <f>COUNTIF('Автоматизированный расчет'!$B$10:$B$17,$B14)*$C$18</f>
        <v>0</v>
      </c>
      <c r="I14" s="47">
        <f>COUNTIF('Автоматизированный расчет'!$B$19:$B$29,$B14)</f>
        <v>1</v>
      </c>
      <c r="J14" s="47">
        <f>COUNTIF('Автоматизированный расчет'!$B$19:$B$29,$B14)*$D$18</f>
        <v>596</v>
      </c>
      <c r="K14" s="47">
        <f>COUNTIF('Автоматизированный расчет'!$B$31:$B$40,$B14)</f>
        <v>1</v>
      </c>
      <c r="L14" s="47">
        <f>COUNTIF('Автоматизированный расчет'!$B$31:$B$40,$B14)*$E$18</f>
        <v>368</v>
      </c>
      <c r="N14" s="40"/>
    </row>
    <row r="15" spans="1:14" ht="16.5" customHeight="1" x14ac:dyDescent="0.25">
      <c r="A15" s="42" t="s">
        <v>0</v>
      </c>
      <c r="B15" s="22" t="s">
        <v>26</v>
      </c>
      <c r="C15" s="47">
        <f>COUNTIF('Автоматизированный расчет'!$B$2:$B$40,B15)</f>
        <v>2</v>
      </c>
      <c r="D15" s="47">
        <v>217</v>
      </c>
      <c r="E15" s="47">
        <f>COUNTIF('Автоматизированный расчет'!$B$2:$B$8,$B15)</f>
        <v>1</v>
      </c>
      <c r="F15" s="47">
        <f>COUNTIF('Автоматизированный расчет'!$B$2:$B$8,$B15)*$B$18</f>
        <v>90</v>
      </c>
      <c r="G15" s="47">
        <f>COUNTIF('Автоматизированный расчет'!$B$10:$B$17,$B15)</f>
        <v>0</v>
      </c>
      <c r="H15" s="47">
        <f>COUNTIF('Автоматизированный расчет'!$B$10:$B$17,$B15)*$C$18</f>
        <v>0</v>
      </c>
      <c r="I15" s="47">
        <f>COUNTIF('Автоматизированный расчет'!$B$19:$B$29,$B15)</f>
        <v>0</v>
      </c>
      <c r="J15" s="47">
        <f>COUNTIF('Автоматизированный расчет'!$B$19:$B$29,$B15)*$D$18</f>
        <v>0</v>
      </c>
      <c r="K15" s="47">
        <f>COUNTIF('Автоматизированный расчет'!$B$31:$B$40,$B15)</f>
        <v>1</v>
      </c>
      <c r="L15" s="47">
        <f>COUNTIF('Автоматизированный расчет'!$B$31:$B$40,$B15)*$E$18</f>
        <v>368</v>
      </c>
      <c r="N15" s="40"/>
    </row>
    <row r="17" spans="1:13" ht="31.5" x14ac:dyDescent="0.25">
      <c r="A17" s="59" t="s">
        <v>82</v>
      </c>
      <c r="B17" s="22" t="s">
        <v>77</v>
      </c>
      <c r="C17" s="47" t="s">
        <v>78</v>
      </c>
      <c r="D17" s="47" t="s">
        <v>79</v>
      </c>
      <c r="E17" s="47" t="s">
        <v>80</v>
      </c>
    </row>
    <row r="18" spans="1:13" ht="16.5" customHeight="1" x14ac:dyDescent="0.25">
      <c r="A18" s="2" t="s">
        <v>83</v>
      </c>
      <c r="B18" s="61">
        <v>90</v>
      </c>
      <c r="C18" s="47">
        <v>850</v>
      </c>
      <c r="D18" s="47">
        <v>596</v>
      </c>
      <c r="E18" s="47">
        <v>368</v>
      </c>
    </row>
    <row r="20" spans="1:13" ht="33" customHeight="1" x14ac:dyDescent="0.25">
      <c r="A20" s="59" t="s">
        <v>58</v>
      </c>
      <c r="B20" s="59" t="s">
        <v>59</v>
      </c>
      <c r="C20" s="59" t="s">
        <v>81</v>
      </c>
      <c r="D20" s="59" t="s">
        <v>77</v>
      </c>
      <c r="E20" s="59" t="s">
        <v>76</v>
      </c>
      <c r="F20" s="59" t="s">
        <v>78</v>
      </c>
      <c r="G20" s="59" t="s">
        <v>76</v>
      </c>
      <c r="H20" s="59" t="s">
        <v>79</v>
      </c>
      <c r="I20" s="59" t="s">
        <v>76</v>
      </c>
      <c r="J20" s="59" t="s">
        <v>80</v>
      </c>
      <c r="K20" s="59" t="s">
        <v>76</v>
      </c>
      <c r="L20" s="59" t="s">
        <v>85</v>
      </c>
      <c r="M20" s="59" t="s">
        <v>84</v>
      </c>
    </row>
    <row r="21" spans="1:13" ht="16.5" customHeight="1" x14ac:dyDescent="0.25">
      <c r="A21" s="42" t="s">
        <v>42</v>
      </c>
      <c r="B21" s="22" t="s">
        <v>23</v>
      </c>
      <c r="C21" s="76">
        <v>1971.2550607287449</v>
      </c>
      <c r="D21" s="76">
        <f t="shared" ref="D21:D33" si="0">E3*$B$18</f>
        <v>90</v>
      </c>
      <c r="E21" s="76">
        <f>C21-D21</f>
        <v>1881.2550607287449</v>
      </c>
      <c r="F21" s="76">
        <f>G3*$C$18</f>
        <v>850</v>
      </c>
      <c r="G21" s="76">
        <f>E21-F21</f>
        <v>1031.2550607287449</v>
      </c>
      <c r="H21" s="76">
        <f>I3*$D$18</f>
        <v>596</v>
      </c>
      <c r="I21" s="76">
        <f>G21-H21</f>
        <v>435.25506072874487</v>
      </c>
      <c r="J21" s="76">
        <f>K3*$E$18</f>
        <v>368</v>
      </c>
      <c r="K21" s="76">
        <f>I21-J21</f>
        <v>67.255060728744866</v>
      </c>
      <c r="L21" s="76">
        <f>SUM(D21,F21,H21,J21)</f>
        <v>1904</v>
      </c>
      <c r="M21" s="77">
        <f>K21/L21</f>
        <v>3.5323036097029865E-2</v>
      </c>
    </row>
    <row r="22" spans="1:13" ht="16.5" customHeight="1" x14ac:dyDescent="0.25">
      <c r="A22" s="42" t="s">
        <v>44</v>
      </c>
      <c r="B22" s="22" t="s">
        <v>30</v>
      </c>
      <c r="C22" s="76">
        <v>2778.9473684210525</v>
      </c>
      <c r="D22" s="76">
        <f t="shared" si="0"/>
        <v>0</v>
      </c>
      <c r="E22" s="76">
        <f t="shared" ref="E22:E33" si="1">C22-D22</f>
        <v>2778.9473684210525</v>
      </c>
      <c r="F22" s="76">
        <f t="shared" ref="F22:F33" si="2">G4*$C$18</f>
        <v>1700</v>
      </c>
      <c r="G22" s="76">
        <f t="shared" ref="G22:G33" si="3">E22-F22</f>
        <v>1078.9473684210525</v>
      </c>
      <c r="H22" s="76">
        <f t="shared" ref="H22:H33" si="4">I4*$D$18</f>
        <v>596</v>
      </c>
      <c r="I22" s="76">
        <f t="shared" ref="I22:I33" si="5">G22-H22</f>
        <v>482.94736842105249</v>
      </c>
      <c r="J22" s="76">
        <f t="shared" ref="J22:J33" si="6">K4*$E$18</f>
        <v>368</v>
      </c>
      <c r="K22" s="76">
        <f t="shared" ref="K22:K33" si="7">I22-J22</f>
        <v>114.94736842105249</v>
      </c>
      <c r="L22" s="76">
        <f t="shared" ref="L22:L33" si="8">SUM(D22,F22,H22,J22)</f>
        <v>2664</v>
      </c>
      <c r="M22" s="77">
        <f t="shared" ref="M22:M32" si="9">K22/L22</f>
        <v>4.3148411569464147E-2</v>
      </c>
    </row>
    <row r="23" spans="1:13" ht="16.5" customHeight="1" x14ac:dyDescent="0.25">
      <c r="A23" s="42" t="s">
        <v>43</v>
      </c>
      <c r="B23" s="22" t="s">
        <v>31</v>
      </c>
      <c r="C23" s="76">
        <v>5478.9473684210525</v>
      </c>
      <c r="D23" s="76">
        <f t="shared" si="0"/>
        <v>0</v>
      </c>
      <c r="E23" s="76">
        <f t="shared" si="1"/>
        <v>5478.9473684210525</v>
      </c>
      <c r="F23" s="76">
        <f t="shared" si="2"/>
        <v>4250</v>
      </c>
      <c r="G23" s="76">
        <f t="shared" si="3"/>
        <v>1228.9473684210525</v>
      </c>
      <c r="H23" s="76">
        <f t="shared" si="4"/>
        <v>596</v>
      </c>
      <c r="I23" s="76">
        <f t="shared" si="5"/>
        <v>632.94736842105249</v>
      </c>
      <c r="J23" s="76">
        <f t="shared" si="6"/>
        <v>368</v>
      </c>
      <c r="K23" s="76">
        <f t="shared" si="7"/>
        <v>264.94736842105249</v>
      </c>
      <c r="L23" s="76">
        <f t="shared" si="8"/>
        <v>5214</v>
      </c>
      <c r="M23" s="77">
        <f t="shared" si="9"/>
        <v>5.0814608442856249E-2</v>
      </c>
    </row>
    <row r="24" spans="1:13" ht="16.5" customHeight="1" x14ac:dyDescent="0.25">
      <c r="A24" s="42" t="s">
        <v>45</v>
      </c>
      <c r="B24" s="22" t="s">
        <v>32</v>
      </c>
      <c r="C24" s="76">
        <v>692.30769230769226</v>
      </c>
      <c r="D24" s="76">
        <f t="shared" si="0"/>
        <v>90</v>
      </c>
      <c r="E24" s="76">
        <f t="shared" si="1"/>
        <v>602.30769230769226</v>
      </c>
      <c r="F24" s="76">
        <f t="shared" si="2"/>
        <v>0</v>
      </c>
      <c r="G24" s="76">
        <f t="shared" si="3"/>
        <v>602.30769230769226</v>
      </c>
      <c r="H24" s="76">
        <f t="shared" si="4"/>
        <v>596</v>
      </c>
      <c r="I24" s="76">
        <f t="shared" si="5"/>
        <v>6.307692307692264</v>
      </c>
      <c r="J24" s="76">
        <f t="shared" si="6"/>
        <v>0</v>
      </c>
      <c r="K24" s="76">
        <f t="shared" si="7"/>
        <v>6.307692307692264</v>
      </c>
      <c r="L24" s="76">
        <f t="shared" si="8"/>
        <v>686</v>
      </c>
      <c r="M24" s="77">
        <f t="shared" si="9"/>
        <v>9.1948867459070906E-3</v>
      </c>
    </row>
    <row r="25" spans="1:13" ht="16.5" customHeight="1" x14ac:dyDescent="0.25">
      <c r="A25" s="42" t="s">
        <v>7</v>
      </c>
      <c r="B25" s="22" t="s">
        <v>24</v>
      </c>
      <c r="C25" s="76">
        <v>692.30769230769226</v>
      </c>
      <c r="D25" s="76">
        <f t="shared" si="0"/>
        <v>90</v>
      </c>
      <c r="E25" s="76">
        <f t="shared" si="1"/>
        <v>602.30769230769226</v>
      </c>
      <c r="F25" s="76">
        <f t="shared" si="2"/>
        <v>0</v>
      </c>
      <c r="G25" s="76">
        <f t="shared" si="3"/>
        <v>602.30769230769226</v>
      </c>
      <c r="H25" s="76">
        <f t="shared" si="4"/>
        <v>596</v>
      </c>
      <c r="I25" s="76">
        <f t="shared" si="5"/>
        <v>6.307692307692264</v>
      </c>
      <c r="J25" s="76">
        <f t="shared" si="6"/>
        <v>0</v>
      </c>
      <c r="K25" s="76">
        <f t="shared" si="7"/>
        <v>6.307692307692264</v>
      </c>
      <c r="L25" s="76">
        <f t="shared" si="8"/>
        <v>686</v>
      </c>
      <c r="M25" s="77">
        <f t="shared" si="9"/>
        <v>9.1948867459070906E-3</v>
      </c>
    </row>
    <row r="26" spans="1:13" ht="16.5" customHeight="1" x14ac:dyDescent="0.25">
      <c r="A26" s="42" t="s">
        <v>46</v>
      </c>
      <c r="B26" s="22" t="s">
        <v>33</v>
      </c>
      <c r="C26" s="76">
        <v>978.9473684210526</v>
      </c>
      <c r="D26" s="76">
        <f t="shared" si="0"/>
        <v>0</v>
      </c>
      <c r="E26" s="76">
        <f t="shared" si="1"/>
        <v>978.9473684210526</v>
      </c>
      <c r="F26" s="76">
        <f t="shared" si="2"/>
        <v>0</v>
      </c>
      <c r="G26" s="76">
        <f t="shared" si="3"/>
        <v>978.9473684210526</v>
      </c>
      <c r="H26" s="76">
        <f t="shared" si="4"/>
        <v>596</v>
      </c>
      <c r="I26" s="76">
        <f t="shared" si="5"/>
        <v>382.9473684210526</v>
      </c>
      <c r="J26" s="76">
        <f t="shared" si="6"/>
        <v>368</v>
      </c>
      <c r="K26" s="76">
        <f t="shared" si="7"/>
        <v>14.947368421052602</v>
      </c>
      <c r="L26" s="76">
        <f t="shared" si="8"/>
        <v>964</v>
      </c>
      <c r="M26" s="77">
        <f t="shared" si="9"/>
        <v>1.5505568901506847E-2</v>
      </c>
    </row>
    <row r="27" spans="1:13" ht="16.5" customHeight="1" x14ac:dyDescent="0.25">
      <c r="A27" s="42" t="s">
        <v>48</v>
      </c>
      <c r="B27" s="22" t="s">
        <v>34</v>
      </c>
      <c r="C27" s="76">
        <v>978.9473684210526</v>
      </c>
      <c r="D27" s="76">
        <f t="shared" si="0"/>
        <v>0</v>
      </c>
      <c r="E27" s="76">
        <f t="shared" si="1"/>
        <v>978.9473684210526</v>
      </c>
      <c r="F27" s="76">
        <f t="shared" si="2"/>
        <v>0</v>
      </c>
      <c r="G27" s="76">
        <f t="shared" si="3"/>
        <v>978.9473684210526</v>
      </c>
      <c r="H27" s="76">
        <f t="shared" si="4"/>
        <v>596</v>
      </c>
      <c r="I27" s="76">
        <f t="shared" si="5"/>
        <v>382.9473684210526</v>
      </c>
      <c r="J27" s="76">
        <f t="shared" si="6"/>
        <v>368</v>
      </c>
      <c r="K27" s="76">
        <f t="shared" si="7"/>
        <v>14.947368421052602</v>
      </c>
      <c r="L27" s="76">
        <f t="shared" si="8"/>
        <v>964</v>
      </c>
      <c r="M27" s="77">
        <f t="shared" si="9"/>
        <v>1.5505568901506847E-2</v>
      </c>
    </row>
    <row r="28" spans="1:13" ht="16.5" customHeight="1" x14ac:dyDescent="0.25">
      <c r="A28" s="42" t="s">
        <v>47</v>
      </c>
      <c r="B28" s="22" t="s">
        <v>35</v>
      </c>
      <c r="C28" s="76">
        <v>978.9473684210526</v>
      </c>
      <c r="D28" s="76">
        <f t="shared" si="0"/>
        <v>0</v>
      </c>
      <c r="E28" s="76">
        <f t="shared" si="1"/>
        <v>978.9473684210526</v>
      </c>
      <c r="F28" s="76">
        <f t="shared" si="2"/>
        <v>0</v>
      </c>
      <c r="G28" s="76">
        <f t="shared" si="3"/>
        <v>978.9473684210526</v>
      </c>
      <c r="H28" s="76">
        <f t="shared" si="4"/>
        <v>596</v>
      </c>
      <c r="I28" s="76">
        <f t="shared" si="5"/>
        <v>382.9473684210526</v>
      </c>
      <c r="J28" s="76">
        <f t="shared" si="6"/>
        <v>368</v>
      </c>
      <c r="K28" s="76">
        <f t="shared" si="7"/>
        <v>14.947368421052602</v>
      </c>
      <c r="L28" s="76">
        <f t="shared" si="8"/>
        <v>964</v>
      </c>
      <c r="M28" s="77">
        <f t="shared" si="9"/>
        <v>1.5505568901506847E-2</v>
      </c>
    </row>
    <row r="29" spans="1:13" ht="16.5" customHeight="1" x14ac:dyDescent="0.25">
      <c r="A29" s="42" t="s">
        <v>49</v>
      </c>
      <c r="B29" s="22" t="s">
        <v>36</v>
      </c>
      <c r="C29" s="76">
        <v>978.9473684210526</v>
      </c>
      <c r="D29" s="76">
        <f t="shared" si="0"/>
        <v>0</v>
      </c>
      <c r="E29" s="76">
        <f t="shared" si="1"/>
        <v>978.9473684210526</v>
      </c>
      <c r="F29" s="76">
        <f t="shared" si="2"/>
        <v>0</v>
      </c>
      <c r="G29" s="76">
        <f t="shared" si="3"/>
        <v>978.9473684210526</v>
      </c>
      <c r="H29" s="76">
        <f t="shared" si="4"/>
        <v>596</v>
      </c>
      <c r="I29" s="76">
        <f t="shared" si="5"/>
        <v>382.9473684210526</v>
      </c>
      <c r="J29" s="76">
        <f t="shared" si="6"/>
        <v>368</v>
      </c>
      <c r="K29" s="76">
        <f t="shared" si="7"/>
        <v>14.947368421052602</v>
      </c>
      <c r="L29" s="76">
        <f t="shared" si="8"/>
        <v>964</v>
      </c>
      <c r="M29" s="77">
        <f t="shared" si="9"/>
        <v>1.5505568901506847E-2</v>
      </c>
    </row>
    <row r="30" spans="1:13" ht="16.5" customHeight="1" x14ac:dyDescent="0.25">
      <c r="A30" s="42" t="s">
        <v>53</v>
      </c>
      <c r="B30" s="22" t="s">
        <v>27</v>
      </c>
      <c r="C30" s="76">
        <v>92.307692307692307</v>
      </c>
      <c r="D30" s="76">
        <f t="shared" si="0"/>
        <v>90</v>
      </c>
      <c r="E30" s="76">
        <f t="shared" si="1"/>
        <v>2.3076923076923066</v>
      </c>
      <c r="F30" s="76">
        <f t="shared" si="2"/>
        <v>0</v>
      </c>
      <c r="G30" s="76">
        <f t="shared" si="3"/>
        <v>2.3076923076923066</v>
      </c>
      <c r="H30" s="76">
        <f t="shared" si="4"/>
        <v>0</v>
      </c>
      <c r="I30" s="76">
        <f t="shared" si="5"/>
        <v>2.3076923076923066</v>
      </c>
      <c r="J30" s="76">
        <f t="shared" si="6"/>
        <v>0</v>
      </c>
      <c r="K30" s="76">
        <f t="shared" si="7"/>
        <v>2.3076923076923066</v>
      </c>
      <c r="L30" s="76">
        <f t="shared" si="8"/>
        <v>90</v>
      </c>
      <c r="M30" s="77">
        <f t="shared" si="9"/>
        <v>2.564102564102563E-2</v>
      </c>
    </row>
    <row r="31" spans="1:13" ht="16.5" customHeight="1" x14ac:dyDescent="0.25">
      <c r="A31" s="42" t="s">
        <v>50</v>
      </c>
      <c r="B31" s="22" t="s">
        <v>37</v>
      </c>
      <c r="C31" s="76">
        <v>978.9473684210526</v>
      </c>
      <c r="D31" s="76">
        <f t="shared" si="0"/>
        <v>0</v>
      </c>
      <c r="E31" s="76">
        <f t="shared" si="1"/>
        <v>978.9473684210526</v>
      </c>
      <c r="F31" s="76">
        <f t="shared" si="2"/>
        <v>0</v>
      </c>
      <c r="G31" s="76">
        <f t="shared" si="3"/>
        <v>978.9473684210526</v>
      </c>
      <c r="H31" s="76">
        <f t="shared" si="4"/>
        <v>596</v>
      </c>
      <c r="I31" s="76">
        <f t="shared" si="5"/>
        <v>382.9473684210526</v>
      </c>
      <c r="J31" s="76">
        <f t="shared" si="6"/>
        <v>368</v>
      </c>
      <c r="K31" s="76">
        <f t="shared" si="7"/>
        <v>14.947368421052602</v>
      </c>
      <c r="L31" s="76">
        <f t="shared" si="8"/>
        <v>964</v>
      </c>
      <c r="M31" s="77">
        <f t="shared" si="9"/>
        <v>1.5505568901506847E-2</v>
      </c>
    </row>
    <row r="32" spans="1:13" ht="16.5" customHeight="1" x14ac:dyDescent="0.25">
      <c r="A32" s="42" t="s">
        <v>1</v>
      </c>
      <c r="B32" s="22" t="s">
        <v>25</v>
      </c>
      <c r="C32" s="76">
        <v>1163.5627530364372</v>
      </c>
      <c r="D32" s="76">
        <f t="shared" si="0"/>
        <v>180</v>
      </c>
      <c r="E32" s="76">
        <f t="shared" si="1"/>
        <v>983.56275303643724</v>
      </c>
      <c r="F32" s="76">
        <f t="shared" si="2"/>
        <v>0</v>
      </c>
      <c r="G32" s="76">
        <f t="shared" si="3"/>
        <v>983.56275303643724</v>
      </c>
      <c r="H32" s="76">
        <f t="shared" si="4"/>
        <v>596</v>
      </c>
      <c r="I32" s="76">
        <f t="shared" si="5"/>
        <v>387.56275303643724</v>
      </c>
      <c r="J32" s="76">
        <f t="shared" si="6"/>
        <v>368</v>
      </c>
      <c r="K32" s="76">
        <f t="shared" si="7"/>
        <v>19.562753036437243</v>
      </c>
      <c r="L32" s="76">
        <f t="shared" si="8"/>
        <v>1144</v>
      </c>
      <c r="M32" s="77">
        <f t="shared" si="9"/>
        <v>1.7100308598284302E-2</v>
      </c>
    </row>
    <row r="33" spans="1:13" ht="16.5" customHeight="1" x14ac:dyDescent="0.25">
      <c r="A33" s="42" t="s">
        <v>0</v>
      </c>
      <c r="B33" s="22" t="s">
        <v>26</v>
      </c>
      <c r="C33" s="76">
        <v>471.25506072874492</v>
      </c>
      <c r="D33" s="76">
        <f t="shared" si="0"/>
        <v>90</v>
      </c>
      <c r="E33" s="76">
        <f t="shared" si="1"/>
        <v>381.25506072874492</v>
      </c>
      <c r="F33" s="76">
        <f t="shared" si="2"/>
        <v>0</v>
      </c>
      <c r="G33" s="76">
        <f t="shared" si="3"/>
        <v>381.25506072874492</v>
      </c>
      <c r="H33" s="76">
        <f t="shared" si="4"/>
        <v>0</v>
      </c>
      <c r="I33" s="76">
        <f t="shared" si="5"/>
        <v>381.25506072874492</v>
      </c>
      <c r="J33" s="76">
        <f t="shared" si="6"/>
        <v>368</v>
      </c>
      <c r="K33" s="76">
        <f t="shared" si="7"/>
        <v>13.255060728744922</v>
      </c>
      <c r="L33" s="76">
        <f t="shared" si="8"/>
        <v>458</v>
      </c>
      <c r="M33" s="77">
        <f>K33/L33</f>
        <v>2.8941180630447427E-2</v>
      </c>
    </row>
  </sheetData>
  <mergeCells count="7">
    <mergeCell ref="K1:L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Расчет профиля</vt:lpstr>
      <vt:lpstr>Скорректированные пейсинги</vt:lpstr>
      <vt:lpstr>Расчет профиля корректированный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2025-02-03T18:05:02Z</dcterms:modified>
</cp:coreProperties>
</file>