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 Dukala\Desktop\Excel\"/>
    </mc:Choice>
  </mc:AlternateContent>
  <xr:revisionPtr revIDLastSave="0" documentId="13_ncr:1_{D237C972-8726-4244-A6C8-6C191B0BE20B}" xr6:coauthVersionLast="47" xr6:coauthVersionMax="47" xr10:uidLastSave="{00000000-0000-0000-0000-000000000000}"/>
  <bookViews>
    <workbookView xWindow="28680" yWindow="-120" windowWidth="29040" windowHeight="15840" xr2:uid="{84F2A556-1064-46D3-BAAC-104F6FFAB672}"/>
  </bookViews>
  <sheets>
    <sheet name="KS" sheetId="4" r:id="rId1"/>
    <sheet name="PP" sheetId="3" r:id="rId2"/>
    <sheet name="Tabelle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4" l="1"/>
  <c r="E46" i="4"/>
  <c r="E45" i="4" a="1"/>
  <c r="E45" i="4" s="1"/>
  <c r="D42" i="4"/>
  <c r="D41" i="4"/>
  <c r="D40" i="4"/>
  <c r="D39" i="4"/>
  <c r="E43" i="4" s="1"/>
  <c r="G38" i="4"/>
  <c r="G25" i="4" s="1"/>
  <c r="D38" i="4"/>
  <c r="G35" i="4"/>
  <c r="G37" i="4" s="1"/>
  <c r="G17" i="4" s="1"/>
  <c r="G34" i="4"/>
  <c r="G36" i="4" s="1"/>
  <c r="G32" i="4"/>
  <c r="G31" i="4"/>
  <c r="G28" i="4" a="1"/>
  <c r="G28" i="4" s="1"/>
  <c r="G27" i="4"/>
  <c r="G26" i="4"/>
  <c r="G24" i="4"/>
  <c r="C25" i="4" s="1"/>
  <c r="C47" i="3"/>
  <c r="E46" i="3"/>
  <c r="E45" i="3" a="1"/>
  <c r="E45" i="3" s="1"/>
  <c r="D42" i="3"/>
  <c r="D41" i="3"/>
  <c r="D40" i="3"/>
  <c r="D39" i="3"/>
  <c r="E43" i="3" s="1"/>
  <c r="G38" i="3"/>
  <c r="G25" i="3" s="1"/>
  <c r="D38" i="3"/>
  <c r="G35" i="3"/>
  <c r="G37" i="3" s="1"/>
  <c r="G17" i="3" s="1"/>
  <c r="G34" i="3"/>
  <c r="G36" i="3" s="1"/>
  <c r="G32" i="3"/>
  <c r="G31" i="3"/>
  <c r="G28" i="3" a="1"/>
  <c r="G28" i="3" s="1"/>
  <c r="G27" i="3"/>
  <c r="G26" i="3"/>
  <c r="G24" i="3"/>
  <c r="C25" i="3" s="1"/>
  <c r="F83" i="2"/>
  <c r="G83" i="2" s="1"/>
  <c r="E83" i="2"/>
  <c r="G79" i="2"/>
  <c r="G80" i="2"/>
  <c r="E76" i="2"/>
  <c r="G76" i="2" s="1"/>
  <c r="F76" i="2"/>
  <c r="E77" i="2"/>
  <c r="G77" i="2" s="1"/>
  <c r="F77" i="2"/>
  <c r="E78" i="2"/>
  <c r="G78" i="2" s="1"/>
  <c r="F78" i="2"/>
  <c r="E79" i="2"/>
  <c r="F79" i="2"/>
  <c r="E80" i="2"/>
  <c r="F80" i="2"/>
  <c r="E81" i="2"/>
  <c r="G81" i="2" s="1"/>
  <c r="F81" i="2"/>
  <c r="E82" i="2"/>
  <c r="G82" i="2" s="1"/>
  <c r="F82" i="2"/>
  <c r="F75" i="2"/>
  <c r="E75" i="2"/>
  <c r="G75" i="2" s="1"/>
  <c r="C75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40" i="2"/>
  <c r="G22" i="4" l="1"/>
  <c r="F41" i="4"/>
  <c r="G19" i="4" s="1"/>
  <c r="F40" i="4"/>
  <c r="F42" i="4"/>
  <c r="G46" i="4" s="1"/>
  <c r="G21" i="4" s="1"/>
  <c r="G20" i="4"/>
  <c r="B43" i="4"/>
  <c r="G18" i="4" s="1"/>
  <c r="G16" i="4"/>
  <c r="G22" i="3"/>
  <c r="F42" i="3"/>
  <c r="G46" i="3" s="1"/>
  <c r="G21" i="3" s="1"/>
  <c r="F41" i="3"/>
  <c r="F40" i="3"/>
  <c r="G19" i="3"/>
  <c r="G20" i="3"/>
  <c r="B43" i="3"/>
  <c r="G18" i="3" s="1"/>
  <c r="G16" i="3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Maciej Dukala</author>
  </authors>
  <commentList>
    <comment ref="B38" authorId="0" shapeId="0" xr:uid="{6DDC033C-B962-47AE-98E2-78FE8CA326D7}">
      <text>
        <r>
          <rPr>
            <b/>
            <sz val="9"/>
            <color indexed="81"/>
            <rFont val="Segoe UI"/>
            <family val="2"/>
          </rPr>
          <t>Maciej Dukala:</t>
        </r>
        <r>
          <rPr>
            <sz val="9"/>
            <color indexed="81"/>
            <rFont val="Segoe UI"/>
            <family val="2"/>
          </rPr>
          <t xml:space="preserve">
Schneider Tafeln von 7.14a bis 7.15c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Maciej Dukala</author>
  </authors>
  <commentList>
    <comment ref="B38" authorId="0" shapeId="0" xr:uid="{ADC8E745-A9DD-4715-A87A-BDB65D236026}">
      <text>
        <r>
          <rPr>
            <b/>
            <sz val="9"/>
            <color indexed="81"/>
            <rFont val="Segoe UI"/>
            <family val="2"/>
          </rPr>
          <t>Maciej Dukala:</t>
        </r>
        <r>
          <rPr>
            <sz val="9"/>
            <color indexed="81"/>
            <rFont val="Segoe UI"/>
            <family val="2"/>
          </rPr>
          <t xml:space="preserve">
Schneider Tafeln von 7.14a bis 7.15c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<sst xmlns="http://schemas.openxmlformats.org/spreadsheetml/2006/main" count="298" uniqueCount="187">
  <si>
    <t xml:space="preserve">VEd = </t>
  </si>
  <si>
    <t>a1 =</t>
  </si>
  <si>
    <t>a2 =</t>
  </si>
  <si>
    <t>a3 =</t>
  </si>
  <si>
    <t>a4 =</t>
  </si>
  <si>
    <t>Systemwerte:</t>
  </si>
  <si>
    <t>Belastung:</t>
  </si>
  <si>
    <t>Auflagerlänge:</t>
  </si>
  <si>
    <t>Fugenbreite:</t>
  </si>
  <si>
    <t>Abstand:</t>
  </si>
  <si>
    <t>Abstand Bolzen:</t>
  </si>
  <si>
    <t>Holz:</t>
  </si>
  <si>
    <t>Querschnitt:</t>
  </si>
  <si>
    <t>fm,k=</t>
  </si>
  <si>
    <t>fv,k =</t>
  </si>
  <si>
    <t xml:space="preserve">fc,90k = </t>
  </si>
  <si>
    <t>Bemessungssituation:</t>
  </si>
  <si>
    <t>ym</t>
  </si>
  <si>
    <t>ständige und vorübergehende</t>
  </si>
  <si>
    <t>außergewöhnliche</t>
  </si>
  <si>
    <t>KLED</t>
  </si>
  <si>
    <t>NKL1</t>
  </si>
  <si>
    <t>NKL2</t>
  </si>
  <si>
    <t>NKL3</t>
  </si>
  <si>
    <t>Nutlasten  Kat. A</t>
  </si>
  <si>
    <t>mittel</t>
  </si>
  <si>
    <t>Nutzlasten Kat.B</t>
  </si>
  <si>
    <t>Nutzlasten Kat.C</t>
  </si>
  <si>
    <t>kurz</t>
  </si>
  <si>
    <t>Nutzlasten Kat. D</t>
  </si>
  <si>
    <t>Nutzlasten Kat. E</t>
  </si>
  <si>
    <t>lang</t>
  </si>
  <si>
    <t>Verkehrslasten Kat.F</t>
  </si>
  <si>
    <t>Verkehrslasten Kat.G</t>
  </si>
  <si>
    <t>Verkehrslasten Kat.H</t>
  </si>
  <si>
    <t>Schnee bis NN +1000m</t>
  </si>
  <si>
    <t>Schnee über NN +1000m</t>
  </si>
  <si>
    <t>Windlasten</t>
  </si>
  <si>
    <t>sehr kurz</t>
  </si>
  <si>
    <t>Nutzungsklasse</t>
  </si>
  <si>
    <t>Holz</t>
  </si>
  <si>
    <t>fvk</t>
  </si>
  <si>
    <t xml:space="preserve">kcr </t>
  </si>
  <si>
    <t>C16</t>
  </si>
  <si>
    <t>C24</t>
  </si>
  <si>
    <t>C30</t>
  </si>
  <si>
    <t>D30</t>
  </si>
  <si>
    <t>D35</t>
  </si>
  <si>
    <t>D40</t>
  </si>
  <si>
    <t>GL24h</t>
  </si>
  <si>
    <t>GL24c</t>
  </si>
  <si>
    <t>GL28h</t>
  </si>
  <si>
    <t>GL28c</t>
  </si>
  <si>
    <t>GL30h</t>
  </si>
  <si>
    <t>GL30c</t>
  </si>
  <si>
    <t>GL32h</t>
  </si>
  <si>
    <t>GL32c</t>
  </si>
  <si>
    <t xml:space="preserve">Bemessungssituation: </t>
  </si>
  <si>
    <t>yM =</t>
  </si>
  <si>
    <t>Nutzungsklasse:</t>
  </si>
  <si>
    <r>
      <t xml:space="preserve">-&gt; </t>
    </r>
    <r>
      <rPr>
        <sz val="11"/>
        <color theme="1"/>
        <rFont val="Calibri"/>
        <family val="2"/>
      </rPr>
      <t>γ</t>
    </r>
    <r>
      <rPr>
        <vertAlign val="subscript"/>
        <sz val="11"/>
        <color theme="1"/>
        <rFont val="Calibri"/>
        <family val="2"/>
      </rPr>
      <t>m</t>
    </r>
    <r>
      <rPr>
        <sz val="11"/>
        <color theme="1"/>
        <rFont val="Calibri"/>
        <family val="2"/>
      </rPr>
      <t xml:space="preserve"> =</t>
    </r>
  </si>
  <si>
    <t>-&gt; KLED:</t>
  </si>
  <si>
    <r>
      <t>-&gt; k</t>
    </r>
    <r>
      <rPr>
        <vertAlign val="subscript"/>
        <sz val="11"/>
        <color theme="1"/>
        <rFont val="Calibri"/>
        <family val="2"/>
        <scheme val="minor"/>
      </rPr>
      <t>mod</t>
    </r>
    <r>
      <rPr>
        <sz val="11"/>
        <color theme="1"/>
        <rFont val="Calibri"/>
        <family val="2"/>
        <scheme val="minor"/>
      </rPr>
      <t xml:space="preserve"> =</t>
    </r>
  </si>
  <si>
    <t>leitende Belastung:</t>
  </si>
  <si>
    <t>b=</t>
  </si>
  <si>
    <t xml:space="preserve">h= </t>
  </si>
  <si>
    <t xml:space="preserve">fc,90,k </t>
  </si>
  <si>
    <t>fm,k</t>
  </si>
  <si>
    <t>Profil U</t>
  </si>
  <si>
    <t>UPN 50</t>
  </si>
  <si>
    <t>UPN 65</t>
  </si>
  <si>
    <t>UPN 80</t>
  </si>
  <si>
    <t>UPN 100</t>
  </si>
  <si>
    <t>UPN 120</t>
  </si>
  <si>
    <t>UPN 140</t>
  </si>
  <si>
    <t>UPN 160</t>
  </si>
  <si>
    <t>UPN 180</t>
  </si>
  <si>
    <t>UPN 200</t>
  </si>
  <si>
    <t>UPN 220</t>
  </si>
  <si>
    <t>UPN 240</t>
  </si>
  <si>
    <t>UPN 260</t>
  </si>
  <si>
    <t>UPN 280</t>
  </si>
  <si>
    <t>UPN 300</t>
  </si>
  <si>
    <t>UPN 320</t>
  </si>
  <si>
    <t>UPN 350</t>
  </si>
  <si>
    <t>UPN 380</t>
  </si>
  <si>
    <t>UPN 400</t>
  </si>
  <si>
    <t>d [mm]</t>
  </si>
  <si>
    <t>Wz [cm³]</t>
  </si>
  <si>
    <t>A [cm²]</t>
  </si>
  <si>
    <t>b [mm]</t>
  </si>
  <si>
    <t>tf [mm]</t>
  </si>
  <si>
    <t>Ay [cm²]</t>
  </si>
  <si>
    <t>Stahlprofil:</t>
  </si>
  <si>
    <t>Stahlsorte:</t>
  </si>
  <si>
    <t>fyk =</t>
  </si>
  <si>
    <t>E-Modul =</t>
  </si>
  <si>
    <t>Wz =</t>
  </si>
  <si>
    <t xml:space="preserve">Ay = </t>
  </si>
  <si>
    <t>S235</t>
  </si>
  <si>
    <t>S275</t>
  </si>
  <si>
    <t>S355</t>
  </si>
  <si>
    <t>-&gt; fm,d =</t>
  </si>
  <si>
    <t>-&gt; fv,d =</t>
  </si>
  <si>
    <t>-&gt; fc,90,d =</t>
  </si>
  <si>
    <t>Mörtel:</t>
  </si>
  <si>
    <t>Ausnutzung:</t>
  </si>
  <si>
    <t>Stahlprofil Biegung:</t>
  </si>
  <si>
    <t>Stahlprofil Schub:</t>
  </si>
  <si>
    <t>Zugbolzen:</t>
  </si>
  <si>
    <t>Auflagerpressung:</t>
  </si>
  <si>
    <t>Bolzen / Unterlegscheiben:</t>
  </si>
  <si>
    <t>Bolten:</t>
  </si>
  <si>
    <t>U-Scheibe:</t>
  </si>
  <si>
    <t>-</t>
  </si>
  <si>
    <t>M12</t>
  </si>
  <si>
    <t>M16</t>
  </si>
  <si>
    <t>M20</t>
  </si>
  <si>
    <t>M24</t>
  </si>
  <si>
    <t>Typ 44/4 ISO 7094</t>
  </si>
  <si>
    <t>Typ 56/5 ISO 7094</t>
  </si>
  <si>
    <t>Typ 72/6 ISO 7094</t>
  </si>
  <si>
    <t>Typ 85/6 ISO 7094</t>
  </si>
  <si>
    <t>Typ 58/6 DIN 1052</t>
  </si>
  <si>
    <t>TYP 68/6 DIN 1052</t>
  </si>
  <si>
    <t>TYP 80/8 DIN 1052</t>
  </si>
  <si>
    <t>TYP 105/8 DIN 1052</t>
  </si>
  <si>
    <t xml:space="preserve">-&gt; As = </t>
  </si>
  <si>
    <t>da</t>
  </si>
  <si>
    <t>di</t>
  </si>
  <si>
    <t>Aa</t>
  </si>
  <si>
    <t>Ai</t>
  </si>
  <si>
    <t>4.6</t>
  </si>
  <si>
    <t>5.6</t>
  </si>
  <si>
    <t>8.8</t>
  </si>
  <si>
    <t>10.9</t>
  </si>
  <si>
    <t xml:space="preserve">MEd = VEd x (a1/2 + a2 + a3 + a4/2) = </t>
  </si>
  <si>
    <t xml:space="preserve">MRd = </t>
  </si>
  <si>
    <t xml:space="preserve">VRd = </t>
  </si>
  <si>
    <t xml:space="preserve"> -&gt; Ft,Rd =</t>
  </si>
  <si>
    <t xml:space="preserve">Ft,Ed = MEd / a4 = </t>
  </si>
  <si>
    <r>
      <t xml:space="preserve">-&gt; </t>
    </r>
    <r>
      <rPr>
        <sz val="11"/>
        <color theme="1"/>
        <rFont val="Calibri"/>
        <family val="2"/>
      </rPr>
      <t xml:space="preserve">Fc,90,Rd = </t>
    </r>
  </si>
  <si>
    <t>Pressung unter U-Scheibe:</t>
  </si>
  <si>
    <t xml:space="preserve">di = </t>
  </si>
  <si>
    <t>Blech 140x140x8</t>
  </si>
  <si>
    <t xml:space="preserve">σm,Ed = </t>
  </si>
  <si>
    <t>Holzprofil Biegung:</t>
  </si>
  <si>
    <t>Holzprofil Schub:</t>
  </si>
  <si>
    <t xml:space="preserve">kcr = </t>
  </si>
  <si>
    <t xml:space="preserve">τEd = </t>
  </si>
  <si>
    <t>Mauerwerk:</t>
  </si>
  <si>
    <t>Steinart:</t>
  </si>
  <si>
    <t>Steinklasse:</t>
  </si>
  <si>
    <t>fvk:</t>
  </si>
  <si>
    <t>NM II</t>
  </si>
  <si>
    <t>NM Iia</t>
  </si>
  <si>
    <t>NM III</t>
  </si>
  <si>
    <t>NM IIIa</t>
  </si>
  <si>
    <t>LM 21</t>
  </si>
  <si>
    <t>LM 36</t>
  </si>
  <si>
    <t>DM</t>
  </si>
  <si>
    <t>KS L</t>
  </si>
  <si>
    <t>KS</t>
  </si>
  <si>
    <t>Mz</t>
  </si>
  <si>
    <t>HLz</t>
  </si>
  <si>
    <t>KMz</t>
  </si>
  <si>
    <t>KHLz</t>
  </si>
  <si>
    <t>VHLz</t>
  </si>
  <si>
    <t>VMz</t>
  </si>
  <si>
    <t>KS Vm</t>
  </si>
  <si>
    <t>KS Vb</t>
  </si>
  <si>
    <t>KS VmL</t>
  </si>
  <si>
    <t>KS Vbl</t>
  </si>
  <si>
    <t>PP</t>
  </si>
  <si>
    <t>PPE</t>
  </si>
  <si>
    <t>Hbl</t>
  </si>
  <si>
    <t>Vbl, V</t>
  </si>
  <si>
    <t>Hbn</t>
  </si>
  <si>
    <t>KS XL</t>
  </si>
  <si>
    <t>KS XL-N</t>
  </si>
  <si>
    <t>KS XL-E</t>
  </si>
  <si>
    <t>KS P</t>
  </si>
  <si>
    <t>KS L-P</t>
  </si>
  <si>
    <t xml:space="preserve">-&gt; fv,d = </t>
  </si>
  <si>
    <t xml:space="preserve">h = </t>
  </si>
  <si>
    <t>h [mm]</t>
  </si>
  <si>
    <t>σ(MW) =  VEd / (a1 * h(Stahlprofil))=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</si>
</sst>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\ &quot;[kN]&quot;"/>
    <numFmt numFmtId="165" formatCode="0.0\ &quot;[cm]&quot;"/>
    <numFmt numFmtId="166" formatCode="0.0\ &quot;[-]&quot;"/>
    <numFmt numFmtId="167" formatCode="0.00\ &quot;[-]&quot;"/>
    <numFmt numFmtId="168" formatCode="0.0\ &quot;[N/mm²]&quot;"/>
    <numFmt numFmtId="169" formatCode="0\ &quot;[N/mm²&quot;"/>
    <numFmt numFmtId="171" formatCode="0\ &quot;[N/mm²]&quot;"/>
    <numFmt numFmtId="173" formatCode="0.0\ &quot;[cm³]&quot;"/>
    <numFmt numFmtId="174" formatCode="0.0\ &quot;[cm²]&quot;"/>
    <numFmt numFmtId="181" formatCode="0.0\ &quot;[kN]&quot;"/>
    <numFmt numFmtId="182" formatCode="0.0\ &quot;[kNm]&quot;"/>
    <numFmt numFmtId="183" formatCode="0\ &quot;[-]&quot;"/>
    <numFmt numFmtId="185" formatCode="0\ &quot;[mm]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0" fontId="0" fillId="2" borderId="2" xfId="0" applyFont="1" applyFill="1" applyBorder="1"/>
    <xf numFmtId="0" fontId="0" fillId="0" borderId="3" xfId="0" applyBorder="1"/>
    <xf numFmtId="0" fontId="0" fillId="2" borderId="4" xfId="0" applyFill="1" applyBorder="1"/>
    <xf numFmtId="169" fontId="0" fillId="2" borderId="4" xfId="0" applyNumberFormat="1" applyFill="1" applyBorder="1"/>
    <xf numFmtId="171" fontId="0" fillId="3" borderId="4" xfId="0" applyNumberFormat="1" applyFill="1" applyBorder="1"/>
    <xf numFmtId="166" fontId="0" fillId="3" borderId="4" xfId="0" applyNumberFormat="1" applyFill="1" applyBorder="1"/>
    <xf numFmtId="173" fontId="0" fillId="3" borderId="4" xfId="0" applyNumberFormat="1" applyFill="1" applyBorder="1"/>
    <xf numFmtId="174" fontId="0" fillId="3" borderId="4" xfId="0" applyNumberFormat="1" applyFill="1" applyBorder="1"/>
    <xf numFmtId="182" fontId="0" fillId="3" borderId="4" xfId="0" applyNumberFormat="1" applyFill="1" applyBorder="1"/>
    <xf numFmtId="0" fontId="0" fillId="0" borderId="5" xfId="0" applyBorder="1"/>
    <xf numFmtId="0" fontId="0" fillId="2" borderId="7" xfId="0" applyFill="1" applyBorder="1"/>
    <xf numFmtId="0" fontId="0" fillId="0" borderId="7" xfId="0" applyBorder="1"/>
    <xf numFmtId="0" fontId="0" fillId="0" borderId="2" xfId="0" applyBorder="1"/>
    <xf numFmtId="0" fontId="0" fillId="0" borderId="0" xfId="0" applyBorder="1"/>
    <xf numFmtId="168" fontId="0" fillId="3" borderId="0" xfId="0" applyNumberFormat="1" applyFill="1" applyBorder="1"/>
    <xf numFmtId="0" fontId="0" fillId="0" borderId="0" xfId="0" quotePrefix="1" applyBorder="1"/>
    <xf numFmtId="165" fontId="0" fillId="2" borderId="0" xfId="0" applyNumberFormat="1" applyFill="1" applyBorder="1"/>
    <xf numFmtId="0" fontId="0" fillId="0" borderId="8" xfId="0" applyBorder="1"/>
    <xf numFmtId="168" fontId="0" fillId="3" borderId="8" xfId="0" applyNumberFormat="1" applyFill="1" applyBorder="1"/>
    <xf numFmtId="0" fontId="0" fillId="0" borderId="8" xfId="0" quotePrefix="1" applyBorder="1"/>
    <xf numFmtId="168" fontId="0" fillId="3" borderId="6" xfId="0" applyNumberFormat="1" applyFill="1" applyBorder="1"/>
    <xf numFmtId="0" fontId="0" fillId="2" borderId="7" xfId="0" applyFill="1" applyBorder="1" applyAlignment="1">
      <alignment horizontal="center"/>
    </xf>
    <xf numFmtId="0" fontId="0" fillId="0" borderId="7" xfId="0" quotePrefix="1" applyBorder="1"/>
    <xf numFmtId="166" fontId="0" fillId="3" borderId="2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6" fontId="0" fillId="3" borderId="4" xfId="0" applyNumberFormat="1" applyFill="1" applyBorder="1" applyAlignment="1">
      <alignment horizontal="right"/>
    </xf>
    <xf numFmtId="0" fontId="0" fillId="2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67" fontId="0" fillId="3" borderId="6" xfId="0" applyNumberFormat="1" applyFill="1" applyBorder="1"/>
    <xf numFmtId="164" fontId="0" fillId="2" borderId="0" xfId="0" applyNumberFormat="1" applyFill="1" applyBorder="1"/>
    <xf numFmtId="181" fontId="0" fillId="3" borderId="8" xfId="0" applyNumberFormat="1" applyFill="1" applyBorder="1"/>
    <xf numFmtId="0" fontId="1" fillId="0" borderId="8" xfId="0" quotePrefix="1" applyFont="1" applyBorder="1"/>
    <xf numFmtId="0" fontId="0" fillId="0" borderId="6" xfId="0" applyBorder="1"/>
    <xf numFmtId="0" fontId="0" fillId="2" borderId="0" xfId="0" applyFill="1" applyBorder="1"/>
    <xf numFmtId="181" fontId="0" fillId="3" borderId="0" xfId="0" applyNumberFormat="1" applyFill="1" applyBorder="1"/>
    <xf numFmtId="0" fontId="0" fillId="0" borderId="4" xfId="0" applyBorder="1"/>
    <xf numFmtId="174" fontId="0" fillId="3" borderId="0" xfId="0" applyNumberFormat="1" applyFill="1" applyBorder="1"/>
    <xf numFmtId="181" fontId="0" fillId="3" borderId="4" xfId="0" applyNumberFormat="1" applyFill="1" applyBorder="1"/>
    <xf numFmtId="165" fontId="0" fillId="3" borderId="8" xfId="0" applyNumberFormat="1" applyFill="1" applyBorder="1"/>
    <xf numFmtId="10" fontId="0" fillId="0" borderId="4" xfId="0" applyNumberFormat="1" applyBorder="1"/>
    <xf numFmtId="0" fontId="0" fillId="3" borderId="7" xfId="0" applyFill="1" applyBorder="1"/>
    <xf numFmtId="0" fontId="0" fillId="0" borderId="5" xfId="0" applyFont="1" applyFill="1" applyBorder="1"/>
    <xf numFmtId="0" fontId="1" fillId="0" borderId="8" xfId="0" applyFont="1" applyBorder="1"/>
    <xf numFmtId="0" fontId="0" fillId="0" borderId="3" xfId="0" applyFill="1" applyBorder="1"/>
    <xf numFmtId="0" fontId="0" fillId="0" borderId="1" xfId="0" applyFill="1" applyBorder="1"/>
    <xf numFmtId="183" fontId="0" fillId="2" borderId="0" xfId="0" applyNumberFormat="1" applyFill="1" applyBorder="1"/>
    <xf numFmtId="0" fontId="0" fillId="0" borderId="5" xfId="0" applyFill="1" applyBorder="1"/>
    <xf numFmtId="168" fontId="0" fillId="2" borderId="8" xfId="0" applyNumberFormat="1" applyFill="1" applyBorder="1"/>
    <xf numFmtId="185" fontId="0" fillId="3" borderId="6" xfId="0" applyNumberFormat="1" applyFill="1" applyBorder="1"/>
    <xf numFmtId="10" fontId="0" fillId="0" borderId="6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238125</xdr:colOff>
      <xdr:row>17</xdr:row>
      <xdr:rowOff>122245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7866940-C53A-48B8-B889-0B2368F85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838575" cy="3360744"/>
        </a:xfrm>
        <a:prstGeom prst="foldedCorner">
          <a:avLst>
            <a:gd name="adj" fmla="val 31553"/>
          </a:avLst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238125</xdr:colOff>
      <xdr:row>17</xdr:row>
      <xdr:rowOff>122245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FFDE0D4-E50D-482F-BE38-1DD9B30C6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838575" cy="3360744"/>
        </a:xfrm>
        <a:prstGeom prst="foldedCorner">
          <a:avLst>
            <a:gd name="adj" fmla="val 31553"/>
          </a:avLst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99AE-2A38-4F11-A8EC-644BA64025CC}">
  <dimension ref="A15:G47"/>
  <sheetViews>
    <sheetView tabSelected="1" view="pageLayout" topLeftCell="A14" zoomScaleNormal="100" workbookViewId="0">
      <selection activeCell="C27" sqref="C27:E27"/>
    </sheetView>
  </sheetViews>
  <sheetFormatPr baseColWidth="10" defaultRowHeight="15" x14ac:dyDescent="0.25"/>
  <cols>
    <col min="2" max="2" width="14.5703125" bestFit="1" customWidth="1"/>
    <col min="4" max="4" width="12.85546875" bestFit="1" customWidth="1"/>
    <col min="5" max="5" width="11.85546875" bestFit="1" customWidth="1"/>
    <col min="6" max="6" width="14.5703125" bestFit="1" customWidth="1"/>
    <col min="7" max="7" width="14.7109375" customWidth="1"/>
  </cols>
  <sheetData>
    <row r="15" spans="5:7" x14ac:dyDescent="0.25">
      <c r="E15" s="3" t="s">
        <v>106</v>
      </c>
      <c r="F15" s="15"/>
      <c r="G15" s="16"/>
    </row>
    <row r="16" spans="5:7" x14ac:dyDescent="0.25">
      <c r="E16" s="5" t="s">
        <v>107</v>
      </c>
      <c r="F16" s="17"/>
      <c r="G16" s="43">
        <f>G24/G36</f>
        <v>0.89054241592110317</v>
      </c>
    </row>
    <row r="17" spans="1:7" x14ac:dyDescent="0.25">
      <c r="E17" s="5" t="s">
        <v>108</v>
      </c>
      <c r="F17" s="17"/>
      <c r="G17" s="43">
        <f>B24/G37</f>
        <v>5.0339057675822495E-2</v>
      </c>
    </row>
    <row r="18" spans="1:7" x14ac:dyDescent="0.25">
      <c r="E18" s="5" t="s">
        <v>146</v>
      </c>
      <c r="F18" s="17"/>
      <c r="G18" s="43">
        <f>B43/F40</f>
        <v>0.99226595400064788</v>
      </c>
    </row>
    <row r="19" spans="1:7" x14ac:dyDescent="0.25">
      <c r="E19" s="5" t="s">
        <v>147</v>
      </c>
      <c r="F19" s="17"/>
      <c r="G19" s="43">
        <f>E43/F41</f>
        <v>0.71853741496598644</v>
      </c>
    </row>
    <row r="20" spans="1:7" x14ac:dyDescent="0.25">
      <c r="E20" s="5" t="s">
        <v>109</v>
      </c>
      <c r="F20" s="17"/>
      <c r="G20" s="43">
        <f>C25/E45</f>
        <v>0.29655850540806294</v>
      </c>
    </row>
    <row r="21" spans="1:7" x14ac:dyDescent="0.25">
      <c r="E21" s="5" t="s">
        <v>142</v>
      </c>
      <c r="F21" s="17"/>
      <c r="G21" s="43">
        <f>C25/G46</f>
        <v>0.63978358318393291</v>
      </c>
    </row>
    <row r="22" spans="1:7" x14ac:dyDescent="0.25">
      <c r="E22" s="13" t="s">
        <v>110</v>
      </c>
      <c r="F22" s="21"/>
      <c r="G22" s="53">
        <f>G25/D38</f>
        <v>0.21008403361344535</v>
      </c>
    </row>
    <row r="23" spans="1:7" x14ac:dyDescent="0.25">
      <c r="A23" s="3" t="s">
        <v>6</v>
      </c>
      <c r="B23" s="15"/>
      <c r="C23" s="15"/>
      <c r="D23" s="15"/>
      <c r="E23" s="15"/>
      <c r="F23" s="15"/>
      <c r="G23" s="16"/>
    </row>
    <row r="24" spans="1:7" x14ac:dyDescent="0.25">
      <c r="A24" s="5" t="s">
        <v>0</v>
      </c>
      <c r="B24" s="33">
        <v>26</v>
      </c>
      <c r="C24" s="17"/>
      <c r="D24" s="17" t="s">
        <v>136</v>
      </c>
      <c r="E24" s="17"/>
      <c r="F24" s="17"/>
      <c r="G24" s="12">
        <f>B24*(D30/2+D31+D32+D33/2)/100</f>
        <v>15.08</v>
      </c>
    </row>
    <row r="25" spans="1:7" x14ac:dyDescent="0.25">
      <c r="A25" s="13" t="s">
        <v>140</v>
      </c>
      <c r="B25" s="21"/>
      <c r="C25" s="34">
        <f>G24/D33*100</f>
        <v>16.755555555555556</v>
      </c>
      <c r="D25" s="35" t="s">
        <v>186</v>
      </c>
      <c r="E25" s="21"/>
      <c r="F25" s="21"/>
      <c r="G25" s="24">
        <f>B24*1000/D30/10/G38</f>
        <v>0.83333333333333326</v>
      </c>
    </row>
    <row r="26" spans="1:7" ht="18" x14ac:dyDescent="0.35">
      <c r="A26" s="3" t="s">
        <v>57</v>
      </c>
      <c r="B26" s="15"/>
      <c r="C26" s="25" t="s">
        <v>18</v>
      </c>
      <c r="D26" s="25"/>
      <c r="E26" s="25"/>
      <c r="F26" s="26" t="s">
        <v>60</v>
      </c>
      <c r="G26" s="27">
        <f>VLOOKUP(C26,Tabelle2!A2:D3,4,FALSE)</f>
        <v>1.3</v>
      </c>
    </row>
    <row r="27" spans="1:7" x14ac:dyDescent="0.25">
      <c r="A27" s="5" t="s">
        <v>63</v>
      </c>
      <c r="B27" s="17"/>
      <c r="C27" s="28" t="s">
        <v>35</v>
      </c>
      <c r="D27" s="28"/>
      <c r="E27" s="28"/>
      <c r="F27" s="19" t="s">
        <v>61</v>
      </c>
      <c r="G27" s="29" t="str">
        <f>VLOOKUP(C27,Tabelle2!A5:D15,4,FALSE)</f>
        <v>kurz</v>
      </c>
    </row>
    <row r="28" spans="1:7" ht="18" x14ac:dyDescent="0.35">
      <c r="A28" s="13" t="s">
        <v>59</v>
      </c>
      <c r="B28" s="21"/>
      <c r="C28" s="30" t="s">
        <v>22</v>
      </c>
      <c r="D28" s="31"/>
      <c r="E28" s="31"/>
      <c r="F28" s="23" t="s">
        <v>62</v>
      </c>
      <c r="G28" s="32" cm="1">
        <f t="array" ref="G28">_xlfn.IFS(C28="NKL1",VLOOKUP(C27,Tabelle2!A5:G15,5,FALSE),C28="NKL2",VLOOKUP(C27,Tabelle2!A5:G15,6,FALSE),C28="NKL3", VLOOKUP(C27,Tabelle2!A5:G15,7,FALSE))</f>
        <v>0.9</v>
      </c>
    </row>
    <row r="29" spans="1:7" x14ac:dyDescent="0.25">
      <c r="A29" s="3" t="s">
        <v>5</v>
      </c>
      <c r="B29" s="15"/>
      <c r="C29" s="15"/>
      <c r="D29" s="15"/>
      <c r="F29" s="3" t="s">
        <v>93</v>
      </c>
      <c r="G29" s="4" t="s">
        <v>80</v>
      </c>
    </row>
    <row r="30" spans="1:7" x14ac:dyDescent="0.25">
      <c r="A30" s="5" t="s">
        <v>7</v>
      </c>
      <c r="B30" s="17"/>
      <c r="C30" s="17" t="s">
        <v>1</v>
      </c>
      <c r="D30" s="20">
        <v>12</v>
      </c>
      <c r="F30" s="5" t="s">
        <v>94</v>
      </c>
      <c r="G30" s="6" t="s">
        <v>101</v>
      </c>
    </row>
    <row r="31" spans="1:7" x14ac:dyDescent="0.25">
      <c r="A31" s="5" t="s">
        <v>8</v>
      </c>
      <c r="B31" s="17"/>
      <c r="C31" s="17" t="s">
        <v>2</v>
      </c>
      <c r="D31" s="20">
        <v>2</v>
      </c>
      <c r="F31" s="5" t="s">
        <v>96</v>
      </c>
      <c r="G31" s="7">
        <f>210*1000</f>
        <v>210000</v>
      </c>
    </row>
    <row r="32" spans="1:7" x14ac:dyDescent="0.25">
      <c r="A32" s="5" t="s">
        <v>9</v>
      </c>
      <c r="B32" s="17"/>
      <c r="C32" s="17" t="s">
        <v>3</v>
      </c>
      <c r="D32" s="20">
        <v>5</v>
      </c>
      <c r="F32" s="5" t="s">
        <v>95</v>
      </c>
      <c r="G32" s="8">
        <f>VLOOKUP(G30,Tabelle2!L39:M41,2,FALSE)</f>
        <v>355</v>
      </c>
    </row>
    <row r="33" spans="1:7" x14ac:dyDescent="0.25">
      <c r="A33" s="5" t="s">
        <v>10</v>
      </c>
      <c r="B33" s="17"/>
      <c r="C33" s="17" t="s">
        <v>4</v>
      </c>
      <c r="D33" s="20">
        <v>90</v>
      </c>
      <c r="F33" s="5" t="s">
        <v>58</v>
      </c>
      <c r="G33" s="9">
        <v>1</v>
      </c>
    </row>
    <row r="34" spans="1:7" x14ac:dyDescent="0.25">
      <c r="A34" s="48" t="s">
        <v>150</v>
      </c>
      <c r="B34" s="15"/>
      <c r="C34" s="15"/>
      <c r="D34" s="15"/>
      <c r="E34" s="16"/>
      <c r="F34" s="5" t="s">
        <v>97</v>
      </c>
      <c r="G34" s="10">
        <f>VLOOKUP(G29,Tabelle2!A40:G57,3,FALSE)</f>
        <v>47.7</v>
      </c>
    </row>
    <row r="35" spans="1:7" x14ac:dyDescent="0.25">
      <c r="A35" s="47" t="s">
        <v>105</v>
      </c>
      <c r="B35" s="37" t="s">
        <v>160</v>
      </c>
      <c r="C35" s="17"/>
      <c r="D35" s="17"/>
      <c r="E35" s="39"/>
      <c r="F35" s="5" t="s">
        <v>98</v>
      </c>
      <c r="G35" s="11">
        <f>VLOOKUP(G29,Tabelle2!A40:G57,7,FALSE)</f>
        <v>25.2</v>
      </c>
    </row>
    <row r="36" spans="1:7" x14ac:dyDescent="0.25">
      <c r="A36" s="47" t="s">
        <v>151</v>
      </c>
      <c r="B36" s="37" t="s">
        <v>181</v>
      </c>
      <c r="C36" s="17"/>
      <c r="D36" s="17"/>
      <c r="E36" s="39"/>
      <c r="F36" s="5" t="s">
        <v>137</v>
      </c>
      <c r="G36" s="12">
        <f>G34*G32/10/100</f>
        <v>16.933499999999999</v>
      </c>
    </row>
    <row r="37" spans="1:7" x14ac:dyDescent="0.25">
      <c r="A37" s="47" t="s">
        <v>152</v>
      </c>
      <c r="B37" s="49">
        <v>12</v>
      </c>
      <c r="C37" s="17"/>
      <c r="D37" s="17"/>
      <c r="E37" s="39"/>
      <c r="F37" s="5" t="s">
        <v>138</v>
      </c>
      <c r="G37" s="41">
        <f>G35*G32/(3)^0.5/10</f>
        <v>516.49755081703927</v>
      </c>
    </row>
    <row r="38" spans="1:7" x14ac:dyDescent="0.25">
      <c r="A38" s="50" t="s">
        <v>153</v>
      </c>
      <c r="B38" s="51">
        <v>7</v>
      </c>
      <c r="C38" s="23" t="s">
        <v>183</v>
      </c>
      <c r="D38" s="22">
        <f>0.85*B38/IF(C26="ständige und vorübergehende",1.5,1.3)</f>
        <v>3.9666666666666668</v>
      </c>
      <c r="E38" s="36"/>
      <c r="F38" s="50" t="s">
        <v>184</v>
      </c>
      <c r="G38" s="52">
        <f>VLOOKUP(G29,Tabelle2!A40:H57,8,FALSE)</f>
        <v>260</v>
      </c>
    </row>
    <row r="39" spans="1:7" x14ac:dyDescent="0.25">
      <c r="A39" s="3" t="s">
        <v>11</v>
      </c>
      <c r="B39" s="14" t="s">
        <v>44</v>
      </c>
      <c r="C39" s="15" t="s">
        <v>148</v>
      </c>
      <c r="D39" s="44">
        <f>VLOOKUP(B39,Tabelle2!A23:E36,3,FALSE)</f>
        <v>0.5</v>
      </c>
      <c r="E39" s="15"/>
      <c r="F39" s="15"/>
      <c r="G39" s="16"/>
    </row>
    <row r="40" spans="1:7" x14ac:dyDescent="0.25">
      <c r="A40" s="5" t="s">
        <v>12</v>
      </c>
      <c r="B40" s="17"/>
      <c r="C40" s="17" t="s">
        <v>13</v>
      </c>
      <c r="D40" s="18">
        <f>VLOOKUP(B39,Tabelle2!A23:E36,5,FALSE)</f>
        <v>24</v>
      </c>
      <c r="E40" s="19" t="s">
        <v>102</v>
      </c>
      <c r="F40" s="18">
        <f>$G$28*D40/$G$26</f>
        <v>16.615384615384617</v>
      </c>
      <c r="G40" s="39"/>
    </row>
    <row r="41" spans="1:7" x14ac:dyDescent="0.25">
      <c r="A41" s="5" t="s">
        <v>64</v>
      </c>
      <c r="B41" s="20">
        <v>14</v>
      </c>
      <c r="C41" s="17" t="s">
        <v>14</v>
      </c>
      <c r="D41" s="18">
        <f>VLOOKUP(B39,Tabelle2!A23:E36,2,FALSE)</f>
        <v>4</v>
      </c>
      <c r="E41" s="19" t="s">
        <v>103</v>
      </c>
      <c r="F41" s="18">
        <f>$G$28*D41/$G$26</f>
        <v>2.7692307692307692</v>
      </c>
      <c r="G41" s="39"/>
    </row>
    <row r="42" spans="1:7" x14ac:dyDescent="0.25">
      <c r="A42" s="5" t="s">
        <v>65</v>
      </c>
      <c r="B42" s="20">
        <v>28</v>
      </c>
      <c r="C42" s="17" t="s">
        <v>15</v>
      </c>
      <c r="D42" s="18">
        <f>VLOOKUP(B39,Tabelle2!A23:E36,4,FALSE)</f>
        <v>2.5</v>
      </c>
      <c r="E42" s="19" t="s">
        <v>104</v>
      </c>
      <c r="F42" s="18">
        <f>$G$28*D42/$G$26</f>
        <v>1.7307692307692306</v>
      </c>
      <c r="G42" s="39"/>
    </row>
    <row r="43" spans="1:7" x14ac:dyDescent="0.25">
      <c r="A43" s="45" t="s">
        <v>145</v>
      </c>
      <c r="B43" s="22">
        <f>G24*10^6/(B42*B41^2/6 *1000)</f>
        <v>16.486880466472304</v>
      </c>
      <c r="C43" s="21"/>
      <c r="D43" s="46" t="s">
        <v>149</v>
      </c>
      <c r="E43" s="22">
        <f>1.5*B24/B42/B41/D39*10</f>
        <v>1.989795918367347</v>
      </c>
      <c r="F43" s="21"/>
      <c r="G43" s="36"/>
    </row>
    <row r="44" spans="1:7" x14ac:dyDescent="0.25">
      <c r="A44" s="3" t="s">
        <v>111</v>
      </c>
      <c r="B44" s="15"/>
      <c r="C44" s="15"/>
      <c r="D44" s="15"/>
      <c r="E44" s="15"/>
      <c r="F44" s="15"/>
      <c r="G44" s="16"/>
    </row>
    <row r="45" spans="1:7" x14ac:dyDescent="0.25">
      <c r="A45" s="5" t="s">
        <v>112</v>
      </c>
      <c r="B45" s="37" t="s">
        <v>116</v>
      </c>
      <c r="C45" s="37" t="s">
        <v>133</v>
      </c>
      <c r="D45" s="19" t="s">
        <v>139</v>
      </c>
      <c r="E45" s="38" cm="1">
        <f t="array" ref="E45">_xlfn.IFS(C45="4.6",VLOOKUP(B45,Tabelle2!A68:B71,2,FALSE),C45 = "5.6",VLOOKUP(B45,Tabelle2!A68:C71,3,FALSE),C45 =_FV( 8,"8"),VLOOKUP(B45,Tabelle2!A68:D71,4,FALSE),C45 ="10.9",VLOOKUP(B45,Tabelle2!A68:E71,5,FALSE))</f>
        <v>56.5</v>
      </c>
      <c r="F45" s="17"/>
      <c r="G45" s="39"/>
    </row>
    <row r="46" spans="1:7" x14ac:dyDescent="0.25">
      <c r="A46" s="5" t="s">
        <v>113</v>
      </c>
      <c r="B46" s="28" t="s">
        <v>144</v>
      </c>
      <c r="C46" s="28"/>
      <c r="D46" s="19" t="s">
        <v>127</v>
      </c>
      <c r="E46" s="40">
        <f>VLOOKUP(B46,Tabelle2!A74:G84,7,FALSE)</f>
        <v>151.31659999999999</v>
      </c>
      <c r="F46" s="19" t="s">
        <v>141</v>
      </c>
      <c r="G46" s="41">
        <f>E46*F42/10</f>
        <v>26.189411538461535</v>
      </c>
    </row>
    <row r="47" spans="1:7" x14ac:dyDescent="0.25">
      <c r="A47" s="13"/>
      <c r="B47" s="21" t="s">
        <v>143</v>
      </c>
      <c r="C47" s="42">
        <f>VLOOKUP(B46,Tabelle2!A74:G84,4,FALSE)/10</f>
        <v>1.8</v>
      </c>
      <c r="D47" s="21"/>
      <c r="E47" s="21"/>
      <c r="F47" s="21"/>
      <c r="G47" s="36"/>
    </row>
  </sheetData>
  <mergeCells count="3">
    <mergeCell ref="C26:E26"/>
    <mergeCell ref="C27:E27"/>
    <mergeCell ref="B46:C46"/>
  </mergeCells>
  <pageMargins left="0.7" right="0.3125" top="0.78740157499999996" bottom="0.78740157499999996" header="0.3" footer="0.3"/>
  <pageSetup paperSize="9" orientation="portrait" r:id="rId1"/>
  <headerFooter>
    <oddHeader>&amp;CWandauflager nach EC5-1-1</oddHead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2798F9FA-4E1B-443F-84C6-980DBF6D2BC9}">
          <x14:formula1>
            <xm:f>Tabelle2!$A$2:$A$3</xm:f>
          </x14:formula1>
          <xm:sqref>C26</xm:sqref>
        </x14:dataValidation>
        <x14:dataValidation type="list" allowBlank="1" showInputMessage="1" showErrorMessage="1" xr:uid="{99851C05-8FCB-401F-B026-D7857BF8111F}">
          <x14:formula1>
            <xm:f>Tabelle2!$A$18:$A$20</xm:f>
          </x14:formula1>
          <xm:sqref>C28</xm:sqref>
        </x14:dataValidation>
        <x14:dataValidation type="list" allowBlank="1" showInputMessage="1" showErrorMessage="1" xr:uid="{96D0C166-2274-415C-8250-FEB16DCFCF0A}">
          <x14:formula1>
            <xm:f>Tabelle2!$A$5:$A$15</xm:f>
          </x14:formula1>
          <xm:sqref>C27</xm:sqref>
        </x14:dataValidation>
        <x14:dataValidation type="list" allowBlank="1" showInputMessage="1" showErrorMessage="1" xr:uid="{608DFD86-9E4F-4040-B421-65FF5D50C925}">
          <x14:formula1>
            <xm:f>Tabelle2!$A$23:$A$36</xm:f>
          </x14:formula1>
          <xm:sqref>B39</xm:sqref>
        </x14:dataValidation>
        <x14:dataValidation type="list" allowBlank="1" showInputMessage="1" showErrorMessage="1" xr:uid="{178F0409-9D83-4317-A10A-3513D96F933C}">
          <x14:formula1>
            <xm:f>Tabelle2!$A$40:$A$57</xm:f>
          </x14:formula1>
          <xm:sqref>G29</xm:sqref>
        </x14:dataValidation>
        <x14:dataValidation type="list" allowBlank="1" showInputMessage="1" showErrorMessage="1" xr:uid="{302A0A47-840B-4B19-854B-BB5841ED6E29}">
          <x14:formula1>
            <xm:f>Tabelle2!$L$39:$L$41</xm:f>
          </x14:formula1>
          <xm:sqref>G30</xm:sqref>
        </x14:dataValidation>
        <x14:dataValidation type="list" allowBlank="1" showInputMessage="1" showErrorMessage="1" xr:uid="{71E6E0DB-3CC4-47F4-8334-8883F87BCCA9}">
          <x14:formula1>
            <xm:f>Tabelle2!$A$68:$A$71</xm:f>
          </x14:formula1>
          <xm:sqref>B45</xm:sqref>
        </x14:dataValidation>
        <x14:dataValidation type="list" allowBlank="1" showInputMessage="1" showErrorMessage="1" xr:uid="{9EFF6C2D-8EEE-41CF-A3A7-E452AB68B2C2}">
          <x14:formula1>
            <xm:f>Tabelle2!$L$68:$L$71</xm:f>
          </x14:formula1>
          <xm:sqref>C45</xm:sqref>
        </x14:dataValidation>
        <x14:dataValidation type="list" allowBlank="1" showInputMessage="1" showErrorMessage="1" xr:uid="{D4F4DD5C-824E-4122-84AA-9B743865E7F8}">
          <x14:formula1>
            <xm:f>Tabelle2!$A$74:$A$84</xm:f>
          </x14:formula1>
          <xm:sqref>B46</xm:sqref>
        </x14:dataValidation>
        <x14:dataValidation type="list" allowBlank="1" showInputMessage="1" showErrorMessage="1" xr:uid="{B0B31B0B-258A-4B73-ADED-C4035480580F}">
          <x14:formula1>
            <xm:f>Tabelle2!$A$87:$A$93</xm:f>
          </x14:formula1>
          <xm:sqref>B35</xm:sqref>
        </x14:dataValidation>
        <x14:dataValidation type="list" allowBlank="1" showInputMessage="1" showErrorMessage="1" xr:uid="{E912AF10-9CFD-41F1-B12D-B906E77A1B65}">
          <x14:formula1>
            <xm:f>Tabelle2!$A$108:$A$131</xm:f>
          </x14:formula1>
          <xm:sqref>B36</xm:sqref>
        </x14:dataValidation>
        <x14:dataValidation type="list" allowBlank="1" showInputMessage="1" showErrorMessage="1" xr:uid="{2185E2ED-0FDA-48AD-82DE-C1B2804988A1}">
          <x14:formula1>
            <xm:f>Tabelle2!$A$96:$A$106</xm:f>
          </x14:formula1>
          <xm:sqref>B37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B41B-25FB-4FAD-9E62-886C7FA2CA96}">
  <dimension ref="A15:G47"/>
  <sheetViews>
    <sheetView view="pageLayout" topLeftCell="A14" zoomScaleNormal="100" workbookViewId="0">
      <selection activeCell="J40" sqref="J40"/>
    </sheetView>
  </sheetViews>
  <sheetFormatPr baseColWidth="10" defaultRowHeight="15" x14ac:dyDescent="0.25"/>
  <cols>
    <col min="2" max="2" width="14.5703125" bestFit="1" customWidth="1"/>
    <col min="4" max="4" width="12.85546875" bestFit="1" customWidth="1"/>
    <col min="5" max="5" width="11.85546875" bestFit="1" customWidth="1"/>
    <col min="6" max="6" width="14.5703125" bestFit="1" customWidth="1"/>
    <col min="7" max="7" width="14.7109375" customWidth="1"/>
  </cols>
  <sheetData>
    <row r="15" spans="5:7" x14ac:dyDescent="0.25">
      <c r="E15" s="3" t="s">
        <v>106</v>
      </c>
      <c r="F15" s="15"/>
      <c r="G15" s="16"/>
    </row>
    <row r="16" spans="5:7" x14ac:dyDescent="0.25">
      <c r="E16" s="5" t="s">
        <v>107</v>
      </c>
      <c r="F16" s="17"/>
      <c r="G16" s="43">
        <f>G24/G36</f>
        <v>0.89054241592110317</v>
      </c>
    </row>
    <row r="17" spans="1:7" x14ac:dyDescent="0.25">
      <c r="E17" s="5" t="s">
        <v>108</v>
      </c>
      <c r="F17" s="17"/>
      <c r="G17" s="43">
        <f>B24/G37</f>
        <v>5.0339057675822495E-2</v>
      </c>
    </row>
    <row r="18" spans="1:7" x14ac:dyDescent="0.25">
      <c r="E18" s="5" t="s">
        <v>146</v>
      </c>
      <c r="F18" s="17"/>
      <c r="G18" s="43">
        <f>B43/F40</f>
        <v>0.99226595400064788</v>
      </c>
    </row>
    <row r="19" spans="1:7" x14ac:dyDescent="0.25">
      <c r="E19" s="5" t="s">
        <v>147</v>
      </c>
      <c r="F19" s="17"/>
      <c r="G19" s="43">
        <f>E43/F41</f>
        <v>0.71853741496598644</v>
      </c>
    </row>
    <row r="20" spans="1:7" x14ac:dyDescent="0.25">
      <c r="E20" s="5" t="s">
        <v>109</v>
      </c>
      <c r="F20" s="17"/>
      <c r="G20" s="43">
        <f>C25/E45</f>
        <v>0.29655850540806294</v>
      </c>
    </row>
    <row r="21" spans="1:7" x14ac:dyDescent="0.25">
      <c r="E21" s="5" t="s">
        <v>142</v>
      </c>
      <c r="F21" s="17"/>
      <c r="G21" s="43">
        <f>C25/G46</f>
        <v>0.63978358318393291</v>
      </c>
    </row>
    <row r="22" spans="1:7" x14ac:dyDescent="0.25">
      <c r="E22" s="13" t="s">
        <v>110</v>
      </c>
      <c r="F22" s="21"/>
      <c r="G22" s="53">
        <f>G25/D38</f>
        <v>0.28835063437139558</v>
      </c>
    </row>
    <row r="23" spans="1:7" x14ac:dyDescent="0.25">
      <c r="A23" s="3" t="s">
        <v>6</v>
      </c>
      <c r="B23" s="15"/>
      <c r="C23" s="15"/>
      <c r="D23" s="15"/>
      <c r="E23" s="15"/>
      <c r="F23" s="15"/>
      <c r="G23" s="16"/>
    </row>
    <row r="24" spans="1:7" x14ac:dyDescent="0.25">
      <c r="A24" s="5" t="s">
        <v>0</v>
      </c>
      <c r="B24" s="33">
        <v>26</v>
      </c>
      <c r="C24" s="17"/>
      <c r="D24" s="17" t="s">
        <v>136</v>
      </c>
      <c r="E24" s="17"/>
      <c r="F24" s="17"/>
      <c r="G24" s="12">
        <f>B24*(D30/2+D31+D32+D33/2)/100</f>
        <v>15.08</v>
      </c>
    </row>
    <row r="25" spans="1:7" x14ac:dyDescent="0.25">
      <c r="A25" s="13" t="s">
        <v>140</v>
      </c>
      <c r="B25" s="21"/>
      <c r="C25" s="34">
        <f>G24/D33*100</f>
        <v>16.755555555555556</v>
      </c>
      <c r="D25" s="35" t="s">
        <v>186</v>
      </c>
      <c r="E25" s="21"/>
      <c r="F25" s="21"/>
      <c r="G25" s="24">
        <f>B24*1000/D30/10/G38</f>
        <v>0.83333333333333326</v>
      </c>
    </row>
    <row r="26" spans="1:7" ht="18" x14ac:dyDescent="0.35">
      <c r="A26" s="3" t="s">
        <v>57</v>
      </c>
      <c r="B26" s="15"/>
      <c r="C26" s="25" t="s">
        <v>18</v>
      </c>
      <c r="D26" s="25"/>
      <c r="E26" s="25"/>
      <c r="F26" s="26" t="s">
        <v>60</v>
      </c>
      <c r="G26" s="27">
        <f>VLOOKUP(C26,Tabelle2!A2:D3,4,FALSE)</f>
        <v>1.3</v>
      </c>
    </row>
    <row r="27" spans="1:7" x14ac:dyDescent="0.25">
      <c r="A27" s="5" t="s">
        <v>63</v>
      </c>
      <c r="B27" s="17"/>
      <c r="C27" s="28" t="s">
        <v>35</v>
      </c>
      <c r="D27" s="28"/>
      <c r="E27" s="28"/>
      <c r="F27" s="19" t="s">
        <v>61</v>
      </c>
      <c r="G27" s="29" t="str">
        <f>VLOOKUP(C27,Tabelle2!A5:D15,4,FALSE)</f>
        <v>kurz</v>
      </c>
    </row>
    <row r="28" spans="1:7" ht="18" x14ac:dyDescent="0.35">
      <c r="A28" s="13" t="s">
        <v>59</v>
      </c>
      <c r="B28" s="21"/>
      <c r="C28" s="30" t="s">
        <v>22</v>
      </c>
      <c r="D28" s="31"/>
      <c r="E28" s="31"/>
      <c r="F28" s="23" t="s">
        <v>62</v>
      </c>
      <c r="G28" s="32" cm="1">
        <f t="array" ref="G28">_xlfn.IFS(C28="NKL1",VLOOKUP(C27,Tabelle2!A5:G15,5,FALSE),C28="NKL2",VLOOKUP(C27,Tabelle2!A5:G15,6,FALSE),C28="NKL3", VLOOKUP(C27,Tabelle2!A5:G15,7,FALSE))</f>
        <v>0.9</v>
      </c>
    </row>
    <row r="29" spans="1:7" x14ac:dyDescent="0.25">
      <c r="A29" s="3" t="s">
        <v>5</v>
      </c>
      <c r="B29" s="15"/>
      <c r="C29" s="15"/>
      <c r="D29" s="15"/>
      <c r="F29" s="3" t="s">
        <v>93</v>
      </c>
      <c r="G29" s="4" t="s">
        <v>80</v>
      </c>
    </row>
    <row r="30" spans="1:7" x14ac:dyDescent="0.25">
      <c r="A30" s="5" t="s">
        <v>7</v>
      </c>
      <c r="B30" s="17"/>
      <c r="C30" s="17" t="s">
        <v>1</v>
      </c>
      <c r="D30" s="20">
        <v>12</v>
      </c>
      <c r="F30" s="5" t="s">
        <v>94</v>
      </c>
      <c r="G30" s="6" t="s">
        <v>101</v>
      </c>
    </row>
    <row r="31" spans="1:7" x14ac:dyDescent="0.25">
      <c r="A31" s="5" t="s">
        <v>8</v>
      </c>
      <c r="B31" s="17"/>
      <c r="C31" s="17" t="s">
        <v>2</v>
      </c>
      <c r="D31" s="20">
        <v>2</v>
      </c>
      <c r="F31" s="5" t="s">
        <v>96</v>
      </c>
      <c r="G31" s="7">
        <f>210*1000</f>
        <v>210000</v>
      </c>
    </row>
    <row r="32" spans="1:7" x14ac:dyDescent="0.25">
      <c r="A32" s="5" t="s">
        <v>9</v>
      </c>
      <c r="B32" s="17"/>
      <c r="C32" s="17" t="s">
        <v>3</v>
      </c>
      <c r="D32" s="20">
        <v>5</v>
      </c>
      <c r="F32" s="5" t="s">
        <v>95</v>
      </c>
      <c r="G32" s="8">
        <f>VLOOKUP(G30,Tabelle2!L39:M41,2,FALSE)</f>
        <v>355</v>
      </c>
    </row>
    <row r="33" spans="1:7" x14ac:dyDescent="0.25">
      <c r="A33" s="5" t="s">
        <v>10</v>
      </c>
      <c r="B33" s="17"/>
      <c r="C33" s="17" t="s">
        <v>4</v>
      </c>
      <c r="D33" s="20">
        <v>90</v>
      </c>
      <c r="F33" s="5" t="s">
        <v>58</v>
      </c>
      <c r="G33" s="9">
        <v>1</v>
      </c>
    </row>
    <row r="34" spans="1:7" x14ac:dyDescent="0.25">
      <c r="A34" s="48" t="s">
        <v>150</v>
      </c>
      <c r="B34" s="15"/>
      <c r="C34" s="15"/>
      <c r="D34" s="15"/>
      <c r="E34" s="16"/>
      <c r="F34" s="5" t="s">
        <v>97</v>
      </c>
      <c r="G34" s="10">
        <f>VLOOKUP(G29,Tabelle2!A40:G57,3,FALSE)</f>
        <v>47.7</v>
      </c>
    </row>
    <row r="35" spans="1:7" x14ac:dyDescent="0.25">
      <c r="A35" s="47" t="s">
        <v>105</v>
      </c>
      <c r="B35" s="37" t="s">
        <v>160</v>
      </c>
      <c r="C35" s="17"/>
      <c r="D35" s="17"/>
      <c r="E35" s="39"/>
      <c r="F35" s="5" t="s">
        <v>98</v>
      </c>
      <c r="G35" s="11">
        <f>VLOOKUP(G29,Tabelle2!A40:G57,7,FALSE)</f>
        <v>25.2</v>
      </c>
    </row>
    <row r="36" spans="1:7" x14ac:dyDescent="0.25">
      <c r="A36" s="47" t="s">
        <v>151</v>
      </c>
      <c r="B36" s="37" t="s">
        <v>173</v>
      </c>
      <c r="C36" s="17"/>
      <c r="D36" s="17"/>
      <c r="E36" s="39"/>
      <c r="F36" s="5" t="s">
        <v>137</v>
      </c>
      <c r="G36" s="12">
        <f>G34*G32/10/100</f>
        <v>16.933499999999999</v>
      </c>
    </row>
    <row r="37" spans="1:7" x14ac:dyDescent="0.25">
      <c r="A37" s="47" t="s">
        <v>152</v>
      </c>
      <c r="B37" s="49">
        <v>8</v>
      </c>
      <c r="C37" s="17"/>
      <c r="D37" s="17"/>
      <c r="E37" s="39"/>
      <c r="F37" s="5" t="s">
        <v>138</v>
      </c>
      <c r="G37" s="41">
        <f>G35*G32/(3)^0.5/10</f>
        <v>516.49755081703927</v>
      </c>
    </row>
    <row r="38" spans="1:7" x14ac:dyDescent="0.25">
      <c r="A38" s="50" t="s">
        <v>153</v>
      </c>
      <c r="B38" s="51">
        <v>5.0999999999999996</v>
      </c>
      <c r="C38" s="23" t="s">
        <v>183</v>
      </c>
      <c r="D38" s="22">
        <f>0.85*B38/IF(C26="ständige und vorübergehende",1.5,1.3)</f>
        <v>2.89</v>
      </c>
      <c r="E38" s="36"/>
      <c r="F38" s="50" t="s">
        <v>184</v>
      </c>
      <c r="G38" s="52">
        <f>VLOOKUP(G29,Tabelle2!A40:H57,8,FALSE)</f>
        <v>260</v>
      </c>
    </row>
    <row r="39" spans="1:7" x14ac:dyDescent="0.25">
      <c r="A39" s="3" t="s">
        <v>11</v>
      </c>
      <c r="B39" s="14" t="s">
        <v>44</v>
      </c>
      <c r="C39" s="15" t="s">
        <v>148</v>
      </c>
      <c r="D39" s="44">
        <f>VLOOKUP(B39,Tabelle2!A23:E36,3,FALSE)</f>
        <v>0.5</v>
      </c>
      <c r="E39" s="15"/>
      <c r="F39" s="15"/>
      <c r="G39" s="16"/>
    </row>
    <row r="40" spans="1:7" x14ac:dyDescent="0.25">
      <c r="A40" s="5" t="s">
        <v>12</v>
      </c>
      <c r="B40" s="17"/>
      <c r="C40" s="17" t="s">
        <v>13</v>
      </c>
      <c r="D40" s="18">
        <f>VLOOKUP(B39,Tabelle2!A23:E36,5,FALSE)</f>
        <v>24</v>
      </c>
      <c r="E40" s="19" t="s">
        <v>102</v>
      </c>
      <c r="F40" s="18">
        <f>$G$28*D40/$G$26</f>
        <v>16.615384615384617</v>
      </c>
      <c r="G40" s="39"/>
    </row>
    <row r="41" spans="1:7" x14ac:dyDescent="0.25">
      <c r="A41" s="5" t="s">
        <v>64</v>
      </c>
      <c r="B41" s="20">
        <v>14</v>
      </c>
      <c r="C41" s="17" t="s">
        <v>14</v>
      </c>
      <c r="D41" s="18">
        <f>VLOOKUP(B39,Tabelle2!A23:E36,2,FALSE)</f>
        <v>4</v>
      </c>
      <c r="E41" s="19" t="s">
        <v>103</v>
      </c>
      <c r="F41" s="18">
        <f>$G$28*D41/$G$26</f>
        <v>2.7692307692307692</v>
      </c>
      <c r="G41" s="39"/>
    </row>
    <row r="42" spans="1:7" x14ac:dyDescent="0.25">
      <c r="A42" s="5" t="s">
        <v>65</v>
      </c>
      <c r="B42" s="20">
        <v>28</v>
      </c>
      <c r="C42" s="17" t="s">
        <v>15</v>
      </c>
      <c r="D42" s="18">
        <f>VLOOKUP(B39,Tabelle2!A23:E36,4,FALSE)</f>
        <v>2.5</v>
      </c>
      <c r="E42" s="19" t="s">
        <v>104</v>
      </c>
      <c r="F42" s="18">
        <f>$G$28*D42/$G$26</f>
        <v>1.7307692307692306</v>
      </c>
      <c r="G42" s="39"/>
    </row>
    <row r="43" spans="1:7" x14ac:dyDescent="0.25">
      <c r="A43" s="45" t="s">
        <v>145</v>
      </c>
      <c r="B43" s="22">
        <f>G24*10^6/(B42*B41^2/6 *1000)</f>
        <v>16.486880466472304</v>
      </c>
      <c r="C43" s="21"/>
      <c r="D43" s="46" t="s">
        <v>149</v>
      </c>
      <c r="E43" s="22">
        <f>1.5*B24/B42/B41/D39*10</f>
        <v>1.989795918367347</v>
      </c>
      <c r="F43" s="21"/>
      <c r="G43" s="36"/>
    </row>
    <row r="44" spans="1:7" x14ac:dyDescent="0.25">
      <c r="A44" s="3" t="s">
        <v>111</v>
      </c>
      <c r="B44" s="15"/>
      <c r="C44" s="15"/>
      <c r="D44" s="15"/>
      <c r="E44" s="15"/>
      <c r="F44" s="15"/>
      <c r="G44" s="16"/>
    </row>
    <row r="45" spans="1:7" x14ac:dyDescent="0.25">
      <c r="A45" s="5" t="s">
        <v>112</v>
      </c>
      <c r="B45" s="37" t="s">
        <v>116</v>
      </c>
      <c r="C45" s="37" t="s">
        <v>133</v>
      </c>
      <c r="D45" s="19" t="s">
        <v>139</v>
      </c>
      <c r="E45" s="38" cm="1">
        <f t="array" ref="E45">_xlfn.IFS(C45="4.6",VLOOKUP(B45,Tabelle2!A68:B71,2,FALSE),C45 = "5.6",VLOOKUP(B45,Tabelle2!A68:C71,3,FALSE),C45 =_FV( 8,"8"),VLOOKUP(B45,Tabelle2!A68:D71,4,FALSE),C45 ="10.9",VLOOKUP(B45,Tabelle2!A68:E71,5,FALSE))</f>
        <v>56.5</v>
      </c>
      <c r="F45" s="17"/>
      <c r="G45" s="39"/>
    </row>
    <row r="46" spans="1:7" x14ac:dyDescent="0.25">
      <c r="A46" s="5" t="s">
        <v>113</v>
      </c>
      <c r="B46" s="28" t="s">
        <v>144</v>
      </c>
      <c r="C46" s="28"/>
      <c r="D46" s="19" t="s">
        <v>127</v>
      </c>
      <c r="E46" s="40">
        <f>VLOOKUP(B46,Tabelle2!A74:G84,7,FALSE)</f>
        <v>151.31659999999999</v>
      </c>
      <c r="F46" s="19" t="s">
        <v>141</v>
      </c>
      <c r="G46" s="41">
        <f>E46*F42/10</f>
        <v>26.189411538461535</v>
      </c>
    </row>
    <row r="47" spans="1:7" x14ac:dyDescent="0.25">
      <c r="A47" s="13"/>
      <c r="B47" s="21" t="s">
        <v>143</v>
      </c>
      <c r="C47" s="42">
        <f>VLOOKUP(B46,Tabelle2!A74:G84,4,FALSE)/10</f>
        <v>1.8</v>
      </c>
      <c r="D47" s="21"/>
      <c r="E47" s="21"/>
      <c r="F47" s="21"/>
      <c r="G47" s="36"/>
    </row>
  </sheetData>
  <mergeCells count="3">
    <mergeCell ref="C26:E26"/>
    <mergeCell ref="C27:E27"/>
    <mergeCell ref="B46:C46"/>
  </mergeCells>
  <pageMargins left="0.7" right="0.3125" top="0.78740157499999996" bottom="0.78740157499999996" header="0.3" footer="0.3"/>
  <pageSetup paperSize="9" orientation="portrait" r:id="rId1"/>
  <headerFooter>
    <oddHeader>&amp;CWandauflager nach EC5-1-1</oddHead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A163979D-65DE-4FE8-9CC9-B02BF8451681}">
          <x14:formula1>
            <xm:f>Tabelle2!$A$96:$A$106</xm:f>
          </x14:formula1>
          <xm:sqref>B37</xm:sqref>
        </x14:dataValidation>
        <x14:dataValidation type="list" allowBlank="1" showInputMessage="1" showErrorMessage="1" xr:uid="{3B53332B-CA01-48C1-B195-EBF842536F06}">
          <x14:formula1>
            <xm:f>Tabelle2!$A$108:$A$131</xm:f>
          </x14:formula1>
          <xm:sqref>B36</xm:sqref>
        </x14:dataValidation>
        <x14:dataValidation type="list" allowBlank="1" showInputMessage="1" showErrorMessage="1" xr:uid="{4BB55B2D-2D2D-4A4A-9201-8637B6A25039}">
          <x14:formula1>
            <xm:f>Tabelle2!$A$87:$A$93</xm:f>
          </x14:formula1>
          <xm:sqref>B35</xm:sqref>
        </x14:dataValidation>
        <x14:dataValidation type="list" allowBlank="1" showInputMessage="1" showErrorMessage="1" xr:uid="{DED5A977-79A6-46E0-BDEF-C5AAC13D652B}">
          <x14:formula1>
            <xm:f>Tabelle2!$A$74:$A$84</xm:f>
          </x14:formula1>
          <xm:sqref>B46</xm:sqref>
        </x14:dataValidation>
        <x14:dataValidation type="list" allowBlank="1" showInputMessage="1" showErrorMessage="1" xr:uid="{FF1CEBEC-505E-4C1F-8941-CF68DDA3BDD0}">
          <x14:formula1>
            <xm:f>Tabelle2!$L$68:$L$71</xm:f>
          </x14:formula1>
          <xm:sqref>C45</xm:sqref>
        </x14:dataValidation>
        <x14:dataValidation type="list" allowBlank="1" showInputMessage="1" showErrorMessage="1" xr:uid="{3F466557-C12F-4AA3-B631-CB425686751B}">
          <x14:formula1>
            <xm:f>Tabelle2!$A$68:$A$71</xm:f>
          </x14:formula1>
          <xm:sqref>B45</xm:sqref>
        </x14:dataValidation>
        <x14:dataValidation type="list" allowBlank="1" showInputMessage="1" showErrorMessage="1" xr:uid="{4CEE06A7-A384-421D-9C41-EAF6B744EDF1}">
          <x14:formula1>
            <xm:f>Tabelle2!$L$39:$L$41</xm:f>
          </x14:formula1>
          <xm:sqref>G30</xm:sqref>
        </x14:dataValidation>
        <x14:dataValidation type="list" allowBlank="1" showInputMessage="1" showErrorMessage="1" xr:uid="{451053C8-8B8A-4004-8FFC-BE241DD0FBA5}">
          <x14:formula1>
            <xm:f>Tabelle2!$A$40:$A$57</xm:f>
          </x14:formula1>
          <xm:sqref>G29</xm:sqref>
        </x14:dataValidation>
        <x14:dataValidation type="list" allowBlank="1" showInputMessage="1" showErrorMessage="1" xr:uid="{877B1EFF-4D34-4975-95B9-49714480BDEF}">
          <x14:formula1>
            <xm:f>Tabelle2!$A$23:$A$36</xm:f>
          </x14:formula1>
          <xm:sqref>B39</xm:sqref>
        </x14:dataValidation>
        <x14:dataValidation type="list" allowBlank="1" showInputMessage="1" showErrorMessage="1" xr:uid="{3AF44B88-CC9E-4322-BEB2-6FE62E877570}">
          <x14:formula1>
            <xm:f>Tabelle2!$A$5:$A$15</xm:f>
          </x14:formula1>
          <xm:sqref>C27</xm:sqref>
        </x14:dataValidation>
        <x14:dataValidation type="list" allowBlank="1" showInputMessage="1" showErrorMessage="1" xr:uid="{E6CAA505-6802-4145-902D-74DD15C23690}">
          <x14:formula1>
            <xm:f>Tabelle2!$A$18:$A$20</xm:f>
          </x14:formula1>
          <xm:sqref>C28</xm:sqref>
        </x14:dataValidation>
        <x14:dataValidation type="list" allowBlank="1" showInputMessage="1" showErrorMessage="1" xr:uid="{E3ED574D-9104-47A3-B02B-9487E997BACF}">
          <x14:formula1>
            <xm:f>Tabelle2!$A$2:$A$3</xm:f>
          </x14:formula1>
          <xm:sqref>C26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7B05-E3B5-4E28-A6E6-A97869E47CE5}">
  <dimension ref="A1:M131"/>
  <sheetViews>
    <sheetView topLeftCell="A29" workbookViewId="0">
      <selection activeCell="I47" sqref="I47"/>
    </sheetView>
  </sheetViews>
  <sheetFormatPr baseColWidth="10" defaultRowHeight="15" x14ac:dyDescent="0.25"/>
  <sheetData>
    <row r="1" spans="1:7" x14ac:dyDescent="0.25">
      <c r="A1" t="s">
        <v>16</v>
      </c>
      <c r="D1" t="s">
        <v>17</v>
      </c>
    </row>
    <row r="2" spans="1:7" x14ac:dyDescent="0.25">
      <c r="A2" t="s">
        <v>18</v>
      </c>
      <c r="D2">
        <v>1.3</v>
      </c>
    </row>
    <row r="3" spans="1:7" x14ac:dyDescent="0.25">
      <c r="A3" t="s">
        <v>19</v>
      </c>
      <c r="D3">
        <v>1</v>
      </c>
    </row>
    <row r="4" spans="1:7" x14ac:dyDescent="0.25"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D5" t="s">
        <v>25</v>
      </c>
      <c r="E5">
        <v>0.8</v>
      </c>
      <c r="F5">
        <v>0.8</v>
      </c>
      <c r="G5">
        <v>0.65</v>
      </c>
    </row>
    <row r="6" spans="1:7" x14ac:dyDescent="0.25">
      <c r="A6" t="s">
        <v>26</v>
      </c>
      <c r="D6" t="s">
        <v>25</v>
      </c>
      <c r="E6">
        <v>0.8</v>
      </c>
      <c r="F6">
        <v>0.8</v>
      </c>
      <c r="G6">
        <v>0.65</v>
      </c>
    </row>
    <row r="7" spans="1:7" x14ac:dyDescent="0.25">
      <c r="A7" t="s">
        <v>27</v>
      </c>
      <c r="D7" t="s">
        <v>28</v>
      </c>
      <c r="E7">
        <v>0.9</v>
      </c>
      <c r="F7">
        <v>0.9</v>
      </c>
      <c r="G7">
        <v>1.1000000000000001</v>
      </c>
    </row>
    <row r="8" spans="1:7" x14ac:dyDescent="0.25">
      <c r="A8" t="s">
        <v>29</v>
      </c>
      <c r="D8" t="s">
        <v>25</v>
      </c>
      <c r="E8">
        <v>0.8</v>
      </c>
      <c r="F8">
        <v>0.8</v>
      </c>
      <c r="G8">
        <v>0.65</v>
      </c>
    </row>
    <row r="9" spans="1:7" x14ac:dyDescent="0.25">
      <c r="A9" t="s">
        <v>30</v>
      </c>
      <c r="D9" t="s">
        <v>31</v>
      </c>
      <c r="E9">
        <v>0.7</v>
      </c>
      <c r="F9">
        <v>0.7</v>
      </c>
      <c r="G9">
        <v>0.8</v>
      </c>
    </row>
    <row r="10" spans="1:7" x14ac:dyDescent="0.25">
      <c r="A10" t="s">
        <v>32</v>
      </c>
      <c r="D10" t="s">
        <v>25</v>
      </c>
      <c r="E10">
        <v>0.8</v>
      </c>
      <c r="F10">
        <v>0.8</v>
      </c>
      <c r="G10">
        <v>0.65</v>
      </c>
    </row>
    <row r="11" spans="1:7" x14ac:dyDescent="0.25">
      <c r="A11" t="s">
        <v>33</v>
      </c>
      <c r="D11" t="s">
        <v>25</v>
      </c>
      <c r="E11">
        <v>0.8</v>
      </c>
      <c r="F11">
        <v>0.8</v>
      </c>
      <c r="G11">
        <v>0.65</v>
      </c>
    </row>
    <row r="12" spans="1:7" x14ac:dyDescent="0.25">
      <c r="A12" t="s">
        <v>34</v>
      </c>
      <c r="D12" t="s">
        <v>28</v>
      </c>
      <c r="E12">
        <v>0.9</v>
      </c>
      <c r="F12">
        <v>0.9</v>
      </c>
      <c r="G12">
        <v>1.1000000000000001</v>
      </c>
    </row>
    <row r="13" spans="1:7" x14ac:dyDescent="0.25">
      <c r="A13" t="s">
        <v>35</v>
      </c>
      <c r="D13" t="s">
        <v>28</v>
      </c>
      <c r="E13">
        <v>0.9</v>
      </c>
      <c r="F13">
        <v>0.9</v>
      </c>
      <c r="G13">
        <v>1.1000000000000001</v>
      </c>
    </row>
    <row r="14" spans="1:7" x14ac:dyDescent="0.25">
      <c r="A14" t="s">
        <v>36</v>
      </c>
      <c r="D14" t="s">
        <v>25</v>
      </c>
      <c r="E14">
        <v>0.8</v>
      </c>
      <c r="F14">
        <v>0.8</v>
      </c>
      <c r="G14">
        <v>0.65</v>
      </c>
    </row>
    <row r="15" spans="1:7" x14ac:dyDescent="0.25">
      <c r="A15" t="s">
        <v>37</v>
      </c>
      <c r="D15" t="s">
        <v>38</v>
      </c>
      <c r="E15">
        <v>1.1000000000000001</v>
      </c>
      <c r="F15">
        <v>1.1000000000000001</v>
      </c>
      <c r="G15">
        <v>0.9</v>
      </c>
    </row>
    <row r="17" spans="1:5" x14ac:dyDescent="0.25">
      <c r="A17" t="s">
        <v>39</v>
      </c>
    </row>
    <row r="18" spans="1:5" x14ac:dyDescent="0.25">
      <c r="A18" t="s">
        <v>21</v>
      </c>
    </row>
    <row r="19" spans="1:5" x14ac:dyDescent="0.25">
      <c r="A19" t="s">
        <v>22</v>
      </c>
    </row>
    <row r="20" spans="1:5" x14ac:dyDescent="0.25">
      <c r="A20" t="s">
        <v>23</v>
      </c>
    </row>
    <row r="22" spans="1:5" x14ac:dyDescent="0.25">
      <c r="A22" t="s">
        <v>40</v>
      </c>
      <c r="B22" t="s">
        <v>41</v>
      </c>
      <c r="C22" t="s">
        <v>42</v>
      </c>
      <c r="D22" t="s">
        <v>66</v>
      </c>
      <c r="E22" t="s">
        <v>67</v>
      </c>
    </row>
    <row r="23" spans="1:5" x14ac:dyDescent="0.25">
      <c r="A23" t="s">
        <v>43</v>
      </c>
      <c r="B23">
        <v>3.2</v>
      </c>
      <c r="C23" s="1">
        <f>2/B23</f>
        <v>0.625</v>
      </c>
      <c r="D23">
        <v>2.2000000000000002</v>
      </c>
      <c r="E23">
        <v>16</v>
      </c>
    </row>
    <row r="24" spans="1:5" x14ac:dyDescent="0.25">
      <c r="A24" t="s">
        <v>44</v>
      </c>
      <c r="B24">
        <v>4</v>
      </c>
      <c r="C24" s="1">
        <f t="shared" ref="C24:C28" si="0">2/B24</f>
        <v>0.5</v>
      </c>
      <c r="D24">
        <v>2.5</v>
      </c>
      <c r="E24">
        <v>24</v>
      </c>
    </row>
    <row r="25" spans="1:5" x14ac:dyDescent="0.25">
      <c r="A25" t="s">
        <v>45</v>
      </c>
      <c r="B25">
        <v>4</v>
      </c>
      <c r="C25" s="1">
        <f t="shared" si="0"/>
        <v>0.5</v>
      </c>
      <c r="D25">
        <v>2.7</v>
      </c>
      <c r="E25">
        <v>30</v>
      </c>
    </row>
    <row r="26" spans="1:5" x14ac:dyDescent="0.25">
      <c r="A26" t="s">
        <v>46</v>
      </c>
      <c r="B26">
        <v>3.9</v>
      </c>
      <c r="C26" s="1">
        <f t="shared" si="0"/>
        <v>0.51282051282051289</v>
      </c>
      <c r="D26">
        <v>5.3</v>
      </c>
      <c r="E26">
        <v>30</v>
      </c>
    </row>
    <row r="27" spans="1:5" x14ac:dyDescent="0.25">
      <c r="A27" t="s">
        <v>47</v>
      </c>
      <c r="B27">
        <v>4.0999999999999996</v>
      </c>
      <c r="C27" s="1">
        <f t="shared" si="0"/>
        <v>0.48780487804878053</v>
      </c>
      <c r="D27">
        <v>5.4</v>
      </c>
      <c r="E27">
        <v>35</v>
      </c>
    </row>
    <row r="28" spans="1:5" x14ac:dyDescent="0.25">
      <c r="A28" t="s">
        <v>48</v>
      </c>
      <c r="B28">
        <v>4.2</v>
      </c>
      <c r="C28" s="1">
        <f t="shared" si="0"/>
        <v>0.47619047619047616</v>
      </c>
      <c r="D28">
        <v>5.5</v>
      </c>
      <c r="E28">
        <v>40</v>
      </c>
    </row>
    <row r="29" spans="1:5" x14ac:dyDescent="0.25">
      <c r="A29" t="s">
        <v>49</v>
      </c>
      <c r="B29">
        <v>3.5</v>
      </c>
      <c r="C29" s="1">
        <f>2.5/B29</f>
        <v>0.7142857142857143</v>
      </c>
      <c r="D29">
        <v>2.5</v>
      </c>
      <c r="E29">
        <v>24</v>
      </c>
    </row>
    <row r="30" spans="1:5" x14ac:dyDescent="0.25">
      <c r="A30" t="s">
        <v>50</v>
      </c>
      <c r="B30">
        <v>3.5</v>
      </c>
      <c r="C30" s="1">
        <f t="shared" ref="C30:C36" si="1">2.5/B30</f>
        <v>0.7142857142857143</v>
      </c>
      <c r="D30">
        <v>2.5</v>
      </c>
      <c r="E30">
        <v>24</v>
      </c>
    </row>
    <row r="31" spans="1:5" x14ac:dyDescent="0.25">
      <c r="A31" t="s">
        <v>51</v>
      </c>
      <c r="B31">
        <v>3.5</v>
      </c>
      <c r="C31" s="1">
        <f t="shared" si="1"/>
        <v>0.7142857142857143</v>
      </c>
      <c r="D31">
        <v>2.5</v>
      </c>
      <c r="E31">
        <v>28</v>
      </c>
    </row>
    <row r="32" spans="1:5" x14ac:dyDescent="0.25">
      <c r="A32" t="s">
        <v>52</v>
      </c>
      <c r="B32">
        <v>3.5</v>
      </c>
      <c r="C32" s="1">
        <f t="shared" si="1"/>
        <v>0.7142857142857143</v>
      </c>
      <c r="D32">
        <v>2.5</v>
      </c>
      <c r="E32">
        <v>28</v>
      </c>
    </row>
    <row r="33" spans="1:13" x14ac:dyDescent="0.25">
      <c r="A33" t="s">
        <v>53</v>
      </c>
      <c r="B33">
        <v>3.5</v>
      </c>
      <c r="C33" s="1">
        <f t="shared" si="1"/>
        <v>0.7142857142857143</v>
      </c>
      <c r="D33">
        <v>2.5</v>
      </c>
      <c r="E33">
        <v>30</v>
      </c>
    </row>
    <row r="34" spans="1:13" x14ac:dyDescent="0.25">
      <c r="A34" t="s">
        <v>54</v>
      </c>
      <c r="B34">
        <v>3.5</v>
      </c>
      <c r="C34" s="1">
        <f t="shared" si="1"/>
        <v>0.7142857142857143</v>
      </c>
      <c r="D34">
        <v>2.5</v>
      </c>
      <c r="E34">
        <v>30</v>
      </c>
    </row>
    <row r="35" spans="1:13" x14ac:dyDescent="0.25">
      <c r="A35" t="s">
        <v>55</v>
      </c>
      <c r="B35">
        <v>3.5</v>
      </c>
      <c r="C35" s="1">
        <f t="shared" si="1"/>
        <v>0.7142857142857143</v>
      </c>
      <c r="D35">
        <v>2.5</v>
      </c>
      <c r="E35">
        <v>32</v>
      </c>
    </row>
    <row r="36" spans="1:13" x14ac:dyDescent="0.25">
      <c r="A36" t="s">
        <v>56</v>
      </c>
      <c r="B36">
        <v>3.5</v>
      </c>
      <c r="C36" s="1">
        <f t="shared" si="1"/>
        <v>0.7142857142857143</v>
      </c>
      <c r="D36">
        <v>2.5</v>
      </c>
      <c r="E36">
        <v>32</v>
      </c>
    </row>
    <row r="39" spans="1:13" x14ac:dyDescent="0.25">
      <c r="A39" t="s">
        <v>68</v>
      </c>
      <c r="B39" t="s">
        <v>87</v>
      </c>
      <c r="C39" t="s">
        <v>88</v>
      </c>
      <c r="D39" t="s">
        <v>89</v>
      </c>
      <c r="E39" t="s">
        <v>90</v>
      </c>
      <c r="F39" t="s">
        <v>91</v>
      </c>
      <c r="G39" t="s">
        <v>92</v>
      </c>
      <c r="H39" t="s">
        <v>185</v>
      </c>
      <c r="L39" t="s">
        <v>99</v>
      </c>
      <c r="M39">
        <v>235</v>
      </c>
    </row>
    <row r="40" spans="1:13" x14ac:dyDescent="0.25">
      <c r="A40" t="s">
        <v>69</v>
      </c>
      <c r="B40">
        <v>20</v>
      </c>
      <c r="C40">
        <v>3.75</v>
      </c>
      <c r="D40">
        <v>7.12</v>
      </c>
      <c r="E40">
        <v>38</v>
      </c>
      <c r="F40">
        <v>7</v>
      </c>
      <c r="G40">
        <f>2*F40*E40/10/10</f>
        <v>5.32</v>
      </c>
      <c r="H40">
        <v>50</v>
      </c>
      <c r="L40" t="s">
        <v>100</v>
      </c>
      <c r="M40">
        <v>275</v>
      </c>
    </row>
    <row r="41" spans="1:13" x14ac:dyDescent="0.25">
      <c r="A41" t="s">
        <v>70</v>
      </c>
      <c r="B41">
        <v>33</v>
      </c>
      <c r="C41">
        <v>5.07</v>
      </c>
      <c r="D41">
        <v>9.0299999999999994</v>
      </c>
      <c r="E41">
        <v>42</v>
      </c>
      <c r="F41">
        <v>7.5</v>
      </c>
      <c r="G41">
        <f t="shared" ref="G41:G57" si="2">2*F41*E41/10/10</f>
        <v>6.3</v>
      </c>
      <c r="H41">
        <v>65</v>
      </c>
      <c r="L41" t="s">
        <v>101</v>
      </c>
      <c r="M41">
        <v>355</v>
      </c>
    </row>
    <row r="42" spans="1:13" x14ac:dyDescent="0.25">
      <c r="A42" t="s">
        <v>71</v>
      </c>
      <c r="B42">
        <v>47</v>
      </c>
      <c r="C42">
        <v>6.36</v>
      </c>
      <c r="D42">
        <v>11</v>
      </c>
      <c r="E42">
        <v>45</v>
      </c>
      <c r="F42">
        <v>8</v>
      </c>
      <c r="G42">
        <f t="shared" si="2"/>
        <v>7.2</v>
      </c>
      <c r="H42">
        <v>80</v>
      </c>
    </row>
    <row r="43" spans="1:13" x14ac:dyDescent="0.25">
      <c r="A43" t="s">
        <v>72</v>
      </c>
      <c r="B43">
        <v>64</v>
      </c>
      <c r="C43">
        <v>8.49</v>
      </c>
      <c r="D43">
        <v>13.5</v>
      </c>
      <c r="E43">
        <v>50</v>
      </c>
      <c r="F43">
        <v>8.5</v>
      </c>
      <c r="G43">
        <f t="shared" si="2"/>
        <v>8.5</v>
      </c>
      <c r="H43">
        <v>100</v>
      </c>
    </row>
    <row r="44" spans="1:13" x14ac:dyDescent="0.25">
      <c r="A44" t="s">
        <v>73</v>
      </c>
      <c r="B44">
        <v>82</v>
      </c>
      <c r="C44">
        <v>11.1</v>
      </c>
      <c r="D44">
        <v>17</v>
      </c>
      <c r="E44">
        <v>55</v>
      </c>
      <c r="F44">
        <v>9</v>
      </c>
      <c r="G44">
        <f t="shared" si="2"/>
        <v>9.9</v>
      </c>
      <c r="H44">
        <v>120</v>
      </c>
    </row>
    <row r="45" spans="1:13" x14ac:dyDescent="0.25">
      <c r="A45" t="s">
        <v>74</v>
      </c>
      <c r="B45">
        <v>97</v>
      </c>
      <c r="C45">
        <v>14.8</v>
      </c>
      <c r="D45">
        <v>20.399999999999999</v>
      </c>
      <c r="E45">
        <v>60</v>
      </c>
      <c r="F45">
        <v>10</v>
      </c>
      <c r="G45">
        <f t="shared" si="2"/>
        <v>12</v>
      </c>
      <c r="H45">
        <v>140</v>
      </c>
    </row>
    <row r="46" spans="1:13" x14ac:dyDescent="0.25">
      <c r="A46" t="s">
        <v>75</v>
      </c>
      <c r="B46">
        <v>116</v>
      </c>
      <c r="C46">
        <v>18.3</v>
      </c>
      <c r="D46">
        <v>24</v>
      </c>
      <c r="E46">
        <v>65</v>
      </c>
      <c r="F46">
        <v>10.5</v>
      </c>
      <c r="G46">
        <f t="shared" si="2"/>
        <v>13.65</v>
      </c>
      <c r="H46">
        <v>160</v>
      </c>
    </row>
    <row r="47" spans="1:13" x14ac:dyDescent="0.25">
      <c r="A47" t="s">
        <v>76</v>
      </c>
      <c r="B47">
        <v>133</v>
      </c>
      <c r="C47">
        <v>22.4</v>
      </c>
      <c r="D47">
        <v>28</v>
      </c>
      <c r="E47">
        <v>70</v>
      </c>
      <c r="F47">
        <v>11</v>
      </c>
      <c r="G47">
        <f t="shared" si="2"/>
        <v>15.4</v>
      </c>
      <c r="H47">
        <v>180</v>
      </c>
    </row>
    <row r="48" spans="1:13" x14ac:dyDescent="0.25">
      <c r="A48" t="s">
        <v>77</v>
      </c>
      <c r="B48">
        <v>151</v>
      </c>
      <c r="C48">
        <v>27</v>
      </c>
      <c r="D48">
        <v>32.200000000000003</v>
      </c>
      <c r="E48">
        <v>75</v>
      </c>
      <c r="F48">
        <v>11.5</v>
      </c>
      <c r="G48">
        <f t="shared" si="2"/>
        <v>17.25</v>
      </c>
      <c r="H48">
        <v>200</v>
      </c>
    </row>
    <row r="49" spans="1:8" x14ac:dyDescent="0.25">
      <c r="A49" t="s">
        <v>78</v>
      </c>
      <c r="B49">
        <v>166</v>
      </c>
      <c r="C49">
        <v>33.6</v>
      </c>
      <c r="D49">
        <v>37.4</v>
      </c>
      <c r="E49">
        <v>80</v>
      </c>
      <c r="F49">
        <v>12.5</v>
      </c>
      <c r="G49">
        <f t="shared" si="2"/>
        <v>20</v>
      </c>
      <c r="H49">
        <v>220</v>
      </c>
    </row>
    <row r="50" spans="1:8" x14ac:dyDescent="0.25">
      <c r="A50" t="s">
        <v>79</v>
      </c>
      <c r="B50">
        <v>185</v>
      </c>
      <c r="C50">
        <v>39.6</v>
      </c>
      <c r="D50">
        <v>42.3</v>
      </c>
      <c r="E50">
        <v>85</v>
      </c>
      <c r="F50">
        <v>13</v>
      </c>
      <c r="G50">
        <f t="shared" si="2"/>
        <v>22.1</v>
      </c>
      <c r="H50">
        <v>240</v>
      </c>
    </row>
    <row r="51" spans="1:8" x14ac:dyDescent="0.25">
      <c r="A51" t="s">
        <v>80</v>
      </c>
      <c r="B51">
        <v>201</v>
      </c>
      <c r="C51">
        <v>47.7</v>
      </c>
      <c r="D51">
        <v>48.3</v>
      </c>
      <c r="E51">
        <v>90</v>
      </c>
      <c r="F51">
        <v>14</v>
      </c>
      <c r="G51">
        <f t="shared" si="2"/>
        <v>25.2</v>
      </c>
      <c r="H51">
        <v>260</v>
      </c>
    </row>
    <row r="52" spans="1:8" x14ac:dyDescent="0.25">
      <c r="A52" t="s">
        <v>81</v>
      </c>
      <c r="B52">
        <v>216</v>
      </c>
      <c r="C52">
        <v>57.2</v>
      </c>
      <c r="D52">
        <v>53.3</v>
      </c>
      <c r="E52">
        <v>95</v>
      </c>
      <c r="F52">
        <v>15</v>
      </c>
      <c r="G52">
        <f t="shared" si="2"/>
        <v>28.5</v>
      </c>
      <c r="H52">
        <v>280</v>
      </c>
    </row>
    <row r="53" spans="1:8" x14ac:dyDescent="0.25">
      <c r="A53" t="s">
        <v>82</v>
      </c>
      <c r="B53">
        <v>232</v>
      </c>
      <c r="C53">
        <v>67.8</v>
      </c>
      <c r="D53">
        <v>58.8</v>
      </c>
      <c r="E53">
        <v>100</v>
      </c>
      <c r="F53">
        <v>16</v>
      </c>
      <c r="G53">
        <f t="shared" si="2"/>
        <v>32</v>
      </c>
      <c r="H53">
        <v>300</v>
      </c>
    </row>
    <row r="54" spans="1:8" x14ac:dyDescent="0.25">
      <c r="A54" t="s">
        <v>83</v>
      </c>
      <c r="B54">
        <v>247</v>
      </c>
      <c r="C54">
        <v>80.599999999999994</v>
      </c>
      <c r="D54">
        <v>75.8</v>
      </c>
      <c r="E54">
        <v>100</v>
      </c>
      <c r="F54">
        <v>17.5</v>
      </c>
      <c r="G54">
        <f t="shared" si="2"/>
        <v>35</v>
      </c>
      <c r="H54">
        <v>320</v>
      </c>
    </row>
    <row r="55" spans="1:8" x14ac:dyDescent="0.25">
      <c r="A55" t="s">
        <v>84</v>
      </c>
      <c r="B55">
        <v>283</v>
      </c>
      <c r="C55">
        <v>75</v>
      </c>
      <c r="D55">
        <v>77.3</v>
      </c>
      <c r="E55">
        <v>100</v>
      </c>
      <c r="F55">
        <v>16</v>
      </c>
      <c r="G55">
        <f t="shared" si="2"/>
        <v>32</v>
      </c>
      <c r="H55">
        <v>350</v>
      </c>
    </row>
    <row r="56" spans="1:8" x14ac:dyDescent="0.25">
      <c r="A56" t="s">
        <v>85</v>
      </c>
      <c r="B56">
        <v>313</v>
      </c>
      <c r="C56">
        <v>78.7</v>
      </c>
      <c r="D56">
        <v>80.400000000000006</v>
      </c>
      <c r="E56">
        <v>102</v>
      </c>
      <c r="F56">
        <v>16</v>
      </c>
      <c r="G56">
        <f t="shared" si="2"/>
        <v>32.64</v>
      </c>
      <c r="H56">
        <v>380</v>
      </c>
    </row>
    <row r="57" spans="1:8" x14ac:dyDescent="0.25">
      <c r="A57" t="s">
        <v>86</v>
      </c>
      <c r="B57">
        <v>325</v>
      </c>
      <c r="C57">
        <v>102</v>
      </c>
      <c r="D57">
        <v>91.5</v>
      </c>
      <c r="E57">
        <v>110</v>
      </c>
      <c r="F57">
        <v>18</v>
      </c>
      <c r="G57">
        <f t="shared" si="2"/>
        <v>39.6</v>
      </c>
      <c r="H57">
        <v>400</v>
      </c>
    </row>
    <row r="59" spans="1:8" x14ac:dyDescent="0.25">
      <c r="A59" t="s">
        <v>114</v>
      </c>
    </row>
    <row r="65" spans="1:12" x14ac:dyDescent="0.25">
      <c r="A65" t="s">
        <v>114</v>
      </c>
    </row>
    <row r="67" spans="1:12" x14ac:dyDescent="0.25">
      <c r="A67" t="s">
        <v>114</v>
      </c>
      <c r="B67" s="2" t="s">
        <v>132</v>
      </c>
      <c r="C67" s="2" t="s">
        <v>133</v>
      </c>
      <c r="D67" s="2" t="s">
        <v>134</v>
      </c>
      <c r="E67" s="2" t="s">
        <v>135</v>
      </c>
    </row>
    <row r="68" spans="1:12" x14ac:dyDescent="0.25">
      <c r="A68" t="s">
        <v>115</v>
      </c>
      <c r="B68">
        <v>24.3</v>
      </c>
      <c r="C68">
        <v>30.3</v>
      </c>
      <c r="D68">
        <v>48.6</v>
      </c>
      <c r="E68">
        <v>60.7</v>
      </c>
      <c r="L68" s="2" t="s">
        <v>132</v>
      </c>
    </row>
    <row r="69" spans="1:12" x14ac:dyDescent="0.25">
      <c r="A69" t="s">
        <v>116</v>
      </c>
      <c r="B69">
        <v>45.2</v>
      </c>
      <c r="C69">
        <v>56.5</v>
      </c>
      <c r="D69">
        <v>90.4</v>
      </c>
      <c r="E69">
        <v>113</v>
      </c>
      <c r="L69" s="2" t="s">
        <v>133</v>
      </c>
    </row>
    <row r="70" spans="1:12" x14ac:dyDescent="0.25">
      <c r="A70" t="s">
        <v>117</v>
      </c>
      <c r="B70">
        <v>70.599999999999994</v>
      </c>
      <c r="C70">
        <v>88.2</v>
      </c>
      <c r="D70">
        <v>141</v>
      </c>
      <c r="E70">
        <v>176</v>
      </c>
      <c r="L70" s="2" t="s">
        <v>134</v>
      </c>
    </row>
    <row r="71" spans="1:12" x14ac:dyDescent="0.25">
      <c r="A71" t="s">
        <v>118</v>
      </c>
      <c r="B71">
        <v>102</v>
      </c>
      <c r="C71">
        <v>127</v>
      </c>
      <c r="D71">
        <v>203</v>
      </c>
      <c r="E71">
        <v>254</v>
      </c>
      <c r="L71" s="2" t="s">
        <v>135</v>
      </c>
    </row>
    <row r="72" spans="1:12" x14ac:dyDescent="0.25">
      <c r="A72" t="s">
        <v>114</v>
      </c>
    </row>
    <row r="74" spans="1:12" x14ac:dyDescent="0.25">
      <c r="A74" t="s">
        <v>114</v>
      </c>
      <c r="C74" t="s">
        <v>128</v>
      </c>
      <c r="D74" t="s">
        <v>129</v>
      </c>
      <c r="E74" t="s">
        <v>130</v>
      </c>
      <c r="F74" t="s">
        <v>131</v>
      </c>
    </row>
    <row r="75" spans="1:12" x14ac:dyDescent="0.25">
      <c r="A75" t="s">
        <v>119</v>
      </c>
      <c r="C75">
        <f>44</f>
        <v>44</v>
      </c>
      <c r="D75">
        <v>13.5</v>
      </c>
      <c r="E75">
        <f>C75^2/4*3.14</f>
        <v>1519.76</v>
      </c>
      <c r="F75">
        <f>D75^2/4*3.14</f>
        <v>143.06625</v>
      </c>
      <c r="G75">
        <f>(E75-F75)/100</f>
        <v>13.766937499999999</v>
      </c>
    </row>
    <row r="76" spans="1:12" x14ac:dyDescent="0.25">
      <c r="A76" t="s">
        <v>120</v>
      </c>
      <c r="C76">
        <v>56</v>
      </c>
      <c r="D76">
        <v>17.5</v>
      </c>
      <c r="E76">
        <f t="shared" ref="E76:E83" si="3">C76^2/4*3.14</f>
        <v>2461.7600000000002</v>
      </c>
      <c r="F76">
        <f t="shared" ref="F76:F83" si="4">D76^2/4*3.14</f>
        <v>240.40625</v>
      </c>
      <c r="G76">
        <f t="shared" ref="G76:G83" si="5">(E76-F76)/100</f>
        <v>22.213537500000001</v>
      </c>
    </row>
    <row r="77" spans="1:12" x14ac:dyDescent="0.25">
      <c r="A77" t="s">
        <v>121</v>
      </c>
      <c r="C77">
        <v>72</v>
      </c>
      <c r="D77">
        <v>22</v>
      </c>
      <c r="E77">
        <f t="shared" si="3"/>
        <v>4069.44</v>
      </c>
      <c r="F77">
        <f t="shared" si="4"/>
        <v>379.94</v>
      </c>
      <c r="G77">
        <f t="shared" si="5"/>
        <v>36.895000000000003</v>
      </c>
    </row>
    <row r="78" spans="1:12" x14ac:dyDescent="0.25">
      <c r="A78" t="s">
        <v>122</v>
      </c>
      <c r="C78">
        <v>85</v>
      </c>
      <c r="D78">
        <v>26</v>
      </c>
      <c r="E78">
        <f t="shared" si="3"/>
        <v>5671.625</v>
      </c>
      <c r="F78">
        <f t="shared" si="4"/>
        <v>530.66</v>
      </c>
      <c r="G78">
        <f t="shared" si="5"/>
        <v>51.409649999999999</v>
      </c>
    </row>
    <row r="79" spans="1:12" x14ac:dyDescent="0.25">
      <c r="A79" t="s">
        <v>123</v>
      </c>
      <c r="C79">
        <v>58</v>
      </c>
      <c r="D79">
        <v>14</v>
      </c>
      <c r="E79">
        <f t="shared" si="3"/>
        <v>2640.7400000000002</v>
      </c>
      <c r="F79">
        <f t="shared" si="4"/>
        <v>153.86000000000001</v>
      </c>
      <c r="G79">
        <f t="shared" si="5"/>
        <v>24.8688</v>
      </c>
    </row>
    <row r="80" spans="1:12" x14ac:dyDescent="0.25">
      <c r="A80" t="s">
        <v>124</v>
      </c>
      <c r="C80">
        <v>68</v>
      </c>
      <c r="D80">
        <v>18</v>
      </c>
      <c r="E80">
        <f t="shared" si="3"/>
        <v>3629.84</v>
      </c>
      <c r="F80">
        <f t="shared" si="4"/>
        <v>254.34</v>
      </c>
      <c r="G80">
        <f t="shared" si="5"/>
        <v>33.755000000000003</v>
      </c>
    </row>
    <row r="81" spans="1:7" x14ac:dyDescent="0.25">
      <c r="A81" t="s">
        <v>125</v>
      </c>
      <c r="C81">
        <v>80</v>
      </c>
      <c r="D81">
        <v>22</v>
      </c>
      <c r="E81">
        <f t="shared" si="3"/>
        <v>5024</v>
      </c>
      <c r="F81">
        <f t="shared" si="4"/>
        <v>379.94</v>
      </c>
      <c r="G81">
        <f t="shared" si="5"/>
        <v>46.440600000000003</v>
      </c>
    </row>
    <row r="82" spans="1:7" x14ac:dyDescent="0.25">
      <c r="A82" t="s">
        <v>126</v>
      </c>
      <c r="C82">
        <v>105</v>
      </c>
      <c r="D82">
        <v>27</v>
      </c>
      <c r="E82">
        <f t="shared" si="3"/>
        <v>8654.625</v>
      </c>
      <c r="F82">
        <f t="shared" si="4"/>
        <v>572.26499999999999</v>
      </c>
      <c r="G82">
        <f t="shared" si="5"/>
        <v>80.823599999999999</v>
      </c>
    </row>
    <row r="83" spans="1:7" x14ac:dyDescent="0.25">
      <c r="A83" t="s">
        <v>144</v>
      </c>
      <c r="C83">
        <v>140</v>
      </c>
      <c r="D83">
        <v>18</v>
      </c>
      <c r="E83">
        <f t="shared" si="3"/>
        <v>15386</v>
      </c>
      <c r="F83">
        <f t="shared" si="4"/>
        <v>254.34</v>
      </c>
      <c r="G83">
        <f t="shared" si="5"/>
        <v>151.31659999999999</v>
      </c>
    </row>
    <row r="84" spans="1:7" x14ac:dyDescent="0.25">
      <c r="A84" t="s">
        <v>114</v>
      </c>
    </row>
    <row r="86" spans="1:7" x14ac:dyDescent="0.25">
      <c r="A86" t="s">
        <v>114</v>
      </c>
    </row>
    <row r="87" spans="1:7" x14ac:dyDescent="0.25">
      <c r="A87" t="s">
        <v>154</v>
      </c>
    </row>
    <row r="88" spans="1:7" x14ac:dyDescent="0.25">
      <c r="A88" t="s">
        <v>155</v>
      </c>
    </row>
    <row r="89" spans="1:7" x14ac:dyDescent="0.25">
      <c r="A89" t="s">
        <v>156</v>
      </c>
    </row>
    <row r="90" spans="1:7" x14ac:dyDescent="0.25">
      <c r="A90" t="s">
        <v>157</v>
      </c>
    </row>
    <row r="91" spans="1:7" x14ac:dyDescent="0.25">
      <c r="A91" t="s">
        <v>158</v>
      </c>
    </row>
    <row r="92" spans="1:7" x14ac:dyDescent="0.25">
      <c r="A92" t="s">
        <v>159</v>
      </c>
    </row>
    <row r="93" spans="1:7" x14ac:dyDescent="0.25">
      <c r="A93" t="s">
        <v>160</v>
      </c>
    </row>
    <row r="94" spans="1:7" x14ac:dyDescent="0.25">
      <c r="A94" t="s">
        <v>114</v>
      </c>
    </row>
    <row r="95" spans="1:7" x14ac:dyDescent="0.25">
      <c r="A95" t="s">
        <v>114</v>
      </c>
    </row>
    <row r="96" spans="1:7" x14ac:dyDescent="0.25">
      <c r="A96">
        <v>4</v>
      </c>
    </row>
    <row r="97" spans="1:1" x14ac:dyDescent="0.25">
      <c r="A97">
        <v>6</v>
      </c>
    </row>
    <row r="98" spans="1:1" x14ac:dyDescent="0.25">
      <c r="A98">
        <v>8</v>
      </c>
    </row>
    <row r="99" spans="1:1" x14ac:dyDescent="0.25">
      <c r="A99">
        <v>10</v>
      </c>
    </row>
    <row r="100" spans="1:1" x14ac:dyDescent="0.25">
      <c r="A100">
        <v>12</v>
      </c>
    </row>
    <row r="101" spans="1:1" x14ac:dyDescent="0.25">
      <c r="A101">
        <v>16</v>
      </c>
    </row>
    <row r="102" spans="1:1" x14ac:dyDescent="0.25">
      <c r="A102">
        <v>20</v>
      </c>
    </row>
    <row r="103" spans="1:1" x14ac:dyDescent="0.25">
      <c r="A103">
        <v>28</v>
      </c>
    </row>
    <row r="104" spans="1:1" x14ac:dyDescent="0.25">
      <c r="A104">
        <v>36</v>
      </c>
    </row>
    <row r="105" spans="1:1" x14ac:dyDescent="0.25">
      <c r="A105">
        <v>48</v>
      </c>
    </row>
    <row r="106" spans="1:1" x14ac:dyDescent="0.25">
      <c r="A106">
        <v>60</v>
      </c>
    </row>
    <row r="107" spans="1:1" x14ac:dyDescent="0.25">
      <c r="A107" t="s">
        <v>114</v>
      </c>
    </row>
    <row r="108" spans="1:1" x14ac:dyDescent="0.25">
      <c r="A108" t="s">
        <v>114</v>
      </c>
    </row>
    <row r="109" spans="1:1" x14ac:dyDescent="0.25">
      <c r="A109" t="s">
        <v>163</v>
      </c>
    </row>
    <row r="110" spans="1:1" x14ac:dyDescent="0.25">
      <c r="A110" t="s">
        <v>164</v>
      </c>
    </row>
    <row r="111" spans="1:1" x14ac:dyDescent="0.25">
      <c r="A111" t="s">
        <v>165</v>
      </c>
    </row>
    <row r="112" spans="1:1" x14ac:dyDescent="0.25">
      <c r="A112" t="s">
        <v>166</v>
      </c>
    </row>
    <row r="113" spans="1:1" x14ac:dyDescent="0.25">
      <c r="A113" t="s">
        <v>167</v>
      </c>
    </row>
    <row r="114" spans="1:1" x14ac:dyDescent="0.25">
      <c r="A114" t="s">
        <v>168</v>
      </c>
    </row>
    <row r="115" spans="1:1" x14ac:dyDescent="0.25">
      <c r="A115" t="s">
        <v>162</v>
      </c>
    </row>
    <row r="116" spans="1:1" x14ac:dyDescent="0.25">
      <c r="A116" t="s">
        <v>161</v>
      </c>
    </row>
    <row r="117" spans="1:1" x14ac:dyDescent="0.25">
      <c r="A117" t="s">
        <v>169</v>
      </c>
    </row>
    <row r="118" spans="1:1" x14ac:dyDescent="0.25">
      <c r="A118" t="s">
        <v>170</v>
      </c>
    </row>
    <row r="119" spans="1:1" x14ac:dyDescent="0.25">
      <c r="A119" t="s">
        <v>171</v>
      </c>
    </row>
    <row r="120" spans="1:1" x14ac:dyDescent="0.25">
      <c r="A120" t="s">
        <v>172</v>
      </c>
    </row>
    <row r="121" spans="1:1" x14ac:dyDescent="0.25">
      <c r="A121" t="s">
        <v>173</v>
      </c>
    </row>
    <row r="122" spans="1:1" x14ac:dyDescent="0.25">
      <c r="A122" t="s">
        <v>174</v>
      </c>
    </row>
    <row r="123" spans="1:1" x14ac:dyDescent="0.25">
      <c r="A123" t="s">
        <v>175</v>
      </c>
    </row>
    <row r="124" spans="1:1" x14ac:dyDescent="0.25">
      <c r="A124" t="s">
        <v>176</v>
      </c>
    </row>
    <row r="125" spans="1:1" x14ac:dyDescent="0.25">
      <c r="A125" t="s">
        <v>177</v>
      </c>
    </row>
    <row r="126" spans="1:1" x14ac:dyDescent="0.25">
      <c r="A126" t="s">
        <v>178</v>
      </c>
    </row>
    <row r="127" spans="1:1" x14ac:dyDescent="0.25">
      <c r="A127" t="s">
        <v>179</v>
      </c>
    </row>
    <row r="128" spans="1:1" x14ac:dyDescent="0.25">
      <c r="A128" t="s">
        <v>180</v>
      </c>
    </row>
    <row r="129" spans="1:1" x14ac:dyDescent="0.25">
      <c r="A129" t="s">
        <v>181</v>
      </c>
    </row>
    <row r="130" spans="1:1" x14ac:dyDescent="0.25">
      <c r="A130" t="s">
        <v>182</v>
      </c>
    </row>
    <row r="131" spans="1:1" x14ac:dyDescent="0.25">
      <c r="A131" t="s">
        <v>114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KS</vt:lpstr>
      <vt:lpstr>PP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Dukala</dc:creator>
  <cp:lastModifiedBy>Maciej Dukala</cp:lastModifiedBy>
  <cp:lastPrinted>2023-08-22T13:16:57Z</cp:lastPrinted>
  <dcterms:created xsi:type="dcterms:W3CDTF">2023-08-22T10:22:26Z</dcterms:created>
  <dcterms:modified xsi:type="dcterms:W3CDTF">2023-08-22T13:17:52Z</dcterms:modified>
</cp:coreProperties>
</file>