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 Dukala\Desktop\Excel\"/>
    </mc:Choice>
  </mc:AlternateContent>
  <xr:revisionPtr revIDLastSave="0" documentId="13_ncr:1_{E2F91F1F-D8AD-43ED-9C4B-F82362719AB0}" xr6:coauthVersionLast="47" xr6:coauthVersionMax="47" xr10:uidLastSave="{00000000-0000-0000-0000-000000000000}"/>
  <bookViews>
    <workbookView xWindow="28680" yWindow="-120" windowWidth="29040" windowHeight="15840" xr2:uid="{F1ABD7E6-9BC0-4FA7-8ECD-7648BD959098}"/>
  </bookViews>
  <sheets>
    <sheet name="Berechnungen" sheetId="1" r:id="rId1"/>
    <sheet name="Pro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2" i="1"/>
  <c r="I4" i="1"/>
  <c r="E34" i="1"/>
  <c r="E33" i="1"/>
  <c r="D44" i="1"/>
  <c r="D36" i="1"/>
  <c r="F27" i="1"/>
  <c r="C27" i="1"/>
  <c r="B27" i="1"/>
  <c r="C30" i="1"/>
  <c r="C26" i="1"/>
  <c r="C25" i="1"/>
  <c r="C24" i="1"/>
  <c r="C23" i="1"/>
  <c r="C22" i="1"/>
  <c r="C21" i="1"/>
  <c r="C20" i="1"/>
  <c r="C19" i="1"/>
  <c r="C18" i="1"/>
  <c r="C17" i="1"/>
  <c r="C16" i="1"/>
  <c r="B16" i="1"/>
  <c r="B30" i="1"/>
  <c r="B26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<sst xmlns="http://schemas.openxmlformats.org/spreadsheetml/2006/main" count="88" uniqueCount="66">
  <si>
    <t>h</t>
  </si>
  <si>
    <t>b</t>
  </si>
  <si>
    <t>tw</t>
  </si>
  <si>
    <t>tf</t>
  </si>
  <si>
    <t>A</t>
  </si>
  <si>
    <t>Wel,y</t>
  </si>
  <si>
    <t>Iy</t>
  </si>
  <si>
    <t>Iz</t>
  </si>
  <si>
    <t>Wel,z</t>
  </si>
  <si>
    <t>[mm]</t>
  </si>
  <si>
    <t>[cm²]</t>
  </si>
  <si>
    <t>[cm4]</t>
  </si>
  <si>
    <t>[cm3]</t>
  </si>
  <si>
    <t>-</t>
  </si>
  <si>
    <t>IPE100</t>
  </si>
  <si>
    <t>IPE300</t>
  </si>
  <si>
    <t>IT</t>
  </si>
  <si>
    <t>Stahlgüte:</t>
  </si>
  <si>
    <t>S235</t>
  </si>
  <si>
    <t>S275</t>
  </si>
  <si>
    <t>S355</t>
  </si>
  <si>
    <t>fyd</t>
  </si>
  <si>
    <t>Haupträger:</t>
  </si>
  <si>
    <t>Wpl,y</t>
  </si>
  <si>
    <t>h [mm]</t>
  </si>
  <si>
    <t>b [mm]</t>
  </si>
  <si>
    <t>tw [mm]</t>
  </si>
  <si>
    <t>tf [mm]</t>
  </si>
  <si>
    <t>A [cm²]</t>
  </si>
  <si>
    <t>Iy [cm4]</t>
  </si>
  <si>
    <t>Wpl,y [cm3]</t>
  </si>
  <si>
    <t>Wel,y [cm3]</t>
  </si>
  <si>
    <t>Iz [cm4]</t>
  </si>
  <si>
    <t>Wel,z [cm3]</t>
  </si>
  <si>
    <t>IT [cm4]</t>
  </si>
  <si>
    <t>fyd [N/mm²]</t>
  </si>
  <si>
    <t>Nebeträger</t>
  </si>
  <si>
    <t>E =</t>
  </si>
  <si>
    <t>[GPa]</t>
  </si>
  <si>
    <t>EIN-FELD-TRÄGER</t>
  </si>
  <si>
    <t xml:space="preserve">MEd = </t>
  </si>
  <si>
    <t>[kNm]</t>
  </si>
  <si>
    <t>n =</t>
  </si>
  <si>
    <t>[-]</t>
  </si>
  <si>
    <t>[m]</t>
  </si>
  <si>
    <t xml:space="preserve">k fi,1 = </t>
  </si>
  <si>
    <t>MRd,pl,y [kNcm]</t>
  </si>
  <si>
    <t>[kNcm/cm]</t>
  </si>
  <si>
    <t>a (P) =</t>
  </si>
  <si>
    <t xml:space="preserve">a = </t>
  </si>
  <si>
    <t xml:space="preserve">k fi,2 = </t>
  </si>
  <si>
    <t>c =</t>
  </si>
  <si>
    <t xml:space="preserve">u = </t>
  </si>
  <si>
    <t xml:space="preserve">k fi,3 = </t>
  </si>
  <si>
    <t>k fi,erf</t>
  </si>
  <si>
    <t>k fi, vorh =</t>
  </si>
  <si>
    <t xml:space="preserve">ms = </t>
  </si>
  <si>
    <t>alfa K =</t>
  </si>
  <si>
    <t>k =</t>
  </si>
  <si>
    <t>[kN cm/cm]</t>
  </si>
  <si>
    <t>MS =</t>
  </si>
  <si>
    <t>[kN cm]</t>
  </si>
  <si>
    <t xml:space="preserve">F = </t>
  </si>
  <si>
    <t>ab =</t>
  </si>
  <si>
    <t>[cm]</t>
  </si>
  <si>
    <t>[kN]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</si>
</sst>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0" fillId="2" borderId="0" xfId="0" applyNumberFormat="1" applyFill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0</xdr:rowOff>
    </xdr:from>
    <xdr:to>
      <xdr:col>6</xdr:col>
      <xdr:colOff>761704</xdr:colOff>
      <xdr:row>7</xdr:row>
      <xdr:rowOff>47452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6BD9CD-E28C-6E03-AC88-50C1A6845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5" y="0"/>
          <a:ext cx="2371429" cy="1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723464</xdr:colOff>
      <xdr:row>12</xdr:row>
      <xdr:rowOff>9238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FF27270-D467-72BB-BABF-0B7F8E5F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485714" cy="2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17</xdr:row>
      <xdr:rowOff>1</xdr:rowOff>
    </xdr:from>
    <xdr:to>
      <xdr:col>4</xdr:col>
      <xdr:colOff>762000</xdr:colOff>
      <xdr:row>20</xdr:row>
      <xdr:rowOff>118615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9A7D34E-F20E-0D85-5FC5-5EF8ED450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19399" y="3238501"/>
          <a:ext cx="1524001" cy="690114"/>
        </a:xfrm>
        <a:prstGeom prst="rect">
          <a:avLst/>
        </a:prstGeom>
      </xdr:spPr>
    </xdr:pic>
    <xdr:clientData/>
  </xdr:twoCellAnchor>
  <xdr:twoCellAnchor>
    <xdr:from>
      <xdr:col>4</xdr:col>
      <xdr:colOff>552450</xdr:colOff>
      <xdr:row>20</xdr:row>
      <xdr:rowOff>95250</xdr:rowOff>
    </xdr:from>
    <xdr:to>
      <xdr:col>4</xdr:col>
      <xdr:colOff>552450</xdr:colOff>
      <xdr:row>23</xdr:row>
      <xdr:rowOff>47625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7D3BA61F-61CA-62B9-ACAB-1B4ACB080945}"/>
            </a:ext>
          </a:extLst>
        </xdr:cNvPr>
        <xdr:cNvCxnSpPr/>
      </xdr:nvCxnSpPr>
      <xdr:spPr>
        <a:xfrm>
          <a:off x="3829050" y="390525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104775</xdr:colOff>
      <xdr:row>25</xdr:row>
      <xdr:rowOff>76200</xdr:rowOff>
    </xdr:from>
    <xdr:to>
      <xdr:col>4</xdr:col>
      <xdr:colOff>342768</xdr:colOff>
      <xdr:row>27</xdr:row>
      <xdr:rowOff>133295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4268E7B-7AB2-60CE-AA65-3535A9641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67025" y="4838700"/>
          <a:ext cx="1057143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152400</xdr:rowOff>
    </xdr:from>
    <xdr:to>
      <xdr:col>2</xdr:col>
      <xdr:colOff>378568</xdr:colOff>
      <xdr:row>34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9E2C5F2-694F-76FC-8DA6-0C0BA16E8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867400"/>
          <a:ext cx="2321668" cy="6096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34</xdr:row>
      <xdr:rowOff>85725</xdr:rowOff>
    </xdr:from>
    <xdr:to>
      <xdr:col>0</xdr:col>
      <xdr:colOff>1057167</xdr:colOff>
      <xdr:row>36</xdr:row>
      <xdr:rowOff>161868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CB0E639-41D7-BE3E-8CE2-D0711E0B5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6372225"/>
          <a:ext cx="866667" cy="457143"/>
        </a:xfrm>
        <a:prstGeom prst="rect">
          <a:avLst/>
        </a:prstGeom>
      </xdr:spPr>
    </xdr:pic>
    <xdr:clientData/>
  </xdr:twoCellAnchor>
  <xdr:twoCellAnchor>
    <xdr:from>
      <xdr:col>4</xdr:col>
      <xdr:colOff>466725</xdr:colOff>
      <xdr:row>26</xdr:row>
      <xdr:rowOff>95250</xdr:rowOff>
    </xdr:from>
    <xdr:to>
      <xdr:col>4</xdr:col>
      <xdr:colOff>800100</xdr:colOff>
      <xdr:row>26</xdr:row>
      <xdr:rowOff>95250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B578B5F-834A-435F-A8FD-7F8D1DAB9C31}"/>
            </a:ext>
          </a:extLst>
        </xdr:cNvPr>
        <xdr:cNvCxnSpPr/>
      </xdr:nvCxnSpPr>
      <xdr:spPr>
        <a:xfrm>
          <a:off x="3743325" y="504825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42</xdr:row>
      <xdr:rowOff>152400</xdr:rowOff>
    </xdr:from>
    <xdr:to>
      <xdr:col>1</xdr:col>
      <xdr:colOff>790343</xdr:colOff>
      <xdr:row>46</xdr:row>
      <xdr:rowOff>57067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B486C3B-B1B4-DB6C-81F5-9D2FAAB16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150" y="8153400"/>
          <a:ext cx="1857143" cy="666667"/>
        </a:xfrm>
        <a:prstGeom prst="rect">
          <a:avLst/>
        </a:prstGeom>
      </xdr:spPr>
    </xdr:pic>
    <xdr:clientData/>
  </xdr:twoCellAnchor>
  <xdr:twoCellAnchor>
    <xdr:from>
      <xdr:col>5</xdr:col>
      <xdr:colOff>28575</xdr:colOff>
      <xdr:row>18</xdr:row>
      <xdr:rowOff>95250</xdr:rowOff>
    </xdr:from>
    <xdr:to>
      <xdr:col>5</xdr:col>
      <xdr:colOff>685800</xdr:colOff>
      <xdr:row>18</xdr:row>
      <xdr:rowOff>114300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69BD1206-3D6A-47AB-B7AB-7C01869901E0}"/>
            </a:ext>
          </a:extLst>
        </xdr:cNvPr>
        <xdr:cNvCxnSpPr/>
      </xdr:nvCxnSpPr>
      <xdr:spPr>
        <a:xfrm flipV="1">
          <a:off x="4429125" y="3524250"/>
          <a:ext cx="657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466725</xdr:colOff>
      <xdr:row>32</xdr:row>
      <xdr:rowOff>95250</xdr:rowOff>
    </xdr:from>
    <xdr:to>
      <xdr:col>2</xdr:col>
      <xdr:colOff>800100</xdr:colOff>
      <xdr:row>32</xdr:row>
      <xdr:rowOff>95250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8725125C-FDAD-4B10-B8B0-90D0AFAD39DB}"/>
            </a:ext>
          </a:extLst>
        </xdr:cNvPr>
        <xdr:cNvCxnSpPr/>
      </xdr:nvCxnSpPr>
      <xdr:spPr>
        <a:xfrm>
          <a:off x="2409825" y="6191250"/>
          <a:ext cx="333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381000</xdr:colOff>
      <xdr:row>4</xdr:row>
      <xdr:rowOff>76200</xdr:rowOff>
    </xdr:from>
    <xdr:to>
      <xdr:col>12</xdr:col>
      <xdr:colOff>304707</xdr:colOff>
      <xdr:row>7</xdr:row>
      <xdr:rowOff>28510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EEE9D85-44E2-19CF-6FA8-F046C0C55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96450" y="838200"/>
          <a:ext cx="742857" cy="5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7</xdr:row>
      <xdr:rowOff>28575</xdr:rowOff>
    </xdr:from>
    <xdr:to>
      <xdr:col>13</xdr:col>
      <xdr:colOff>676032</xdr:colOff>
      <xdr:row>16</xdr:row>
      <xdr:rowOff>18837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5A22E98-28F5-8EBE-C798-4B0DC213D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86925" y="1362075"/>
          <a:ext cx="1942857" cy="1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</xdr:row>
      <xdr:rowOff>0</xdr:rowOff>
    </xdr:from>
    <xdr:to>
      <xdr:col>12</xdr:col>
      <xdr:colOff>714231</xdr:colOff>
      <xdr:row>4</xdr:row>
      <xdr:rowOff>28500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37A9F9E7-4493-73BA-0309-6BE2152F4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96450" y="190500"/>
          <a:ext cx="1152381" cy="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17</xdr:row>
      <xdr:rowOff>0</xdr:rowOff>
    </xdr:from>
    <xdr:to>
      <xdr:col>13</xdr:col>
      <xdr:colOff>47485</xdr:colOff>
      <xdr:row>19</xdr:row>
      <xdr:rowOff>180905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136F7ABB-423B-4635-EB68-36B81366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877425" y="3238500"/>
          <a:ext cx="1123810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415-7D54-4587-A8CD-D631E76B810E}">
  <dimension ref="A2:J49"/>
  <sheetViews>
    <sheetView tabSelected="1" view="pageLayout" topLeftCell="A17" zoomScaleNormal="100" workbookViewId="0">
      <selection activeCell="F22" sqref="F22"/>
    </sheetView>
  </sheetViews>
  <sheetFormatPr baseColWidth="10" defaultRowHeight="15" x14ac:dyDescent="0.25"/>
  <cols>
    <col min="1" max="1" width="15.7109375" bestFit="1" customWidth="1"/>
  </cols>
  <sheetData>
    <row r="2" spans="1:10" x14ac:dyDescent="0.25">
      <c r="H2" t="s">
        <v>56</v>
      </c>
      <c r="I2" s="4">
        <f>I4*(B27)^2/F15/100/B24</f>
        <v>1.0279620030774548</v>
      </c>
      <c r="J2" t="s">
        <v>59</v>
      </c>
    </row>
    <row r="4" spans="1:10" x14ac:dyDescent="0.25">
      <c r="H4" t="s">
        <v>57</v>
      </c>
      <c r="I4" s="5">
        <f>0.075/I5/I5</f>
        <v>5.9789540816326522E-2</v>
      </c>
      <c r="J4" t="s">
        <v>43</v>
      </c>
    </row>
    <row r="5" spans="1:10" x14ac:dyDescent="0.25">
      <c r="H5" t="s">
        <v>58</v>
      </c>
      <c r="I5" s="1">
        <v>1.1200000000000001</v>
      </c>
      <c r="J5" t="s">
        <v>43</v>
      </c>
    </row>
    <row r="7" spans="1:10" x14ac:dyDescent="0.25">
      <c r="H7" t="s">
        <v>60</v>
      </c>
      <c r="I7" s="6">
        <f>I2*B39*100</f>
        <v>154.19430046161821</v>
      </c>
      <c r="J7" t="s">
        <v>61</v>
      </c>
    </row>
    <row r="9" spans="1:10" x14ac:dyDescent="0.25">
      <c r="H9" t="s">
        <v>62</v>
      </c>
      <c r="I9" s="5">
        <f>I7/2/I11</f>
        <v>6.7041000200703573</v>
      </c>
      <c r="J9" t="s">
        <v>65</v>
      </c>
    </row>
    <row r="11" spans="1:10" x14ac:dyDescent="0.25">
      <c r="H11" t="s">
        <v>63</v>
      </c>
      <c r="I11" s="1">
        <v>11.5</v>
      </c>
      <c r="J11" t="s">
        <v>64</v>
      </c>
    </row>
    <row r="14" spans="1:10" x14ac:dyDescent="0.25">
      <c r="B14" s="3" t="s">
        <v>22</v>
      </c>
      <c r="C14" s="3" t="s">
        <v>36</v>
      </c>
      <c r="E14" t="s">
        <v>40</v>
      </c>
      <c r="F14" s="1">
        <v>90</v>
      </c>
      <c r="G14" t="s">
        <v>41</v>
      </c>
    </row>
    <row r="15" spans="1:10" x14ac:dyDescent="0.25">
      <c r="B15" s="2" t="s">
        <v>15</v>
      </c>
      <c r="C15" s="2" t="s">
        <v>14</v>
      </c>
      <c r="E15" t="s">
        <v>37</v>
      </c>
      <c r="F15" s="1">
        <v>210</v>
      </c>
      <c r="G15" t="s">
        <v>38</v>
      </c>
    </row>
    <row r="16" spans="1:10" x14ac:dyDescent="0.25">
      <c r="A16" s="3" t="s">
        <v>24</v>
      </c>
      <c r="B16" s="3">
        <f>VLOOKUP(B15,Profile!B4:M7,2,FALSE)</f>
        <v>300</v>
      </c>
      <c r="C16" s="3">
        <f>VLOOKUP(C15,Profile!B4:M7,2,FALSE)</f>
        <v>100</v>
      </c>
    </row>
    <row r="17" spans="1:7" x14ac:dyDescent="0.25">
      <c r="A17" s="3" t="s">
        <v>25</v>
      </c>
      <c r="B17" s="3">
        <f>VLOOKUP(B15,Profile!B4:M7,3,FALSE)</f>
        <v>150</v>
      </c>
      <c r="C17" s="3">
        <f>VLOOKUP(C15,Profile!B4:M7,3,FALSE)</f>
        <v>55</v>
      </c>
    </row>
    <row r="18" spans="1:7" x14ac:dyDescent="0.25">
      <c r="A18" s="3" t="s">
        <v>26</v>
      </c>
      <c r="B18" s="3">
        <f>VLOOKUP(B15,Profile!B4:M7,4,FALSE)</f>
        <v>7.1</v>
      </c>
      <c r="C18" s="3">
        <f>VLOOKUP(C15,Profile!B4:M7,4,FALSE)</f>
        <v>4.0999999999999996</v>
      </c>
    </row>
    <row r="19" spans="1:7" x14ac:dyDescent="0.25">
      <c r="A19" s="3" t="s">
        <v>27</v>
      </c>
      <c r="B19" s="3">
        <f>VLOOKUP(B15,Profile!B4:M7,5,FALSE)</f>
        <v>10.7</v>
      </c>
      <c r="C19" s="3">
        <f>VLOOKUP(C15,Profile!B4:M7,5,FALSE)</f>
        <v>5.7</v>
      </c>
      <c r="G19" t="s">
        <v>54</v>
      </c>
    </row>
    <row r="20" spans="1:7" x14ac:dyDescent="0.25">
      <c r="A20" s="3" t="s">
        <v>28</v>
      </c>
      <c r="B20" s="3">
        <f>VLOOKUP(B15,Profile!B4:M7,6,FALSE)</f>
        <v>53.8</v>
      </c>
      <c r="C20" s="3">
        <f>VLOOKUP(C15,Profile!B4:M7,6,FALSE)</f>
        <v>10.3</v>
      </c>
    </row>
    <row r="21" spans="1:7" x14ac:dyDescent="0.25">
      <c r="A21" s="3" t="s">
        <v>29</v>
      </c>
      <c r="B21" s="3">
        <f>VLOOKUP(B15,Profile!B4:M7,7,FALSE)</f>
        <v>8360</v>
      </c>
      <c r="C21" s="3">
        <f>VLOOKUP(C15,Profile!B4:M7,7,FALSE)</f>
        <v>171</v>
      </c>
    </row>
    <row r="22" spans="1:7" x14ac:dyDescent="0.25">
      <c r="A22" s="3" t="s">
        <v>31</v>
      </c>
      <c r="B22" s="3">
        <f>VLOOKUP(B15,Profile!B4:M7,8,FALSE)</f>
        <v>557</v>
      </c>
      <c r="C22" s="3">
        <f>VLOOKUP(C15,Profile!B4:M7,8,FALSE)</f>
        <v>34.200000000000003</v>
      </c>
    </row>
    <row r="23" spans="1:7" x14ac:dyDescent="0.25">
      <c r="A23" s="3" t="s">
        <v>30</v>
      </c>
      <c r="B23" s="3">
        <f>VLOOKUP(B15,Profile!B4:M7,9,FALSE)</f>
        <v>628.4</v>
      </c>
      <c r="C23" s="3">
        <f>VLOOKUP(C15,Profile!B4:M7,9,FALSE)</f>
        <v>39.409999999999997</v>
      </c>
    </row>
    <row r="24" spans="1:7" x14ac:dyDescent="0.25">
      <c r="A24" s="3" t="s">
        <v>32</v>
      </c>
      <c r="B24" s="3">
        <f>VLOOKUP(B15,Profile!B4:M7,10,FALSE)</f>
        <v>604</v>
      </c>
      <c r="C24" s="3">
        <f>VLOOKUP(C15,Profile!B4:M7,10,FALSE)</f>
        <v>15.9</v>
      </c>
    </row>
    <row r="25" spans="1:7" x14ac:dyDescent="0.25">
      <c r="A25" s="3" t="s">
        <v>33</v>
      </c>
      <c r="B25" s="3">
        <f>VLOOKUP(B15,Profile!B4:M7,11,FALSE)</f>
        <v>80.7</v>
      </c>
      <c r="C25" s="3">
        <f>VLOOKUP(C15,Profile!B4:M7,11,FALSE)</f>
        <v>5.79</v>
      </c>
      <c r="E25" t="s">
        <v>39</v>
      </c>
    </row>
    <row r="26" spans="1:7" x14ac:dyDescent="0.25">
      <c r="A26" s="3" t="s">
        <v>34</v>
      </c>
      <c r="B26" s="3">
        <f>VLOOKUP(B15,Profile!B4:M7,12,FALSE)</f>
        <v>20.100000000000001</v>
      </c>
      <c r="C26" s="3">
        <f>VLOOKUP(C15,Profile!B4:M7,12,FALSE)</f>
        <v>1.2</v>
      </c>
    </row>
    <row r="27" spans="1:7" x14ac:dyDescent="0.25">
      <c r="A27" s="3" t="s">
        <v>46</v>
      </c>
      <c r="B27" s="3">
        <f>B23*B30/10</f>
        <v>14767.4</v>
      </c>
      <c r="C27" s="3">
        <f>C23*C30/10</f>
        <v>926.13499999999988</v>
      </c>
      <c r="F27" s="7">
        <f>1.4*B27^2/F15/100/B24</f>
        <v>24.070210017660042</v>
      </c>
      <c r="G27" t="s">
        <v>47</v>
      </c>
    </row>
    <row r="29" spans="1:7" x14ac:dyDescent="0.25">
      <c r="A29" s="3" t="s">
        <v>17</v>
      </c>
      <c r="B29" s="2" t="s">
        <v>18</v>
      </c>
      <c r="C29" s="2" t="s">
        <v>18</v>
      </c>
    </row>
    <row r="30" spans="1:7" x14ac:dyDescent="0.25">
      <c r="A30" s="3" t="s">
        <v>35</v>
      </c>
      <c r="B30" s="3">
        <f>VLOOKUP(B29,Profile!B12:C16,2,FALSE)</f>
        <v>235</v>
      </c>
      <c r="C30" s="3">
        <f>VLOOKUP(B29,Profile!B12:C16,2,FALSE)</f>
        <v>235</v>
      </c>
    </row>
    <row r="33" spans="1:6" x14ac:dyDescent="0.25">
      <c r="D33" t="s">
        <v>55</v>
      </c>
      <c r="E33" s="6">
        <f>1/(1/D36+1/D44)</f>
        <v>53.388390393273859</v>
      </c>
      <c r="F33" t="s">
        <v>43</v>
      </c>
    </row>
    <row r="34" spans="1:6" x14ac:dyDescent="0.25">
      <c r="E34" t="str">
        <f>IF(E33&gt;F27,"OK","NICHT OK")</f>
        <v>OK</v>
      </c>
    </row>
    <row r="36" spans="1:6" x14ac:dyDescent="0.25">
      <c r="C36" t="s">
        <v>45</v>
      </c>
      <c r="D36">
        <f>B38*F15*100*C21/B39/100/B40/100</f>
        <v>239.4</v>
      </c>
      <c r="E36" t="s">
        <v>47</v>
      </c>
    </row>
    <row r="38" spans="1:6" x14ac:dyDescent="0.25">
      <c r="A38" t="s">
        <v>42</v>
      </c>
      <c r="B38" s="1">
        <v>2</v>
      </c>
      <c r="C38" t="s">
        <v>43</v>
      </c>
    </row>
    <row r="39" spans="1:6" x14ac:dyDescent="0.25">
      <c r="A39" t="s">
        <v>48</v>
      </c>
      <c r="B39" s="1">
        <v>1.5</v>
      </c>
      <c r="C39" t="s">
        <v>44</v>
      </c>
    </row>
    <row r="40" spans="1:6" x14ac:dyDescent="0.25">
      <c r="A40" t="s">
        <v>49</v>
      </c>
      <c r="B40" s="1">
        <v>2</v>
      </c>
      <c r="C40" t="s">
        <v>44</v>
      </c>
    </row>
    <row r="42" spans="1:6" x14ac:dyDescent="0.25">
      <c r="C42" t="s">
        <v>50</v>
      </c>
      <c r="D42">
        <v>0</v>
      </c>
      <c r="E42" t="s">
        <v>47</v>
      </c>
    </row>
    <row r="44" spans="1:6" x14ac:dyDescent="0.25">
      <c r="C44" t="s">
        <v>53</v>
      </c>
      <c r="D44" s="5">
        <f>F15*100/(4*(1-B49^2)*((B16/10-2*B19/10)/(B18/10)^3+B48*(B17/10)/(B19/10)^3))</f>
        <v>68.711736257603974</v>
      </c>
      <c r="E44" t="s">
        <v>47</v>
      </c>
    </row>
    <row r="48" spans="1:6" x14ac:dyDescent="0.25">
      <c r="A48" t="s">
        <v>51</v>
      </c>
      <c r="B48" s="1">
        <v>0.5</v>
      </c>
    </row>
    <row r="49" spans="1:2" x14ac:dyDescent="0.25">
      <c r="A49" t="s">
        <v>52</v>
      </c>
      <c r="B49" s="1">
        <v>0.3</v>
      </c>
    </row>
  </sheetData>
  <conditionalFormatting sqref="E34">
    <cfRule type="containsText" dxfId="1" priority="1" operator="containsText" text="NICHT OK">
      <formula>NOT(ISERROR(SEARCH("NICHT OK",E34)))</formula>
    </cfRule>
    <cfRule type="containsText" dxfId="0" priority="2" operator="containsText" text="OK">
      <formula>NOT(ISERROR(SEARCH("OK",E34)))</formula>
    </cfRule>
  </conditionalFormatting>
  <pageMargins left="0.7" right="0.7" top="0.78740157499999996" bottom="0.78740157499999996" header="0.3" footer="0.3"/>
  <pageSetup paperSize="9" orientation="portrait" r:id="rId1"/>
  <headerFooter>
    <oddHeader>&amp;CHauptträger mit Versicherung 
gegen Drehung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55501E8-C372-4E40-94D2-11FCAB8514A7}">
          <x14:formula1>
            <xm:f>Profile!$B$4:$B$7</xm:f>
          </x14:formula1>
          <xm:sqref>B15:C15</xm:sqref>
        </x14:dataValidation>
        <x14:dataValidation type="list" allowBlank="1" showInputMessage="1" showErrorMessage="1" xr:uid="{0AD344AA-20F7-4D19-8E9B-AF957B4587CD}">
          <x14:formula1>
            <xm:f>Profile!$B$12:$B$16</xm:f>
          </x14:formula1>
          <xm:sqref>B29:C29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2FF9-5323-4C59-A20A-6DB22BE234FC}">
  <dimension ref="B2:M16"/>
  <sheetViews>
    <sheetView workbookViewId="0">
      <selection activeCell="J6" sqref="J6"/>
    </sheetView>
  </sheetViews>
  <sheetFormatPr baseColWidth="10" defaultRowHeight="15" x14ac:dyDescent="0.25"/>
  <sheetData>
    <row r="2" spans="2:13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6</v>
      </c>
      <c r="I2" t="s">
        <v>5</v>
      </c>
      <c r="J2" t="s">
        <v>23</v>
      </c>
      <c r="K2" t="s">
        <v>7</v>
      </c>
      <c r="L2" t="s">
        <v>8</v>
      </c>
      <c r="M2" t="s">
        <v>16</v>
      </c>
    </row>
    <row r="3" spans="2:13" x14ac:dyDescent="0.25"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11</v>
      </c>
      <c r="I3" t="s">
        <v>12</v>
      </c>
      <c r="J3" t="s">
        <v>12</v>
      </c>
      <c r="K3" t="s">
        <v>11</v>
      </c>
      <c r="L3" t="s">
        <v>12</v>
      </c>
      <c r="M3" t="s">
        <v>11</v>
      </c>
    </row>
    <row r="4" spans="2:13" x14ac:dyDescent="0.25">
      <c r="B4" t="s">
        <v>13</v>
      </c>
    </row>
    <row r="5" spans="2:13" x14ac:dyDescent="0.25">
      <c r="B5" t="s">
        <v>14</v>
      </c>
      <c r="C5">
        <v>100</v>
      </c>
      <c r="D5">
        <v>55</v>
      </c>
      <c r="E5">
        <v>4.0999999999999996</v>
      </c>
      <c r="F5">
        <v>5.7</v>
      </c>
      <c r="G5">
        <v>10.3</v>
      </c>
      <c r="H5">
        <v>171</v>
      </c>
      <c r="I5">
        <v>34.200000000000003</v>
      </c>
      <c r="J5">
        <v>39.409999999999997</v>
      </c>
      <c r="K5">
        <v>15.9</v>
      </c>
      <c r="L5">
        <v>5.79</v>
      </c>
      <c r="M5">
        <v>1.2</v>
      </c>
    </row>
    <row r="6" spans="2:13" x14ac:dyDescent="0.25">
      <c r="B6" t="s">
        <v>15</v>
      </c>
      <c r="C6">
        <v>300</v>
      </c>
      <c r="D6">
        <v>150</v>
      </c>
      <c r="E6">
        <v>7.1</v>
      </c>
      <c r="F6">
        <v>10.7</v>
      </c>
      <c r="G6">
        <v>53.8</v>
      </c>
      <c r="H6">
        <v>8360</v>
      </c>
      <c r="I6">
        <v>557</v>
      </c>
      <c r="J6">
        <v>628.4</v>
      </c>
      <c r="K6">
        <v>604</v>
      </c>
      <c r="L6">
        <v>80.7</v>
      </c>
      <c r="M6">
        <v>20.100000000000001</v>
      </c>
    </row>
    <row r="7" spans="2:13" x14ac:dyDescent="0.25">
      <c r="B7" t="s">
        <v>13</v>
      </c>
    </row>
    <row r="11" spans="2:13" x14ac:dyDescent="0.25">
      <c r="B11" t="s">
        <v>17</v>
      </c>
      <c r="C11" t="s">
        <v>21</v>
      </c>
    </row>
    <row r="12" spans="2:13" x14ac:dyDescent="0.25">
      <c r="B12" t="s">
        <v>13</v>
      </c>
    </row>
    <row r="13" spans="2:13" x14ac:dyDescent="0.25">
      <c r="B13" t="s">
        <v>18</v>
      </c>
      <c r="C13">
        <v>235</v>
      </c>
    </row>
    <row r="14" spans="2:13" x14ac:dyDescent="0.25">
      <c r="B14" t="s">
        <v>19</v>
      </c>
      <c r="C14">
        <v>275</v>
      </c>
    </row>
    <row r="15" spans="2:13" x14ac:dyDescent="0.25">
      <c r="B15" t="s">
        <v>20</v>
      </c>
      <c r="C15">
        <v>355</v>
      </c>
    </row>
    <row r="16" spans="2:13" x14ac:dyDescent="0.25">
      <c r="B16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Berechnungen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Dukala</dc:creator>
  <cp:lastModifiedBy>Maciej Dukala</cp:lastModifiedBy>
  <dcterms:created xsi:type="dcterms:W3CDTF">2023-01-31T14:03:03Z</dcterms:created>
  <dcterms:modified xsi:type="dcterms:W3CDTF">2023-01-31T15:28:12Z</dcterms:modified>
</cp:coreProperties>
</file>