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j Dukala\Desktop\Excel\"/>
    </mc:Choice>
  </mc:AlternateContent>
  <xr:revisionPtr revIDLastSave="0" documentId="13_ncr:1_{8DEE997C-50FC-4C1F-B4CA-EA423ED8AB6F}" xr6:coauthVersionLast="47" xr6:coauthVersionMax="47" xr10:uidLastSave="{00000000-0000-0000-0000-000000000000}"/>
  <bookViews>
    <workbookView xWindow="28680" yWindow="-120" windowWidth="29040" windowHeight="15840" firstSheet="1" activeTab="2" xr2:uid="{00000000-000D-0000-FFFF-FFFF00000000}"/>
  </bookViews>
  <sheets>
    <sheet name="U-Profile" sheetId="1" r:id="rId1"/>
    <sheet name="Querschnitte U-Profile" sheetId="2" r:id="rId2"/>
    <sheet name="I-Profile " sheetId="4" r:id="rId3"/>
    <sheet name="Querschnitte I-Profile" sheetId="5" r:id="rId4"/>
    <sheet name="Hilfsmaterial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5" l="1"/>
  <c r="U12" i="5" s="1"/>
  <c r="Q12" i="5"/>
  <c r="R12" i="5" s="1"/>
  <c r="P12" i="5"/>
  <c r="O12" i="5"/>
  <c r="H12" i="5"/>
  <c r="J18" i="4"/>
  <c r="J15" i="4"/>
  <c r="M39" i="4"/>
  <c r="M38" i="4"/>
  <c r="E23" i="4"/>
  <c r="N13" i="4"/>
  <c r="H9" i="5"/>
  <c r="H10" i="5"/>
  <c r="H11" i="5"/>
  <c r="Q11" i="5"/>
  <c r="Q10" i="5"/>
  <c r="Q9" i="5"/>
  <c r="R9" i="5"/>
  <c r="P11" i="5"/>
  <c r="R11" i="5" s="1"/>
  <c r="P10" i="5"/>
  <c r="P9" i="5"/>
  <c r="O11" i="5"/>
  <c r="O10" i="5"/>
  <c r="O9" i="5"/>
  <c r="T11" i="5"/>
  <c r="U11" i="5" s="1"/>
  <c r="T10" i="5"/>
  <c r="U10" i="5" s="1"/>
  <c r="T9" i="5"/>
  <c r="U9" i="5" s="1"/>
  <c r="O7" i="5"/>
  <c r="P7" i="5"/>
  <c r="Q7" i="5"/>
  <c r="T7" i="5"/>
  <c r="U7" i="5" s="1"/>
  <c r="O8" i="5"/>
  <c r="P8" i="5"/>
  <c r="Q8" i="5"/>
  <c r="T8" i="5"/>
  <c r="U8" i="5" s="1"/>
  <c r="H7" i="5"/>
  <c r="H8" i="5"/>
  <c r="N16" i="4"/>
  <c r="E5" i="4"/>
  <c r="E4" i="4"/>
  <c r="T6" i="5"/>
  <c r="U6" i="5" s="1"/>
  <c r="T5" i="5"/>
  <c r="U5" i="5" s="1"/>
  <c r="C15" i="5"/>
  <c r="J50" i="4"/>
  <c r="C16" i="5" s="1"/>
  <c r="P6" i="5"/>
  <c r="Q6" i="5"/>
  <c r="Q5" i="5"/>
  <c r="P5" i="5"/>
  <c r="R5" i="5" s="1"/>
  <c r="B38" i="4"/>
  <c r="R10" i="5" l="1"/>
  <c r="R8" i="5"/>
  <c r="R7" i="5"/>
  <c r="B40" i="4"/>
  <c r="R6" i="5"/>
  <c r="E26" i="4"/>
  <c r="E27" i="4" s="1"/>
  <c r="B29" i="4"/>
  <c r="B28" i="4"/>
  <c r="B26" i="4"/>
  <c r="B27" i="4"/>
  <c r="B5" i="4"/>
  <c r="B45" i="4" l="1"/>
  <c r="G26" i="4"/>
  <c r="G27" i="4"/>
  <c r="B44" i="4"/>
  <c r="E28" i="4"/>
  <c r="G28" i="4" s="1"/>
  <c r="E29" i="4"/>
  <c r="G29" i="4" s="1"/>
  <c r="B21" i="4"/>
  <c r="B20" i="4"/>
  <c r="S12" i="5" s="1"/>
  <c r="E3" i="4"/>
  <c r="E2" i="4"/>
  <c r="B4" i="4"/>
  <c r="B3" i="4"/>
  <c r="J38" i="4" s="1"/>
  <c r="B2" i="4"/>
  <c r="J5" i="5"/>
  <c r="H6" i="5"/>
  <c r="B19" i="4" s="1"/>
  <c r="O6" i="5"/>
  <c r="B22" i="4" s="1"/>
  <c r="O5" i="5"/>
  <c r="I5" i="5"/>
  <c r="H5" i="5"/>
  <c r="N15" i="4"/>
  <c r="N14" i="4"/>
  <c r="E20" i="4"/>
  <c r="P4" i="2"/>
  <c r="B37" i="1"/>
  <c r="B36" i="1"/>
  <c r="E14" i="1"/>
  <c r="B16" i="1"/>
  <c r="B15" i="1"/>
  <c r="B14" i="1"/>
  <c r="B13" i="1"/>
  <c r="B4" i="1"/>
  <c r="E3" i="1"/>
  <c r="E2" i="1"/>
  <c r="B3" i="1"/>
  <c r="B2" i="1"/>
  <c r="B32" i="1"/>
  <c r="J43" i="4" l="1"/>
  <c r="J39" i="4"/>
  <c r="J40" i="4" s="1"/>
  <c r="B39" i="4"/>
  <c r="J45" i="4"/>
  <c r="S9" i="5"/>
  <c r="S11" i="5"/>
  <c r="S10" i="5"/>
  <c r="S8" i="5"/>
  <c r="S7" i="5"/>
  <c r="B41" i="4"/>
  <c r="B43" i="4"/>
  <c r="D43" i="4" s="1"/>
  <c r="B42" i="4"/>
  <c r="D42" i="4" s="1"/>
  <c r="S6" i="5"/>
  <c r="S5" i="5"/>
  <c r="E21" i="4"/>
  <c r="N17" i="4" s="1"/>
  <c r="E15" i="1"/>
  <c r="B38" i="1" s="1"/>
  <c r="B39" i="1" s="1"/>
  <c r="J46" i="4" l="1"/>
  <c r="J47" i="4" s="1"/>
  <c r="V12" i="5" s="1"/>
  <c r="W12" i="5" s="1"/>
  <c r="X12" i="5" s="1"/>
  <c r="O24" i="4"/>
  <c r="N19" i="4"/>
  <c r="B35" i="1"/>
  <c r="V9" i="5" l="1"/>
  <c r="W9" i="5" s="1"/>
  <c r="X9" i="5" s="1"/>
  <c r="V10" i="5"/>
  <c r="W10" i="5" s="1"/>
  <c r="X10" i="5" s="1"/>
  <c r="V11" i="5"/>
  <c r="W11" i="5" s="1"/>
  <c r="X11" i="5" s="1"/>
  <c r="V6" i="5"/>
  <c r="W6" i="5" s="1"/>
  <c r="X6" i="5" s="1"/>
  <c r="V8" i="5"/>
  <c r="W8" i="5" s="1"/>
  <c r="X8" i="5" s="1"/>
  <c r="V7" i="5"/>
  <c r="W7" i="5" s="1"/>
  <c r="X7" i="5" s="1"/>
  <c r="V5" i="5"/>
  <c r="W5" i="5" s="1"/>
  <c r="X5" i="5" s="1"/>
  <c r="N18" i="4"/>
  <c r="C33" i="4"/>
  <c r="F33" i="4" s="1"/>
  <c r="O28" i="4" l="1"/>
  <c r="C34" i="4"/>
  <c r="F34" i="4" s="1"/>
  <c r="J48" i="4"/>
  <c r="C35" i="4"/>
  <c r="F35" i="4" s="1"/>
  <c r="O26" i="4" l="1"/>
  <c r="O22" i="4"/>
  <c r="B46" i="4"/>
  <c r="O30" i="4" s="1"/>
  <c r="B47" i="4"/>
  <c r="O32" i="4" s="1"/>
</calcChain>
</file>

<file path=xl/sharedStrings.xml><?xml version="1.0" encoding="utf-8"?>
<sst xmlns="http://schemas.openxmlformats.org/spreadsheetml/2006/main" count="304" uniqueCount="153">
  <si>
    <t>Querschnitt:</t>
  </si>
  <si>
    <t>pEd=</t>
  </si>
  <si>
    <t xml:space="preserve">e = </t>
  </si>
  <si>
    <t>[kN/m]</t>
  </si>
  <si>
    <t>-</t>
  </si>
  <si>
    <t>C160</t>
  </si>
  <si>
    <t>A</t>
  </si>
  <si>
    <t>Iy</t>
  </si>
  <si>
    <t>Iz</t>
  </si>
  <si>
    <t>Wy,el</t>
  </si>
  <si>
    <t>Wy,pl</t>
  </si>
  <si>
    <t>Iw</t>
  </si>
  <si>
    <t>IT</t>
  </si>
  <si>
    <t>w1</t>
  </si>
  <si>
    <t>w2</t>
  </si>
  <si>
    <t>[cm²]</t>
  </si>
  <si>
    <t>[cm4]</t>
  </si>
  <si>
    <t>[cm³]</t>
  </si>
  <si>
    <t>[cm6]</t>
  </si>
  <si>
    <t>[cm2]</t>
  </si>
  <si>
    <t>Lasten:</t>
  </si>
  <si>
    <t>Torsionmomente</t>
  </si>
  <si>
    <t>ms,Ed =</t>
  </si>
  <si>
    <t>[m]</t>
  </si>
  <si>
    <t>[kNm/m]</t>
  </si>
  <si>
    <t>A =</t>
  </si>
  <si>
    <t>Iy=</t>
  </si>
  <si>
    <t>Iz =</t>
  </si>
  <si>
    <t>Wy,el =</t>
  </si>
  <si>
    <t>Wy,pl =</t>
  </si>
  <si>
    <t>Iw =</t>
  </si>
  <si>
    <t>IT =</t>
  </si>
  <si>
    <t>w1 =</t>
  </si>
  <si>
    <t>w2 =</t>
  </si>
  <si>
    <t>e - Abstand von Schublinie</t>
  </si>
  <si>
    <t>E =</t>
  </si>
  <si>
    <t>[GPa]</t>
  </si>
  <si>
    <t>G =</t>
  </si>
  <si>
    <t>k =</t>
  </si>
  <si>
    <t>[1/cm]</t>
  </si>
  <si>
    <t xml:space="preserve">L = </t>
  </si>
  <si>
    <t>[kN/cm²]</t>
  </si>
  <si>
    <t xml:space="preserve">VEd =  </t>
  </si>
  <si>
    <t>Bed = Bw(l/2)</t>
  </si>
  <si>
    <t>[kN]</t>
  </si>
  <si>
    <t>My,Ed =</t>
  </si>
  <si>
    <t>[kNm]</t>
  </si>
  <si>
    <t>Mw,Ed =</t>
  </si>
  <si>
    <t>Schnittgroße:</t>
  </si>
  <si>
    <t>[kNcm]</t>
  </si>
  <si>
    <t xml:space="preserve">Mt,Ed = </t>
  </si>
  <si>
    <t xml:space="preserve">tf </t>
  </si>
  <si>
    <t>[mm]</t>
  </si>
  <si>
    <t>tw</t>
  </si>
  <si>
    <t>em</t>
  </si>
  <si>
    <t>em - Abstand zwischen Schublinie und Stegmittelinie</t>
  </si>
  <si>
    <t>b</t>
  </si>
  <si>
    <t>h</t>
  </si>
  <si>
    <t xml:space="preserve">HEA220 </t>
  </si>
  <si>
    <t>wmax</t>
  </si>
  <si>
    <t>Sw</t>
  </si>
  <si>
    <t>w =</t>
  </si>
  <si>
    <t xml:space="preserve">HEA220 (Kat) </t>
  </si>
  <si>
    <r>
      <rPr>
        <sz val="11"/>
        <color theme="1"/>
        <rFont val="Calibri"/>
        <family val="2"/>
        <charset val="238"/>
      </rPr>
      <t>τ</t>
    </r>
    <r>
      <rPr>
        <sz val="11"/>
        <color theme="1"/>
        <rFont val="Calibri"/>
        <family val="2"/>
        <scheme val="minor"/>
      </rPr>
      <t xml:space="preserve"> w,Ed =</t>
    </r>
  </si>
  <si>
    <t>Sw =</t>
  </si>
  <si>
    <t>tf =</t>
  </si>
  <si>
    <t>=</t>
  </si>
  <si>
    <t>Spannungswerte:</t>
  </si>
  <si>
    <t>[MPa]</t>
  </si>
  <si>
    <t>Flansche τ s,Ed =</t>
  </si>
  <si>
    <t>Steg τ s,Ed =</t>
  </si>
  <si>
    <t>h=</t>
  </si>
  <si>
    <t>bf=</t>
  </si>
  <si>
    <t>tw =</t>
  </si>
  <si>
    <t>&lt; h/10 =</t>
  </si>
  <si>
    <t xml:space="preserve">&lt; bf/10 = </t>
  </si>
  <si>
    <t>&lt; 0,1 L =</t>
  </si>
  <si>
    <t>[mm]-&gt;</t>
  </si>
  <si>
    <t>Test</t>
  </si>
  <si>
    <t>Dunnwandiger Trager - Bericht  gem. Vlasnow</t>
  </si>
  <si>
    <t>S235</t>
  </si>
  <si>
    <t>S275</t>
  </si>
  <si>
    <t>S355</t>
  </si>
  <si>
    <t>fy =</t>
  </si>
  <si>
    <t xml:space="preserve">My,Rd = </t>
  </si>
  <si>
    <t>[kNcm2]</t>
  </si>
  <si>
    <t>B Rd =</t>
  </si>
  <si>
    <t>Mt,w,Rd =</t>
  </si>
  <si>
    <t>Mw,w,Rd =</t>
  </si>
  <si>
    <t>[kNcm] =</t>
  </si>
  <si>
    <t xml:space="preserve">Ncr,z = </t>
  </si>
  <si>
    <t xml:space="preserve">E = </t>
  </si>
  <si>
    <t>iy</t>
  </si>
  <si>
    <t>iż</t>
  </si>
  <si>
    <t>[cm]</t>
  </si>
  <si>
    <t>is^2</t>
  </si>
  <si>
    <t xml:space="preserve">G = </t>
  </si>
  <si>
    <t>Ncr,T</t>
  </si>
  <si>
    <t>E=</t>
  </si>
  <si>
    <t>G=</t>
  </si>
  <si>
    <t>Mcr=</t>
  </si>
  <si>
    <r>
      <rPr>
        <sz val="11"/>
        <color theme="1"/>
        <rFont val="Calibri"/>
        <family val="2"/>
        <charset val="238"/>
      </rPr>
      <t>λ</t>
    </r>
    <r>
      <rPr>
        <sz val="11"/>
        <color theme="1"/>
        <rFont val="Calibri"/>
        <family val="2"/>
      </rPr>
      <t>Lt=</t>
    </r>
  </si>
  <si>
    <t>[-]</t>
  </si>
  <si>
    <t>h/b</t>
  </si>
  <si>
    <t>alfa LT</t>
  </si>
  <si>
    <t>Lambda LT</t>
  </si>
  <si>
    <t>Chi Lt</t>
  </si>
  <si>
    <t>Fi Lt</t>
  </si>
  <si>
    <t>X Lt=</t>
  </si>
  <si>
    <t>Ausnutzung:</t>
  </si>
  <si>
    <t>p_z,Ed=</t>
  </si>
  <si>
    <t>p_y,Ed=</t>
  </si>
  <si>
    <t>Wz,el</t>
  </si>
  <si>
    <t>Wz,pl</t>
  </si>
  <si>
    <t xml:space="preserve">V_z,Ed =  </t>
  </si>
  <si>
    <t xml:space="preserve">V_z,pl,Rd = </t>
  </si>
  <si>
    <t>V_z,pl,T,Rd =</t>
  </si>
  <si>
    <t xml:space="preserve">V_y,pl,Rd = </t>
  </si>
  <si>
    <t>V_y,pl,T,Rd =</t>
  </si>
  <si>
    <t>Vy/Vz,Rd  + Vz,Ed/Vz,Rd + Mw,Ed/Mw,w,Rd + Mt,Ed/Mt,w,Rd  =</t>
  </si>
  <si>
    <t>My,Ed / My,Rd/ X Lt + Mz,Ed/Mz,Rd  + BEd/BRd =</t>
  </si>
  <si>
    <t xml:space="preserve">Mz,Rd = </t>
  </si>
  <si>
    <t>MyEd/My + Mz,Ed/Mz,Rd + BEd/BRd =</t>
  </si>
  <si>
    <t>My,Ed / My,Rd/ X Lt  + Mz,Ed/Mz,Rd =</t>
  </si>
  <si>
    <t xml:space="preserve">Lz = </t>
  </si>
  <si>
    <t>Ly =</t>
  </si>
  <si>
    <t xml:space="preserve">Vy,Ed / V_y,pl,T,Rd = </t>
  </si>
  <si>
    <t xml:space="preserve">Vz,Ed / V_z,pl,T,Rd = </t>
  </si>
  <si>
    <t>Frilo Beispiel</t>
  </si>
  <si>
    <t>HEA240 (Kat)</t>
  </si>
  <si>
    <t>HEA260 (Kat)</t>
  </si>
  <si>
    <t>HEB 220 (Kat)</t>
  </si>
  <si>
    <t>HEB 240 (Kat)</t>
  </si>
  <si>
    <t>HEB 260 (Kat)</t>
  </si>
  <si>
    <t>!!! Rote Farbe bedeutet, dass es erforderlich der besondere Nachweis des Biegenachweis' mit Einfluss von Schubkräften ist.</t>
  </si>
  <si>
    <t>zp =</t>
  </si>
  <si>
    <t>c² =</t>
  </si>
  <si>
    <t xml:space="preserve">dzeta = </t>
  </si>
  <si>
    <t>Tragfähigkeit:</t>
  </si>
  <si>
    <t>V_y,Ed =</t>
  </si>
  <si>
    <t>M_y,Ed =</t>
  </si>
  <si>
    <t>M_z,Ed =</t>
  </si>
  <si>
    <t xml:space="preserve">B_Ed = </t>
  </si>
  <si>
    <t xml:space="preserve">M_t,Ed = </t>
  </si>
  <si>
    <t>M_w,Ed =</t>
  </si>
  <si>
    <t>Durchbiegung:</t>
  </si>
  <si>
    <t xml:space="preserve">fz = </t>
  </si>
  <si>
    <t xml:space="preserve">fy = </t>
  </si>
  <si>
    <t xml:space="preserve">Ly/250 = </t>
  </si>
  <si>
    <t>Lz/250 =</t>
  </si>
  <si>
    <t>(fy²+fz²)^0,5 =</t>
  </si>
  <si>
    <t>HEB 280 (Kat)</t>
  </si>
  <si>
    <t>Empfelende Reserve 10-15% wegen Einfluss von II.Ordnung Theorie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</si>
</sst>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5" fontId="0" fillId="2" borderId="1" xfId="0" applyNumberFormat="1" applyFill="1" applyBorder="1"/>
    <xf numFmtId="0" fontId="1" fillId="0" borderId="0" xfId="0" applyFont="1"/>
    <xf numFmtId="0" fontId="0" fillId="2" borderId="0" xfId="0" applyFill="1"/>
    <xf numFmtId="1" fontId="0" fillId="2" borderId="1" xfId="0" applyNumberFormat="1" applyFill="1" applyBorder="1"/>
    <xf numFmtId="0" fontId="2" fillId="0" borderId="0" xfId="0" applyFont="1"/>
    <xf numFmtId="2" fontId="0" fillId="2" borderId="0" xfId="0" applyNumberForma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17</xdr:row>
      <xdr:rowOff>9526</xdr:rowOff>
    </xdr:from>
    <xdr:to>
      <xdr:col>1</xdr:col>
      <xdr:colOff>258686</xdr:colOff>
      <xdr:row>24</xdr:row>
      <xdr:rowOff>104776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676526"/>
          <a:ext cx="934961" cy="1428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76201</xdr:rowOff>
    </xdr:from>
    <xdr:to>
      <xdr:col>2</xdr:col>
      <xdr:colOff>8290</xdr:colOff>
      <xdr:row>11</xdr:row>
      <xdr:rowOff>47625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38201"/>
          <a:ext cx="1646590" cy="1304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</xdr:col>
      <xdr:colOff>438150</xdr:colOff>
      <xdr:row>17</xdr:row>
      <xdr:rowOff>123825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1343025" cy="2219325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676275</xdr:colOff>
      <xdr:row>6</xdr:row>
      <xdr:rowOff>114300</xdr:rowOff>
    </xdr:from>
    <xdr:to>
      <xdr:col>5</xdr:col>
      <xdr:colOff>323850</xdr:colOff>
      <xdr:row>17</xdr:row>
      <xdr:rowOff>76587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5425" y="876300"/>
          <a:ext cx="2447925" cy="2057787"/>
        </a:xfrm>
        <a:prstGeom prst="rect">
          <a:avLst/>
        </a:prstGeom>
      </xdr:spPr>
    </xdr:pic>
    <xdr:clientData/>
  </xdr:twoCellAnchor>
  <xdr:twoCellAnchor editAs="oneCell">
    <xdr:from>
      <xdr:col>8</xdr:col>
      <xdr:colOff>94673</xdr:colOff>
      <xdr:row>0</xdr:row>
      <xdr:rowOff>9525</xdr:rowOff>
    </xdr:from>
    <xdr:to>
      <xdr:col>12</xdr:col>
      <xdr:colOff>469015</xdr:colOff>
      <xdr:row>11</xdr:row>
      <xdr:rowOff>9525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-293" b="-977"/>
        <a:stretch/>
      </xdr:blipFill>
      <xdr:spPr>
        <a:xfrm>
          <a:off x="5990648" y="9525"/>
          <a:ext cx="3812868" cy="2095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5</xdr:col>
      <xdr:colOff>142371</xdr:colOff>
      <xdr:row>38</xdr:row>
      <xdr:rowOff>152024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48000"/>
          <a:ext cx="4028571" cy="30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504825</xdr:colOff>
      <xdr:row>22</xdr:row>
      <xdr:rowOff>180975</xdr:rowOff>
    </xdr:from>
    <xdr:to>
      <xdr:col>13</xdr:col>
      <xdr:colOff>227838</xdr:colOff>
      <xdr:row>44</xdr:row>
      <xdr:rowOff>142356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91025" y="3038475"/>
          <a:ext cx="6095238" cy="41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666750</xdr:colOff>
      <xdr:row>22</xdr:row>
      <xdr:rowOff>76200</xdr:rowOff>
    </xdr:from>
    <xdr:to>
      <xdr:col>22</xdr:col>
      <xdr:colOff>589702</xdr:colOff>
      <xdr:row>62</xdr:row>
      <xdr:rowOff>75248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25175" y="2933700"/>
          <a:ext cx="6780952" cy="7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7</xdr:col>
      <xdr:colOff>208848</xdr:colOff>
      <xdr:row>84</xdr:row>
      <xdr:rowOff>104333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3660643-4960-5ACD-B413-CDE271353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811000"/>
          <a:ext cx="5619048" cy="35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86</xdr:row>
      <xdr:rowOff>9525</xdr:rowOff>
    </xdr:from>
    <xdr:to>
      <xdr:col>15</xdr:col>
      <xdr:colOff>111617</xdr:colOff>
      <xdr:row>93</xdr:row>
      <xdr:rowOff>38100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AE54E8AA-CBED-8C90-2F6D-2C19E1235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86425" y="16202025"/>
          <a:ext cx="6207617" cy="1362075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69</xdr:row>
      <xdr:rowOff>152400</xdr:rowOff>
    </xdr:from>
    <xdr:to>
      <xdr:col>15</xdr:col>
      <xdr:colOff>209550</xdr:colOff>
      <xdr:row>76</xdr:row>
      <xdr:rowOff>26503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0CBC84D-C711-C310-7395-ECA23E883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29300" y="13106400"/>
          <a:ext cx="6162675" cy="1207603"/>
        </a:xfrm>
        <a:prstGeom prst="rect">
          <a:avLst/>
        </a:prstGeom>
      </xdr:spPr>
    </xdr:pic>
    <xdr:clientData/>
  </xdr:twoCellAnchor>
  <xdr:twoCellAnchor editAs="oneCell">
    <xdr:from>
      <xdr:col>7</xdr:col>
      <xdr:colOff>352425</xdr:colOff>
      <xdr:row>76</xdr:row>
      <xdr:rowOff>47625</xdr:rowOff>
    </xdr:from>
    <xdr:to>
      <xdr:col>15</xdr:col>
      <xdr:colOff>161925</xdr:colOff>
      <xdr:row>86</xdr:row>
      <xdr:rowOff>69498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876D11F-2A04-AEC6-3CCB-6FAC58D5A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62625" y="14335125"/>
          <a:ext cx="6181725" cy="19268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123826</xdr:rowOff>
    </xdr:from>
    <xdr:to>
      <xdr:col>7</xdr:col>
      <xdr:colOff>399361</xdr:colOff>
      <xdr:row>103</xdr:row>
      <xdr:rowOff>161926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5A0CCF1-5D3F-A647-C332-4E786B233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935326"/>
          <a:ext cx="5809561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10</xdr:col>
      <xdr:colOff>284718</xdr:colOff>
      <xdr:row>118</xdr:row>
      <xdr:rowOff>85381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F3E8FBC0-CAFE-7471-84F9-FC0B236DD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621500"/>
          <a:ext cx="8257143" cy="27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2</xdr:row>
      <xdr:rowOff>85725</xdr:rowOff>
    </xdr:from>
    <xdr:to>
      <xdr:col>10</xdr:col>
      <xdr:colOff>438364</xdr:colOff>
      <xdr:row>29</xdr:row>
      <xdr:rowOff>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466725"/>
          <a:ext cx="7724989" cy="5057775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2</xdr:row>
      <xdr:rowOff>9525</xdr:rowOff>
    </xdr:from>
    <xdr:to>
      <xdr:col>19</xdr:col>
      <xdr:colOff>208777</xdr:colOff>
      <xdr:row>43</xdr:row>
      <xdr:rowOff>179977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5825" y="390525"/>
          <a:ext cx="6180952" cy="79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10</xdr:col>
      <xdr:colOff>99391</xdr:colOff>
      <xdr:row>35</xdr:row>
      <xdr:rowOff>135210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5905500"/>
          <a:ext cx="6195391" cy="89721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46</xdr:row>
      <xdr:rowOff>0</xdr:rowOff>
    </xdr:from>
    <xdr:to>
      <xdr:col>23</xdr:col>
      <xdr:colOff>579809</xdr:colOff>
      <xdr:row>76</xdr:row>
      <xdr:rowOff>142143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2000" y="8763000"/>
          <a:ext cx="9723809" cy="58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78</xdr:row>
      <xdr:rowOff>0</xdr:rowOff>
    </xdr:from>
    <xdr:to>
      <xdr:col>19</xdr:col>
      <xdr:colOff>513524</xdr:colOff>
      <xdr:row>117</xdr:row>
      <xdr:rowOff>151452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0" y="14859000"/>
          <a:ext cx="6609524" cy="75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119</xdr:row>
      <xdr:rowOff>0</xdr:rowOff>
    </xdr:from>
    <xdr:to>
      <xdr:col>23</xdr:col>
      <xdr:colOff>322667</xdr:colOff>
      <xdr:row>157</xdr:row>
      <xdr:rowOff>141952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82000" y="22669500"/>
          <a:ext cx="9466667" cy="73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view="pageLayout" topLeftCell="A4" zoomScaleNormal="100" workbookViewId="0">
      <selection activeCell="F29" sqref="F29"/>
    </sheetView>
  </sheetViews>
  <sheetFormatPr baseColWidth="10" defaultColWidth="11.42578125" defaultRowHeight="15" x14ac:dyDescent="0.25"/>
  <sheetData>
    <row r="1" spans="1:6" x14ac:dyDescent="0.25">
      <c r="A1" t="s">
        <v>0</v>
      </c>
      <c r="B1" s="3" t="s">
        <v>5</v>
      </c>
    </row>
    <row r="2" spans="1:6" x14ac:dyDescent="0.25">
      <c r="A2" t="s">
        <v>25</v>
      </c>
      <c r="B2">
        <f>VLOOKUP(B1,'Querschnitte U-Profile'!B3:K6,2,FALSE)</f>
        <v>24</v>
      </c>
      <c r="C2" t="s">
        <v>15</v>
      </c>
      <c r="D2" t="s">
        <v>28</v>
      </c>
      <c r="E2">
        <f>VLOOKUP(B1,'Querschnitte U-Profile'!B3:K6,5,FALSE)</f>
        <v>115.6</v>
      </c>
      <c r="F2" t="s">
        <v>17</v>
      </c>
    </row>
    <row r="3" spans="1:6" x14ac:dyDescent="0.25">
      <c r="A3" t="s">
        <v>26</v>
      </c>
      <c r="B3">
        <f>VLOOKUP(B1,'Querschnitte U-Profile'!B3:K6,3,FALSE)</f>
        <v>924.7</v>
      </c>
      <c r="C3" t="s">
        <v>16</v>
      </c>
      <c r="D3" t="s">
        <v>29</v>
      </c>
      <c r="E3">
        <f>VLOOKUP(B1,'Querschnitte U-Profile'!B3:K6,6,FALSE)</f>
        <v>138</v>
      </c>
      <c r="F3" t="s">
        <v>17</v>
      </c>
    </row>
    <row r="4" spans="1:6" x14ac:dyDescent="0.25">
      <c r="A4" t="s">
        <v>27</v>
      </c>
      <c r="B4">
        <f>VLOOKUP(B1,'Querschnitte U-Profile'!B3:K6,4,FALSE)</f>
        <v>85.3</v>
      </c>
      <c r="C4" t="s">
        <v>16</v>
      </c>
    </row>
    <row r="13" spans="1:6" x14ac:dyDescent="0.25">
      <c r="A13" t="s">
        <v>30</v>
      </c>
      <c r="B13">
        <f>VLOOKUP(B1,'Querschnitte U-Profile'!B3:K6,7,FALSE)</f>
        <v>3311</v>
      </c>
      <c r="C13" t="s">
        <v>16</v>
      </c>
      <c r="D13" t="s">
        <v>35</v>
      </c>
      <c r="E13" s="3">
        <v>210</v>
      </c>
      <c r="F13" t="s">
        <v>36</v>
      </c>
    </row>
    <row r="14" spans="1:6" x14ac:dyDescent="0.25">
      <c r="A14" t="s">
        <v>31</v>
      </c>
      <c r="B14">
        <f>VLOOKUP(B1,'Querschnitte U-Profile'!B3:K6,8,FALSE)</f>
        <v>7.66</v>
      </c>
      <c r="C14" t="s">
        <v>18</v>
      </c>
      <c r="D14" t="s">
        <v>37</v>
      </c>
      <c r="E14" s="6">
        <f>E13/(2*(1+0.3))</f>
        <v>80.769230769230759</v>
      </c>
      <c r="F14" t="s">
        <v>36</v>
      </c>
    </row>
    <row r="15" spans="1:6" x14ac:dyDescent="0.25">
      <c r="A15" t="s">
        <v>32</v>
      </c>
      <c r="B15">
        <f>VLOOKUP(B1,'Querschnitte U-Profile'!B3:K6,9,FALSE)</f>
        <v>15.9</v>
      </c>
      <c r="C15" t="s">
        <v>15</v>
      </c>
      <c r="D15" t="s">
        <v>38</v>
      </c>
      <c r="E15" s="1">
        <f>((E14*B14)/(E13*B13))^0.5</f>
        <v>2.9829647442637542E-2</v>
      </c>
      <c r="F15" t="s">
        <v>39</v>
      </c>
    </row>
    <row r="16" spans="1:6" x14ac:dyDescent="0.25">
      <c r="A16" t="s">
        <v>33</v>
      </c>
      <c r="B16">
        <f>VLOOKUP(B1,'Querschnitte U-Profile'!B3:K6,10,FALSE)</f>
        <v>28.6</v>
      </c>
      <c r="C16" t="s">
        <v>15</v>
      </c>
      <c r="D16" t="s">
        <v>40</v>
      </c>
      <c r="E16" s="3">
        <v>4.5</v>
      </c>
      <c r="F16" t="s">
        <v>23</v>
      </c>
    </row>
    <row r="26" spans="1:3" x14ac:dyDescent="0.25">
      <c r="A26" t="s">
        <v>20</v>
      </c>
    </row>
    <row r="27" spans="1:3" x14ac:dyDescent="0.25">
      <c r="A27" t="s">
        <v>1</v>
      </c>
      <c r="B27" s="3">
        <v>3.94</v>
      </c>
      <c r="C27" t="s">
        <v>3</v>
      </c>
    </row>
    <row r="29" spans="1:3" x14ac:dyDescent="0.25">
      <c r="A29" t="s">
        <v>34</v>
      </c>
    </row>
    <row r="30" spans="1:3" x14ac:dyDescent="0.25">
      <c r="A30" t="s">
        <v>2</v>
      </c>
      <c r="B30" s="3">
        <v>5.1900000000000002E-2</v>
      </c>
      <c r="C30" t="s">
        <v>23</v>
      </c>
    </row>
    <row r="31" spans="1:3" x14ac:dyDescent="0.25">
      <c r="A31" t="s">
        <v>21</v>
      </c>
    </row>
    <row r="32" spans="1:3" x14ac:dyDescent="0.25">
      <c r="A32" t="s">
        <v>22</v>
      </c>
      <c r="B32" s="2">
        <f>B27*B30</f>
        <v>0.204486</v>
      </c>
      <c r="C32" t="s">
        <v>24</v>
      </c>
    </row>
    <row r="34" spans="1:3" x14ac:dyDescent="0.25">
      <c r="A34" t="s">
        <v>48</v>
      </c>
    </row>
    <row r="35" spans="1:3" x14ac:dyDescent="0.25">
      <c r="A35" t="s">
        <v>43</v>
      </c>
      <c r="B35" s="5">
        <f>B32/E15^2*(1-1/COSH(E15*E16*100/2))</f>
        <v>229.24997729092851</v>
      </c>
      <c r="C35" t="s">
        <v>41</v>
      </c>
    </row>
    <row r="36" spans="1:3" x14ac:dyDescent="0.25">
      <c r="A36" t="s">
        <v>42</v>
      </c>
      <c r="B36" s="5">
        <f>B27*E16/2</f>
        <v>8.8650000000000002</v>
      </c>
      <c r="C36" t="s">
        <v>44</v>
      </c>
    </row>
    <row r="37" spans="1:3" x14ac:dyDescent="0.25">
      <c r="A37" t="s">
        <v>45</v>
      </c>
      <c r="B37" s="4">
        <f>B27*E16^2/8</f>
        <v>9.9731249999999996</v>
      </c>
      <c r="C37" t="s">
        <v>46</v>
      </c>
    </row>
    <row r="38" spans="1:3" x14ac:dyDescent="0.25">
      <c r="A38" t="s">
        <v>47</v>
      </c>
      <c r="B38" s="4">
        <f>B32/E15*TANH(E15*E16*100/2)</f>
        <v>6.8551059826842833</v>
      </c>
      <c r="C38" t="s">
        <v>49</v>
      </c>
    </row>
    <row r="39" spans="1:3" x14ac:dyDescent="0.25">
      <c r="A39" t="s">
        <v>50</v>
      </c>
      <c r="B39" s="4">
        <f>B32*E16*100/2-B38</f>
        <v>39.154244017315712</v>
      </c>
      <c r="C39" t="s">
        <v>49</v>
      </c>
    </row>
  </sheetData>
  <pageMargins left="0.7" right="0.7" top="0.78740157499999996" bottom="0.78740157499999996" header="0.3" footer="0.3"/>
  <pageSetup paperSize="9" orientation="portrait" r:id="rId1"/>
  <headerFooter>
    <oddHeader>&amp;CTorsion
U-Profile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'Querschnitte U-Profile'!$B$3:$B$6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11"/>
  <sheetViews>
    <sheetView workbookViewId="0">
      <selection activeCell="P4" sqref="P4"/>
    </sheetView>
  </sheetViews>
  <sheetFormatPr baseColWidth="10" defaultColWidth="11.42578125" defaultRowHeight="15" x14ac:dyDescent="0.25"/>
  <sheetData>
    <row r="2" spans="1:16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51</v>
      </c>
      <c r="M2" t="s">
        <v>53</v>
      </c>
      <c r="N2" t="s">
        <v>56</v>
      </c>
      <c r="O2" t="s">
        <v>57</v>
      </c>
      <c r="P2" t="s">
        <v>54</v>
      </c>
    </row>
    <row r="3" spans="1:16" x14ac:dyDescent="0.25">
      <c r="B3" t="s">
        <v>4</v>
      </c>
      <c r="C3" t="s">
        <v>15</v>
      </c>
      <c r="D3" t="s">
        <v>16</v>
      </c>
      <c r="E3" t="s">
        <v>16</v>
      </c>
      <c r="F3" t="s">
        <v>17</v>
      </c>
      <c r="G3" t="s">
        <v>17</v>
      </c>
      <c r="H3" t="s">
        <v>18</v>
      </c>
      <c r="I3" t="s">
        <v>16</v>
      </c>
      <c r="J3" t="s">
        <v>19</v>
      </c>
      <c r="K3" t="s">
        <v>15</v>
      </c>
      <c r="L3" t="s">
        <v>52</v>
      </c>
      <c r="M3" t="s">
        <v>52</v>
      </c>
      <c r="N3" t="s">
        <v>52</v>
      </c>
      <c r="O3" t="s">
        <v>52</v>
      </c>
      <c r="P3" t="s">
        <v>52</v>
      </c>
    </row>
    <row r="4" spans="1:16" x14ac:dyDescent="0.25">
      <c r="B4" t="s">
        <v>5</v>
      </c>
      <c r="C4">
        <v>24</v>
      </c>
      <c r="D4">
        <v>924.7</v>
      </c>
      <c r="E4">
        <v>85.3</v>
      </c>
      <c r="F4">
        <v>115.6</v>
      </c>
      <c r="G4">
        <v>138</v>
      </c>
      <c r="H4">
        <v>3311</v>
      </c>
      <c r="I4">
        <v>7.66</v>
      </c>
      <c r="J4">
        <v>15.9</v>
      </c>
      <c r="K4">
        <v>28.6</v>
      </c>
      <c r="L4">
        <v>10.5</v>
      </c>
      <c r="M4">
        <v>7.5</v>
      </c>
      <c r="N4">
        <v>65</v>
      </c>
      <c r="O4">
        <v>160</v>
      </c>
      <c r="P4" s="5">
        <f>1.5*(N4+N4-M4)/(6+(O4+O4-2*L4)*M4/(N4+N4-M4)/L4)</f>
        <v>23.729762801204817</v>
      </c>
    </row>
    <row r="6" spans="1:16" x14ac:dyDescent="0.25">
      <c r="B6" t="s">
        <v>4</v>
      </c>
    </row>
    <row r="11" spans="1:16" x14ac:dyDescent="0.25">
      <c r="A11" t="s">
        <v>55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1" view="pageLayout" zoomScale="70" zoomScaleNormal="100" zoomScalePageLayoutView="70" workbookViewId="0">
      <selection activeCell="K33" sqref="K33"/>
    </sheetView>
  </sheetViews>
  <sheetFormatPr baseColWidth="10" defaultColWidth="11.42578125" defaultRowHeight="15" x14ac:dyDescent="0.25"/>
  <cols>
    <col min="1" max="1" width="12.5703125" customWidth="1"/>
    <col min="2" max="2" width="14" customWidth="1"/>
    <col min="3" max="3" width="9.140625" bestFit="1" customWidth="1"/>
    <col min="4" max="4" width="7.5703125" bestFit="1" customWidth="1"/>
    <col min="5" max="5" width="8.42578125" bestFit="1" customWidth="1"/>
    <col min="6" max="6" width="6.7109375" bestFit="1" customWidth="1"/>
    <col min="7" max="7" width="18" customWidth="1"/>
    <col min="8" max="8" width="9.140625" customWidth="1"/>
    <col min="9" max="9" width="16.42578125" bestFit="1" customWidth="1"/>
    <col min="12" max="12" width="8.7109375" bestFit="1" customWidth="1"/>
    <col min="13" max="13" width="12.85546875" bestFit="1" customWidth="1"/>
    <col min="14" max="14" width="9.28515625" bestFit="1" customWidth="1"/>
    <col min="15" max="15" width="8.85546875" bestFit="1" customWidth="1"/>
    <col min="16" max="16" width="5.85546875" customWidth="1"/>
  </cols>
  <sheetData>
    <row r="1" spans="1:15" x14ac:dyDescent="0.25">
      <c r="A1" t="s">
        <v>0</v>
      </c>
      <c r="B1" s="3" t="s">
        <v>151</v>
      </c>
      <c r="D1" s="3" t="s">
        <v>80</v>
      </c>
    </row>
    <row r="2" spans="1:15" x14ac:dyDescent="0.25">
      <c r="A2" t="s">
        <v>25</v>
      </c>
      <c r="B2">
        <f>VLOOKUP(B1,'Querschnitte I-Profile'!B3:K13,2,FALSE)</f>
        <v>131.4</v>
      </c>
      <c r="C2" t="s">
        <v>15</v>
      </c>
      <c r="D2" t="s">
        <v>28</v>
      </c>
      <c r="E2">
        <f>VLOOKUP(B1,'Querschnitte I-Profile'!B3:K13,5,FALSE)</f>
        <v>1380</v>
      </c>
      <c r="F2" t="s">
        <v>17</v>
      </c>
    </row>
    <row r="3" spans="1:15" x14ac:dyDescent="0.25">
      <c r="A3" t="s">
        <v>26</v>
      </c>
      <c r="B3">
        <f>VLOOKUP(B1,'Querschnitte I-Profile'!B3:K13,3,FALSE)</f>
        <v>19270</v>
      </c>
      <c r="C3" t="s">
        <v>16</v>
      </c>
      <c r="D3" t="s">
        <v>29</v>
      </c>
      <c r="E3">
        <f>VLOOKUP(B1,'Querschnitte I-Profile'!B3:K13,6,FALSE)</f>
        <v>1534</v>
      </c>
      <c r="F3" t="s">
        <v>17</v>
      </c>
    </row>
    <row r="4" spans="1:15" x14ac:dyDescent="0.25">
      <c r="A4" t="s">
        <v>27</v>
      </c>
      <c r="B4">
        <f>VLOOKUP(B1,'Querschnitte I-Profile'!B3:K13,4,FALSE)</f>
        <v>6590</v>
      </c>
      <c r="C4" t="s">
        <v>16</v>
      </c>
      <c r="D4" t="s">
        <v>28</v>
      </c>
      <c r="E4">
        <f>VLOOKUP(B1,'Querschnitte I-Profile'!B3:Z13,24,FALSE)</f>
        <v>471</v>
      </c>
      <c r="F4" t="s">
        <v>17</v>
      </c>
    </row>
    <row r="5" spans="1:15" x14ac:dyDescent="0.25">
      <c r="A5" t="s">
        <v>65</v>
      </c>
      <c r="B5">
        <f>VLOOKUP(B1,'Querschnitte I-Profile'!B3:K13,10,FALSE)</f>
        <v>18</v>
      </c>
      <c r="C5" t="s">
        <v>52</v>
      </c>
      <c r="D5" t="s">
        <v>29</v>
      </c>
      <c r="E5">
        <f>VLOOKUP(B1,'Querschnitte I-Profile'!B3:Z13,25,FALSE)</f>
        <v>717.6</v>
      </c>
      <c r="F5" t="s">
        <v>17</v>
      </c>
    </row>
    <row r="12" spans="1:15" x14ac:dyDescent="0.25">
      <c r="M12" t="s">
        <v>48</v>
      </c>
    </row>
    <row r="13" spans="1:15" x14ac:dyDescent="0.25">
      <c r="M13" t="s">
        <v>139</v>
      </c>
      <c r="N13" s="5">
        <f>J16*E23/2</f>
        <v>10.4</v>
      </c>
      <c r="O13" t="s">
        <v>44</v>
      </c>
    </row>
    <row r="14" spans="1:15" x14ac:dyDescent="0.25">
      <c r="I14" t="s">
        <v>20</v>
      </c>
      <c r="M14" t="s">
        <v>114</v>
      </c>
      <c r="N14" s="5">
        <f>J15*E22/2</f>
        <v>74.048000000000002</v>
      </c>
      <c r="O14" t="s">
        <v>44</v>
      </c>
    </row>
    <row r="15" spans="1:15" x14ac:dyDescent="0.25">
      <c r="I15" t="s">
        <v>110</v>
      </c>
      <c r="J15" s="3">
        <f>16+12.48</f>
        <v>28.48</v>
      </c>
      <c r="K15" t="s">
        <v>3</v>
      </c>
      <c r="M15" t="s">
        <v>140</v>
      </c>
      <c r="N15" s="4">
        <f>J15*E22^2/8</f>
        <v>96.262400000000014</v>
      </c>
      <c r="O15" t="s">
        <v>46</v>
      </c>
    </row>
    <row r="16" spans="1:15" x14ac:dyDescent="0.25">
      <c r="I16" t="s">
        <v>111</v>
      </c>
      <c r="J16" s="3">
        <v>8</v>
      </c>
      <c r="K16" t="s">
        <v>3</v>
      </c>
      <c r="M16" t="s">
        <v>141</v>
      </c>
      <c r="N16" s="4">
        <f>J16*E23^2/8</f>
        <v>6.7600000000000007</v>
      </c>
      <c r="O16" t="s">
        <v>46</v>
      </c>
    </row>
    <row r="17" spans="1:16" x14ac:dyDescent="0.25">
      <c r="I17" t="s">
        <v>21</v>
      </c>
      <c r="M17" t="s">
        <v>142</v>
      </c>
      <c r="N17" s="5">
        <f>J18/E21^2*(1-1/COSH(E21*E22*100/2))</f>
        <v>75020.269188302191</v>
      </c>
      <c r="O17" t="s">
        <v>41</v>
      </c>
    </row>
    <row r="18" spans="1:16" x14ac:dyDescent="0.25">
      <c r="I18" t="s">
        <v>22</v>
      </c>
      <c r="J18" s="7">
        <f>16*0.25-0*0.04+12.48*0.11</f>
        <v>5.3727999999999998</v>
      </c>
      <c r="K18" t="s">
        <v>24</v>
      </c>
      <c r="M18" t="s">
        <v>143</v>
      </c>
      <c r="N18" s="4">
        <f>J18*E22*100/2-N19</f>
        <v>668.69122509820579</v>
      </c>
      <c r="O18" t="s">
        <v>49</v>
      </c>
    </row>
    <row r="19" spans="1:16" x14ac:dyDescent="0.25">
      <c r="A19" t="s">
        <v>30</v>
      </c>
      <c r="B19" s="6">
        <f>VLOOKUP(B1,'Querschnitte I-Profile'!B3:K13,7,FALSE)</f>
        <v>1130154.8160000001</v>
      </c>
      <c r="C19" t="s">
        <v>18</v>
      </c>
      <c r="D19" t="s">
        <v>35</v>
      </c>
      <c r="E19" s="3">
        <v>210</v>
      </c>
      <c r="F19" t="s">
        <v>36</v>
      </c>
      <c r="M19" t="s">
        <v>144</v>
      </c>
      <c r="N19" s="4">
        <f>J18/E21*TANH(E21*E22*100/2)</f>
        <v>728.23677490179409</v>
      </c>
      <c r="O19" t="s">
        <v>49</v>
      </c>
    </row>
    <row r="20" spans="1:16" x14ac:dyDescent="0.25">
      <c r="A20" t="s">
        <v>31</v>
      </c>
      <c r="B20" s="6">
        <f>VLOOKUP(B1,'Querschnitte I-Profile'!B3:K13,8,FALSE)</f>
        <v>144</v>
      </c>
      <c r="C20" t="s">
        <v>16</v>
      </c>
      <c r="D20" t="s">
        <v>37</v>
      </c>
      <c r="E20" s="6">
        <f>E19/(2*(1+0.3))</f>
        <v>80.769230769230759</v>
      </c>
      <c r="F20" t="s">
        <v>36</v>
      </c>
    </row>
    <row r="21" spans="1:16" x14ac:dyDescent="0.25">
      <c r="A21" t="s">
        <v>61</v>
      </c>
      <c r="B21" s="6">
        <f>VLOOKUP(B1,'Querschnitte I-Profile'!B3:K13,9,FALSE)</f>
        <v>183</v>
      </c>
      <c r="C21" t="s">
        <v>15</v>
      </c>
      <c r="D21" t="s">
        <v>38</v>
      </c>
      <c r="E21" s="1">
        <f>((E20*B20)/(E19*B19))^0.5</f>
        <v>7.0004442613562628E-3</v>
      </c>
      <c r="F21" t="s">
        <v>39</v>
      </c>
      <c r="I21" t="s">
        <v>109</v>
      </c>
    </row>
    <row r="22" spans="1:16" x14ac:dyDescent="0.25">
      <c r="A22" t="s">
        <v>64</v>
      </c>
      <c r="B22" s="6">
        <f>VLOOKUP(B1,'Querschnitte I-Profile'!B3:O13,14,FALSE)</f>
        <v>2152.08</v>
      </c>
      <c r="C22" t="s">
        <v>16</v>
      </c>
      <c r="D22" t="s">
        <v>124</v>
      </c>
      <c r="E22" s="3">
        <v>5.2</v>
      </c>
      <c r="F22" t="s">
        <v>23</v>
      </c>
      <c r="I22" s="9" t="s">
        <v>123</v>
      </c>
      <c r="J22" s="9"/>
      <c r="K22" s="9"/>
      <c r="L22" s="9"/>
      <c r="M22" s="9"/>
      <c r="N22" s="9"/>
      <c r="O22" s="12">
        <f>N15/(J48*E3*10^-6*B38*10^3/1.1)+N16/B40</f>
        <v>0.3548983691230545</v>
      </c>
      <c r="P22" s="9" t="s">
        <v>102</v>
      </c>
    </row>
    <row r="23" spans="1:16" x14ac:dyDescent="0.25">
      <c r="B23" s="6"/>
      <c r="D23" t="s">
        <v>125</v>
      </c>
      <c r="E23" s="3">
        <f>5.2/2</f>
        <v>2.6</v>
      </c>
      <c r="F23" t="s">
        <v>23</v>
      </c>
      <c r="I23" s="9"/>
      <c r="J23" s="9"/>
      <c r="K23" s="9"/>
      <c r="L23" s="9"/>
      <c r="M23" s="9"/>
      <c r="N23" s="9"/>
      <c r="O23" s="9"/>
      <c r="P23" s="9"/>
    </row>
    <row r="24" spans="1:16" x14ac:dyDescent="0.25">
      <c r="I24" s="9" t="s">
        <v>122</v>
      </c>
      <c r="J24" s="9"/>
      <c r="K24" s="9"/>
      <c r="L24" s="9"/>
      <c r="M24" s="9"/>
      <c r="N24" s="9"/>
      <c r="O24" s="12">
        <f>N15/B39+N17/B41+N16/B40</f>
        <v>0.82403911334258251</v>
      </c>
      <c r="P24" s="9" t="s">
        <v>102</v>
      </c>
    </row>
    <row r="25" spans="1:16" x14ac:dyDescent="0.25">
      <c r="A25" t="s">
        <v>79</v>
      </c>
      <c r="B25" s="6"/>
      <c r="I25" s="9"/>
      <c r="J25" s="9"/>
      <c r="K25" s="9"/>
      <c r="L25" s="9"/>
      <c r="M25" s="9"/>
      <c r="N25" s="9"/>
      <c r="O25" s="9"/>
      <c r="P25" s="9"/>
    </row>
    <row r="26" spans="1:16" x14ac:dyDescent="0.25">
      <c r="A26" t="s">
        <v>71</v>
      </c>
      <c r="B26">
        <f>VLOOKUP(B1,'Querschnitte I-Profile'!B3:O13,13,FALSE)</f>
        <v>280</v>
      </c>
      <c r="C26" t="s">
        <v>52</v>
      </c>
      <c r="D26" t="s">
        <v>76</v>
      </c>
      <c r="E26">
        <f>0.1*E22*1000</f>
        <v>520</v>
      </c>
      <c r="F26" t="s">
        <v>77</v>
      </c>
      <c r="G26" t="str">
        <f>IF(B26&lt;E26,"dunnartiger Trager","nicht dunnartiger Trager")</f>
        <v>dunnartiger Trager</v>
      </c>
      <c r="I26" s="9" t="s">
        <v>120</v>
      </c>
      <c r="J26" s="9"/>
      <c r="K26" s="9"/>
      <c r="L26" s="9"/>
      <c r="M26" s="9"/>
      <c r="N26" s="9"/>
      <c r="O26" s="12">
        <f>N15/(J48*E3*10^-6*B38*10^3/1.1)+N17/B41+N16/B40</f>
        <v>0.87181904745306749</v>
      </c>
      <c r="P26" s="9" t="s">
        <v>102</v>
      </c>
    </row>
    <row r="27" spans="1:16" x14ac:dyDescent="0.25">
      <c r="A27" t="s">
        <v>72</v>
      </c>
      <c r="B27" s="6">
        <f>VLOOKUP(B1,'Querschnitte I-Profile'!B3:O13,12,FALSE)</f>
        <v>280</v>
      </c>
      <c r="C27" t="s">
        <v>52</v>
      </c>
      <c r="D27" t="s">
        <v>76</v>
      </c>
      <c r="E27">
        <f>E26</f>
        <v>520</v>
      </c>
      <c r="F27" t="s">
        <v>77</v>
      </c>
      <c r="G27" t="str">
        <f>IF(B27&lt;E27,"dunnartiger Trager","nicht dunnartiger Trager")</f>
        <v>dunnartiger Trager</v>
      </c>
      <c r="I27" s="9"/>
      <c r="J27" s="9"/>
      <c r="K27" s="9"/>
      <c r="L27" s="9"/>
      <c r="M27" s="9"/>
      <c r="N27" s="9"/>
      <c r="O27" s="9"/>
      <c r="P27" s="9"/>
    </row>
    <row r="28" spans="1:16" x14ac:dyDescent="0.25">
      <c r="A28" t="s">
        <v>73</v>
      </c>
      <c r="B28">
        <f>VLOOKUP(B1,'Querschnitte I-Profile'!B3:O13,11,FALSE)</f>
        <v>10.5</v>
      </c>
      <c r="C28" t="s">
        <v>52</v>
      </c>
      <c r="D28" t="s">
        <v>74</v>
      </c>
      <c r="E28">
        <f>B26/10</f>
        <v>28</v>
      </c>
      <c r="F28" t="s">
        <v>77</v>
      </c>
      <c r="G28" t="str">
        <f>IF(B28&lt;E28,"dunnartiger Trager","nicht dunnartiger Trager")</f>
        <v>dunnartiger Trager</v>
      </c>
      <c r="I28" s="9" t="s">
        <v>119</v>
      </c>
      <c r="J28" s="9"/>
      <c r="K28" s="9"/>
      <c r="L28" s="9"/>
      <c r="M28" s="9"/>
      <c r="N28" s="9"/>
      <c r="O28" s="12">
        <f>N14/B44+N19/B43+N18/B42</f>
        <v>0.62820517747252391</v>
      </c>
      <c r="P28" s="9" t="s">
        <v>102</v>
      </c>
    </row>
    <row r="29" spans="1:16" x14ac:dyDescent="0.25">
      <c r="A29" t="s">
        <v>65</v>
      </c>
      <c r="B29">
        <f>VLOOKUP(B1,'Querschnitte I-Profile'!B3:O13,10,FALSE)</f>
        <v>18</v>
      </c>
      <c r="C29" t="s">
        <v>52</v>
      </c>
      <c r="D29" t="s">
        <v>75</v>
      </c>
      <c r="E29">
        <f>B27/10</f>
        <v>28</v>
      </c>
      <c r="F29" t="s">
        <v>77</v>
      </c>
      <c r="G29" t="str">
        <f>IF(B29&lt;E29,"dunnartiger Trager","nicht dunnartiger Trager")</f>
        <v>dunnartiger Trager</v>
      </c>
      <c r="I29" s="9"/>
      <c r="J29" s="9"/>
      <c r="K29" s="9"/>
      <c r="L29" s="9"/>
      <c r="M29" s="9"/>
      <c r="N29" s="9"/>
      <c r="O29" s="9"/>
      <c r="P29" s="9"/>
    </row>
    <row r="30" spans="1:16" x14ac:dyDescent="0.25">
      <c r="B30" s="6"/>
      <c r="I30" s="9" t="s">
        <v>127</v>
      </c>
      <c r="J30" s="9"/>
      <c r="K30" s="9"/>
      <c r="L30" s="9"/>
      <c r="M30" s="9"/>
      <c r="N30" s="9"/>
      <c r="O30" s="12">
        <f>N14/B46</f>
        <v>0.25121489127819097</v>
      </c>
      <c r="P30" s="9" t="s">
        <v>102</v>
      </c>
    </row>
    <row r="31" spans="1:16" x14ac:dyDescent="0.25">
      <c r="A31" t="s">
        <v>67</v>
      </c>
      <c r="I31" s="9"/>
      <c r="J31" s="9"/>
      <c r="K31" s="9"/>
      <c r="L31" s="9"/>
      <c r="M31" s="9"/>
      <c r="N31" s="9"/>
      <c r="O31" s="12"/>
      <c r="P31" s="9"/>
    </row>
    <row r="32" spans="1:16" x14ac:dyDescent="0.25">
      <c r="I32" s="9" t="s">
        <v>126</v>
      </c>
      <c r="J32" s="9"/>
      <c r="K32" s="9"/>
      <c r="L32" s="9"/>
      <c r="M32" s="9"/>
      <c r="N32" s="9"/>
      <c r="O32" s="12">
        <f>N13/B47</f>
        <v>8.9677600467987176E-3</v>
      </c>
      <c r="P32" s="9" t="s">
        <v>102</v>
      </c>
    </row>
    <row r="33" spans="1:16" x14ac:dyDescent="0.25">
      <c r="A33" s="8" t="s">
        <v>63</v>
      </c>
      <c r="C33" s="4">
        <f>N19*B22/B19/B5*10</f>
        <v>0.7704076253501404</v>
      </c>
      <c r="D33" t="s">
        <v>41</v>
      </c>
      <c r="E33" t="s">
        <v>66</v>
      </c>
      <c r="F33" s="4">
        <f>C33*10</f>
        <v>7.7040762535014036</v>
      </c>
      <c r="G33" t="s">
        <v>68</v>
      </c>
      <c r="I33" s="9"/>
      <c r="J33" s="9"/>
      <c r="K33" s="9"/>
      <c r="L33" s="9"/>
      <c r="M33" s="9"/>
      <c r="N33" s="9"/>
      <c r="O33" s="9"/>
      <c r="P33" s="9"/>
    </row>
    <row r="34" spans="1:16" x14ac:dyDescent="0.25">
      <c r="A34" t="s">
        <v>69</v>
      </c>
      <c r="C34" s="4">
        <f>N18*B29/10/B20</f>
        <v>8.3586403137275713</v>
      </c>
      <c r="D34" t="s">
        <v>41</v>
      </c>
      <c r="E34" t="s">
        <v>66</v>
      </c>
      <c r="F34" s="4">
        <f>C34*10</f>
        <v>83.58640313727571</v>
      </c>
      <c r="G34" t="s">
        <v>68</v>
      </c>
      <c r="I34" s="9" t="s">
        <v>152</v>
      </c>
      <c r="J34" s="9"/>
      <c r="K34" s="9"/>
      <c r="L34" s="9"/>
      <c r="M34" s="9"/>
      <c r="N34" s="9"/>
      <c r="O34" s="9"/>
      <c r="P34" s="9"/>
    </row>
    <row r="35" spans="1:16" x14ac:dyDescent="0.25">
      <c r="A35" t="s">
        <v>70</v>
      </c>
      <c r="C35">
        <f>N18*B28/10/B20</f>
        <v>4.875873516341084</v>
      </c>
      <c r="D35" t="s">
        <v>41</v>
      </c>
      <c r="E35" t="s">
        <v>66</v>
      </c>
      <c r="F35" s="4">
        <f>C35*10</f>
        <v>48.75873516341084</v>
      </c>
      <c r="G35" t="s">
        <v>68</v>
      </c>
      <c r="I35" s="13" t="s">
        <v>134</v>
      </c>
      <c r="J35" s="14"/>
      <c r="K35" s="14"/>
      <c r="L35" s="14"/>
      <c r="M35" s="14"/>
      <c r="N35" s="14"/>
      <c r="O35" s="14"/>
      <c r="P35" s="14"/>
    </row>
    <row r="36" spans="1:16" x14ac:dyDescent="0.25">
      <c r="I36" s="14"/>
      <c r="J36" s="14"/>
      <c r="K36" s="14"/>
      <c r="L36" s="14"/>
      <c r="M36" s="14"/>
      <c r="N36" s="14"/>
      <c r="O36" s="14"/>
      <c r="P36" s="14"/>
    </row>
    <row r="37" spans="1:16" x14ac:dyDescent="0.25">
      <c r="A37" t="s">
        <v>138</v>
      </c>
      <c r="I37" t="s">
        <v>145</v>
      </c>
    </row>
    <row r="38" spans="1:16" x14ac:dyDescent="0.25">
      <c r="A38" t="s">
        <v>83</v>
      </c>
      <c r="B38">
        <f>VLOOKUP(D1,Hilfsmateriale!D47:E51,2,FALSE)</f>
        <v>235</v>
      </c>
      <c r="C38" t="s">
        <v>68</v>
      </c>
      <c r="I38" t="s">
        <v>146</v>
      </c>
      <c r="J38" s="4">
        <f>5/384*J15/1.35*(E22*1000)^4/J49/1000/B3/10000</f>
        <v>4.9631495499915026</v>
      </c>
      <c r="K38" t="s">
        <v>52</v>
      </c>
      <c r="L38" t="s">
        <v>149</v>
      </c>
      <c r="M38">
        <f>E22*1000/250</f>
        <v>20.8</v>
      </c>
      <c r="N38" t="s">
        <v>52</v>
      </c>
    </row>
    <row r="39" spans="1:16" x14ac:dyDescent="0.25">
      <c r="A39" t="s">
        <v>84</v>
      </c>
      <c r="B39" s="5">
        <f>E3*B38/10/1/100</f>
        <v>360.49</v>
      </c>
      <c r="C39" t="s">
        <v>46</v>
      </c>
      <c r="I39" t="s">
        <v>147</v>
      </c>
      <c r="J39" s="4">
        <f>5/384*J16/1.35*(E23*1000)^4/J49/1000/B4/10000</f>
        <v>0.25479076397977085</v>
      </c>
      <c r="K39" t="s">
        <v>52</v>
      </c>
      <c r="L39" t="s">
        <v>148</v>
      </c>
      <c r="M39">
        <f>E23*1000/250</f>
        <v>10.4</v>
      </c>
      <c r="N39" t="s">
        <v>52</v>
      </c>
    </row>
    <row r="40" spans="1:16" x14ac:dyDescent="0.25">
      <c r="A40" t="s">
        <v>121</v>
      </c>
      <c r="B40" s="5">
        <f>E5*B38/10/1/100</f>
        <v>168.636</v>
      </c>
      <c r="C40" t="s">
        <v>46</v>
      </c>
      <c r="I40" t="s">
        <v>150</v>
      </c>
      <c r="J40" s="4">
        <f>(J38^2+J39^2)^0.5</f>
        <v>4.9696852806782692</v>
      </c>
      <c r="K40" t="s">
        <v>52</v>
      </c>
    </row>
    <row r="41" spans="1:16" x14ac:dyDescent="0.25">
      <c r="A41" t="s">
        <v>86</v>
      </c>
      <c r="B41" s="6">
        <f>B19/B21*B38/10/1</f>
        <v>145129.17036065576</v>
      </c>
      <c r="C41" t="s">
        <v>85</v>
      </c>
    </row>
    <row r="42" spans="1:16" x14ac:dyDescent="0.25">
      <c r="A42" t="s">
        <v>87</v>
      </c>
      <c r="B42" s="5">
        <f>B20/B28*10*B38/10/(3)^0.5/1</f>
        <v>1860.7174389882796</v>
      </c>
      <c r="C42" t="s">
        <v>89</v>
      </c>
      <c r="D42" s="4">
        <f>B42/100</f>
        <v>18.607174389882797</v>
      </c>
      <c r="E42" t="s">
        <v>46</v>
      </c>
    </row>
    <row r="43" spans="1:16" x14ac:dyDescent="0.25">
      <c r="A43" t="s">
        <v>88</v>
      </c>
      <c r="B43" s="5">
        <f>B19*B29/10/B22*B38/10/(3)^0.5/1</f>
        <v>12825.055955355865</v>
      </c>
      <c r="C43" t="s">
        <v>89</v>
      </c>
      <c r="D43" s="4">
        <f>B43/100</f>
        <v>128.25055955355865</v>
      </c>
      <c r="E43" t="s">
        <v>46</v>
      </c>
      <c r="I43" t="s">
        <v>90</v>
      </c>
      <c r="J43" s="5">
        <f>3.14^2*J49*(10^6)*B4*(10^(-8))/(E22^2)</f>
        <v>5046.1170266272184</v>
      </c>
      <c r="K43" t="s">
        <v>44</v>
      </c>
      <c r="L43" t="s">
        <v>137</v>
      </c>
      <c r="M43">
        <v>1.1200000000000001</v>
      </c>
      <c r="N43" t="s">
        <v>102</v>
      </c>
    </row>
    <row r="44" spans="1:16" x14ac:dyDescent="0.25">
      <c r="A44" t="s">
        <v>115</v>
      </c>
      <c r="B44" s="5">
        <f>0.58*B28*(B26-2*B29)*B38/1000/1</f>
        <v>349.20060000000001</v>
      </c>
      <c r="C44" t="s">
        <v>44</v>
      </c>
      <c r="I44" t="s">
        <v>135</v>
      </c>
      <c r="J44" s="6">
        <v>0</v>
      </c>
      <c r="K44" t="s">
        <v>94</v>
      </c>
    </row>
    <row r="45" spans="1:16" x14ac:dyDescent="0.25">
      <c r="A45" t="s">
        <v>117</v>
      </c>
      <c r="B45" s="5">
        <f>0.58*B29*(2*B27)*B38/1000/1</f>
        <v>1373.904</v>
      </c>
      <c r="C45" t="s">
        <v>44</v>
      </c>
      <c r="I45" t="s">
        <v>136</v>
      </c>
      <c r="J45" s="4">
        <f>(B19+0.039*(E22*100)^2*B20)/B4</f>
        <v>401.93038179059181</v>
      </c>
      <c r="K45" t="s">
        <v>19</v>
      </c>
    </row>
    <row r="46" spans="1:16" x14ac:dyDescent="0.25">
      <c r="A46" t="s">
        <v>116</v>
      </c>
      <c r="B46" s="5">
        <f>(1-F35/1.25/B38*(3)^0.5*1)^0.5*B44</f>
        <v>294.75959654796316</v>
      </c>
      <c r="C46" t="s">
        <v>44</v>
      </c>
      <c r="I46" t="s">
        <v>100</v>
      </c>
      <c r="J46" s="4">
        <f>M43*J43*((J45+0.25*J44^2)^0.5+0.5*J44)/100</f>
        <v>1133.0543923081348</v>
      </c>
      <c r="K46" t="s">
        <v>46</v>
      </c>
    </row>
    <row r="47" spans="1:16" x14ac:dyDescent="0.25">
      <c r="A47" t="s">
        <v>118</v>
      </c>
      <c r="B47" s="5">
        <f>(1-F35/1.25/B38*(3)^0.5*1)^0.5*B45</f>
        <v>1159.70988805756</v>
      </c>
      <c r="C47" t="s">
        <v>44</v>
      </c>
      <c r="I47" s="11" t="s">
        <v>101</v>
      </c>
      <c r="J47" s="4">
        <f>(E3*B38/10/J46/100)^0.5</f>
        <v>0.56405471202092505</v>
      </c>
      <c r="K47" t="s">
        <v>102</v>
      </c>
    </row>
    <row r="48" spans="1:16" x14ac:dyDescent="0.25">
      <c r="I48" t="s">
        <v>108</v>
      </c>
      <c r="J48" s="4">
        <f>VLOOKUP(B1,'Querschnitte I-Profile'!B3:X13,23,FALSE)</f>
        <v>0.93304981186385405</v>
      </c>
      <c r="K48" t="s">
        <v>102</v>
      </c>
    </row>
    <row r="49" spans="9:11" x14ac:dyDescent="0.25">
      <c r="I49" t="s">
        <v>91</v>
      </c>
      <c r="J49">
        <v>210</v>
      </c>
      <c r="K49" t="s">
        <v>36</v>
      </c>
    </row>
    <row r="50" spans="9:11" x14ac:dyDescent="0.25">
      <c r="I50" t="s">
        <v>96</v>
      </c>
      <c r="J50" s="5">
        <f>+J49/(2*(1+0.3))</f>
        <v>80.769230769230759</v>
      </c>
      <c r="K50" t="s">
        <v>36</v>
      </c>
    </row>
  </sheetData>
  <mergeCells count="1">
    <mergeCell ref="I35:P36"/>
  </mergeCells>
  <conditionalFormatting sqref="G26:G29">
    <cfRule type="cellIs" dxfId="4" priority="4" operator="equal">
      <formula>"nicht dunnartiger Trager"</formula>
    </cfRule>
    <cfRule type="containsText" dxfId="3" priority="5" operator="containsText" text="dunnartiger Trager">
      <formula>NOT(ISERROR(SEARCH("dunnartiger Trager",G26)))</formula>
    </cfRule>
  </conditionalFormatting>
  <conditionalFormatting sqref="O30">
    <cfRule type="cellIs" dxfId="2" priority="3" operator="greaterThan">
      <formula>0.5</formula>
    </cfRule>
  </conditionalFormatting>
  <conditionalFormatting sqref="O32">
    <cfRule type="cellIs" dxfId="1" priority="2" operator="greaterThan">
      <formula>0.5</formula>
    </cfRule>
  </conditionalFormatting>
  <conditionalFormatting sqref="I35">
    <cfRule type="containsText" dxfId="0" priority="1" operator="containsText" text="!!!">
      <formula>NOT(ISERROR(SEARCH("!!!",I35)))</formula>
    </cfRule>
  </conditionalFormatting>
  <pageMargins left="0.7" right="0.7" top="0.78740157499999996" bottom="0.78740157499999996" header="0.3" footer="0.3"/>
  <pageSetup paperSize="9" orientation="portrait" r:id="rId1"/>
  <headerFooter>
    <oddHeader>&amp;CTorsion
I-Profile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Hilfsmateriale!$D$47:$D$51</xm:f>
          </x14:formula1>
          <xm:sqref>D1</xm:sqref>
        </x14:dataValidation>
        <x14:dataValidation type="list" allowBlank="1" showInputMessage="1" showErrorMessage="1" xr:uid="{00000000-0002-0000-0200-000000000000}">
          <x14:formula1>
            <xm:f>'Querschnitte I-Profile'!$B$3:$B$13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5"/>
  <sheetViews>
    <sheetView workbookViewId="0">
      <selection activeCell="H19" sqref="H19"/>
    </sheetView>
  </sheetViews>
  <sheetFormatPr baseColWidth="10" defaultColWidth="11.42578125" defaultRowHeight="15" x14ac:dyDescent="0.25"/>
  <cols>
    <col min="2" max="2" width="12.5703125" bestFit="1" customWidth="1"/>
    <col min="8" max="8" width="15.5703125" bestFit="1" customWidth="1"/>
  </cols>
  <sheetData>
    <row r="1" spans="2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</row>
    <row r="2" spans="2:26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59</v>
      </c>
      <c r="K2" t="s">
        <v>51</v>
      </c>
      <c r="L2" t="s">
        <v>53</v>
      </c>
      <c r="M2" t="s">
        <v>56</v>
      </c>
      <c r="N2" t="s">
        <v>57</v>
      </c>
      <c r="O2" t="s">
        <v>60</v>
      </c>
      <c r="P2" t="s">
        <v>92</v>
      </c>
      <c r="Q2" t="s">
        <v>93</v>
      </c>
      <c r="R2" t="s">
        <v>95</v>
      </c>
      <c r="S2" t="s">
        <v>97</v>
      </c>
      <c r="T2" t="s">
        <v>103</v>
      </c>
      <c r="U2" t="s">
        <v>104</v>
      </c>
      <c r="V2" t="s">
        <v>105</v>
      </c>
      <c r="W2" t="s">
        <v>107</v>
      </c>
      <c r="X2" t="s">
        <v>106</v>
      </c>
      <c r="Y2" t="s">
        <v>112</v>
      </c>
      <c r="Z2" t="s">
        <v>113</v>
      </c>
    </row>
    <row r="3" spans="2:26" x14ac:dyDescent="0.25">
      <c r="B3" t="s">
        <v>4</v>
      </c>
      <c r="C3" t="s">
        <v>15</v>
      </c>
      <c r="D3" t="s">
        <v>16</v>
      </c>
      <c r="E3" t="s">
        <v>16</v>
      </c>
      <c r="F3" t="s">
        <v>17</v>
      </c>
      <c r="G3" t="s">
        <v>17</v>
      </c>
      <c r="H3" t="s">
        <v>18</v>
      </c>
      <c r="I3" t="s">
        <v>16</v>
      </c>
      <c r="J3" t="s">
        <v>15</v>
      </c>
      <c r="K3" t="s">
        <v>52</v>
      </c>
      <c r="L3" t="s">
        <v>52</v>
      </c>
      <c r="M3" t="s">
        <v>52</v>
      </c>
      <c r="N3" t="s">
        <v>52</v>
      </c>
      <c r="O3" t="s">
        <v>16</v>
      </c>
      <c r="P3" t="s">
        <v>94</v>
      </c>
      <c r="Q3" t="s">
        <v>94</v>
      </c>
      <c r="R3" t="s">
        <v>19</v>
      </c>
      <c r="S3" t="s">
        <v>44</v>
      </c>
      <c r="T3" t="s">
        <v>102</v>
      </c>
      <c r="U3" t="s">
        <v>102</v>
      </c>
      <c r="V3" t="s">
        <v>102</v>
      </c>
      <c r="W3" t="s">
        <v>102</v>
      </c>
      <c r="X3" t="s">
        <v>102</v>
      </c>
      <c r="Y3" t="s">
        <v>17</v>
      </c>
      <c r="Z3" t="s">
        <v>17</v>
      </c>
    </row>
    <row r="4" spans="2:26" x14ac:dyDescent="0.25">
      <c r="B4" t="s">
        <v>78</v>
      </c>
      <c r="K4">
        <v>50</v>
      </c>
      <c r="L4">
        <v>50</v>
      </c>
      <c r="M4">
        <v>50</v>
      </c>
      <c r="N4">
        <v>50</v>
      </c>
    </row>
    <row r="5" spans="2:26" x14ac:dyDescent="0.25">
      <c r="B5" t="s">
        <v>58</v>
      </c>
      <c r="C5" s="3">
        <v>64.3</v>
      </c>
      <c r="D5" s="3">
        <v>5410</v>
      </c>
      <c r="E5" s="3">
        <v>1950</v>
      </c>
      <c r="F5" s="3">
        <v>515</v>
      </c>
      <c r="G5" s="3">
        <v>568.5</v>
      </c>
      <c r="H5" s="6">
        <f>K5*M5^3*((N5-2*K5)+K5)^2/24/1000000</f>
        <v>193266.08033333335</v>
      </c>
      <c r="I5" s="6">
        <f>(M5*2*K5^3+((N5-2*K5)+K5)*L5^3)/3/10000</f>
        <v>21.796566666666667</v>
      </c>
      <c r="J5">
        <f>M5*((N5-2*K5)/4)/100</f>
        <v>103.4</v>
      </c>
      <c r="K5" s="3">
        <v>11</v>
      </c>
      <c r="L5" s="3">
        <v>7</v>
      </c>
      <c r="M5" s="3">
        <v>220</v>
      </c>
      <c r="N5" s="3">
        <v>210</v>
      </c>
      <c r="O5" s="6">
        <f>M5^2*(N5-2*K5)*K5/16/10000</f>
        <v>625.57000000000005</v>
      </c>
      <c r="P5" s="4">
        <f>(D5/C5)^0.5</f>
        <v>9.1726145932277259</v>
      </c>
      <c r="Q5" s="4">
        <f>(E5/C5)^0.5</f>
        <v>5.5069586969762341</v>
      </c>
      <c r="R5" s="4">
        <f>(P5*P5+Q5*Q5)^0.5</f>
        <v>10.698759393784703</v>
      </c>
      <c r="S5" s="6">
        <f>1/R5/(10^-4)*(3.14^2*$C$15*10^6*H5*10^-12/'I-Profile '!$E$22/'I-Profile '!$E$22+'I-Profile '!$J$50*10^6*'I-Profile '!$B$20*10^-12)</f>
        <v>13843.162288083917</v>
      </c>
      <c r="T5" s="4">
        <f>N5/M5</f>
        <v>0.95454545454545459</v>
      </c>
      <c r="U5">
        <f>IF(T5&lt;=2,0.34,0.49)</f>
        <v>0.34</v>
      </c>
      <c r="V5" s="4">
        <f>'I-Profile '!$J$47</f>
        <v>0.56405471202092505</v>
      </c>
      <c r="W5" s="4">
        <f>0.5*(1+U5*(V5-0.4)+0.75*V5^2)</f>
        <v>0.64719844535093551</v>
      </c>
      <c r="X5" s="2">
        <f>MIN(1/(W5+(W5^2-0.75*V5^2)^0.5),1,1/V5/V5)</f>
        <v>0.93304981186385405</v>
      </c>
      <c r="Y5" s="3">
        <v>178</v>
      </c>
      <c r="Z5" s="3">
        <v>270.60000000000002</v>
      </c>
    </row>
    <row r="6" spans="2:26" x14ac:dyDescent="0.25">
      <c r="B6" t="s">
        <v>62</v>
      </c>
      <c r="C6" s="3">
        <v>64.3</v>
      </c>
      <c r="D6" s="3">
        <v>5410</v>
      </c>
      <c r="E6" s="3">
        <v>1950</v>
      </c>
      <c r="F6" s="3">
        <v>515</v>
      </c>
      <c r="G6" s="3">
        <v>568.5</v>
      </c>
      <c r="H6" s="6">
        <f>193.3*1000</f>
        <v>193300</v>
      </c>
      <c r="I6" s="10">
        <v>28.5</v>
      </c>
      <c r="J6" s="3">
        <v>109</v>
      </c>
      <c r="K6" s="3">
        <v>11</v>
      </c>
      <c r="L6" s="3">
        <v>7</v>
      </c>
      <c r="M6" s="3">
        <v>220</v>
      </c>
      <c r="N6" s="3">
        <v>210</v>
      </c>
      <c r="O6" s="6">
        <f>M6^2*(N6-2*K6)*K6/16/10000</f>
        <v>625.57000000000005</v>
      </c>
      <c r="P6" s="4">
        <f>(D6/C6)^0.5</f>
        <v>9.1726145932277259</v>
      </c>
      <c r="Q6" s="4">
        <f>(E6/C6)^0.5</f>
        <v>5.5069586969762341</v>
      </c>
      <c r="R6" s="4">
        <f>(P6*P6+Q6*Q6)^0.5</f>
        <v>10.698759393784703</v>
      </c>
      <c r="S6" s="6">
        <f>1/R6/(10^-4)*(3.14^2*$C$15*10^6*H6*10^-12/'I-Profile '!$E$22/'I-Profile '!$E$22+'I-Profile '!$J$50*10^6*'I-Profile '!$B$20*10^-12)</f>
        <v>13845.589960359517</v>
      </c>
      <c r="T6" s="4">
        <f>N6/M6</f>
        <v>0.95454545454545459</v>
      </c>
      <c r="U6">
        <f>IF(T6&lt;=2,0.34,0.49)</f>
        <v>0.34</v>
      </c>
      <c r="V6" s="4">
        <f>'I-Profile '!$J$47</f>
        <v>0.56405471202092505</v>
      </c>
      <c r="W6" s="4">
        <f>0.5*(1+U6*(V6-0.4)+0.75*V6^2)</f>
        <v>0.64719844535093551</v>
      </c>
      <c r="X6" s="2">
        <f>MIN(1/(W6+(W6^2-0.75*V6^2)^0.5),1,1/V6/V6)</f>
        <v>0.93304981186385405</v>
      </c>
      <c r="Y6" s="3">
        <v>178</v>
      </c>
      <c r="Z6" s="3">
        <v>270.60000000000002</v>
      </c>
    </row>
    <row r="7" spans="2:26" x14ac:dyDescent="0.25">
      <c r="B7" t="s">
        <v>129</v>
      </c>
      <c r="C7" s="3">
        <v>76.8</v>
      </c>
      <c r="D7" s="3">
        <v>7760</v>
      </c>
      <c r="E7" s="3">
        <v>2770</v>
      </c>
      <c r="F7" s="3">
        <v>675</v>
      </c>
      <c r="G7" s="3">
        <v>744.6</v>
      </c>
      <c r="H7" s="6">
        <f>K7*M7^3*((N7-2*K7)+K7)^2/24/1000000</f>
        <v>328485.88799999998</v>
      </c>
      <c r="I7" s="10">
        <v>41.6</v>
      </c>
      <c r="J7" s="3">
        <v>131</v>
      </c>
      <c r="K7" s="3">
        <v>12</v>
      </c>
      <c r="L7" s="3">
        <v>7.5</v>
      </c>
      <c r="M7" s="3">
        <v>240</v>
      </c>
      <c r="N7" s="3">
        <v>230</v>
      </c>
      <c r="O7" s="6">
        <f t="shared" ref="O7:O12" si="0">M7^2*(N7-2*K7)*K7/16/10000</f>
        <v>889.92</v>
      </c>
      <c r="P7" s="4">
        <f t="shared" ref="P7:P12" si="1">(D7/C7)^0.5</f>
        <v>10.05194840151235</v>
      </c>
      <c r="Q7" s="4">
        <f t="shared" ref="Q7:Q12" si="2">(E7/C7)^0.5</f>
        <v>6.0056397105831563</v>
      </c>
      <c r="R7" s="4">
        <f t="shared" ref="R7:R12" si="3">(P7*P7+Q7*Q7)^0.5</f>
        <v>11.709371246996998</v>
      </c>
      <c r="S7" s="6">
        <f>1/R7/(10^-4)*(3.14^2*$C$15*10^6*H7*10^-12/'I-Profile '!$E$22/'I-Profile '!$E$22+'I-Profile '!$J$50*10^6*'I-Profile '!$B$20*10^-12)</f>
        <v>21490.960057072942</v>
      </c>
      <c r="T7" s="4">
        <f t="shared" ref="T7:T12" si="4">N7/M7</f>
        <v>0.95833333333333337</v>
      </c>
      <c r="U7">
        <f t="shared" ref="U7:U12" si="5">IF(T7&lt;=2,0.34,0.49)</f>
        <v>0.34</v>
      </c>
      <c r="V7" s="4">
        <f>'I-Profile '!$J$47</f>
        <v>0.56405471202092505</v>
      </c>
      <c r="W7" s="4">
        <f t="shared" ref="W7:W8" si="6">0.5*(1+U7*(V7-0.4)+0.75*V7^2)</f>
        <v>0.64719844535093551</v>
      </c>
      <c r="X7" s="2">
        <f t="shared" ref="X7:X8" si="7">MIN(1/(W7+(W7^2-0.75*V7^2)^0.5),1,1/V7/V7)</f>
        <v>0.93304981186385405</v>
      </c>
      <c r="Y7" s="3">
        <v>231</v>
      </c>
      <c r="Z7" s="3">
        <v>351.7</v>
      </c>
    </row>
    <row r="8" spans="2:26" x14ac:dyDescent="0.25">
      <c r="B8" t="s">
        <v>130</v>
      </c>
      <c r="C8" s="3">
        <v>86.8</v>
      </c>
      <c r="D8" s="3">
        <v>10450</v>
      </c>
      <c r="E8" s="3">
        <v>3670</v>
      </c>
      <c r="F8" s="3">
        <v>836</v>
      </c>
      <c r="G8" s="3">
        <v>919.8</v>
      </c>
      <c r="H8" s="6">
        <f>193.3*1000</f>
        <v>193300</v>
      </c>
      <c r="I8" s="10">
        <v>52.4</v>
      </c>
      <c r="J8" s="3">
        <v>154</v>
      </c>
      <c r="K8" s="3">
        <v>12.5</v>
      </c>
      <c r="L8" s="3">
        <v>7.5</v>
      </c>
      <c r="M8" s="3">
        <v>260</v>
      </c>
      <c r="N8" s="3">
        <v>250</v>
      </c>
      <c r="O8" s="6">
        <f t="shared" si="0"/>
        <v>1188.28125</v>
      </c>
      <c r="P8" s="4">
        <f t="shared" si="1"/>
        <v>10.972315392346523</v>
      </c>
      <c r="Q8" s="4">
        <f t="shared" si="2"/>
        <v>6.5023923282729879</v>
      </c>
      <c r="R8" s="4">
        <f t="shared" si="3"/>
        <v>12.754325190299479</v>
      </c>
      <c r="S8" s="6">
        <f>1/R8/(10^-4)*(3.14^2*$C$15*10^6*H8*10^-12/'I-Profile '!$E$22/'I-Profile '!$E$22+'I-Profile '!$J$50*10^6*'I-Profile '!$B$20*10^-12)</f>
        <v>11614.149195721531</v>
      </c>
      <c r="T8" s="4">
        <f t="shared" si="4"/>
        <v>0.96153846153846156</v>
      </c>
      <c r="U8">
        <f t="shared" si="5"/>
        <v>0.34</v>
      </c>
      <c r="V8" s="4">
        <f>'I-Profile '!$J$47</f>
        <v>0.56405471202092505</v>
      </c>
      <c r="W8" s="4">
        <f t="shared" si="6"/>
        <v>0.64719844535093551</v>
      </c>
      <c r="X8" s="2">
        <f t="shared" si="7"/>
        <v>0.93304981186385405</v>
      </c>
      <c r="Y8" s="3">
        <v>282</v>
      </c>
      <c r="Z8" s="3">
        <v>430.2</v>
      </c>
    </row>
    <row r="9" spans="2:26" x14ac:dyDescent="0.25">
      <c r="B9" t="s">
        <v>131</v>
      </c>
      <c r="C9" s="3">
        <v>91</v>
      </c>
      <c r="D9" s="3">
        <v>8090</v>
      </c>
      <c r="E9" s="3">
        <v>2840</v>
      </c>
      <c r="F9" s="3">
        <v>736</v>
      </c>
      <c r="G9" s="3">
        <v>827</v>
      </c>
      <c r="H9" s="6">
        <f t="shared" ref="H9" si="8">K9*M9^3*((N9-2*K9)+K9)^2/24/1000000</f>
        <v>295418.11200000002</v>
      </c>
      <c r="I9" s="10">
        <v>76.599999999999994</v>
      </c>
      <c r="J9" s="3">
        <v>112</v>
      </c>
      <c r="K9" s="3">
        <v>16</v>
      </c>
      <c r="L9" s="3">
        <v>9.5</v>
      </c>
      <c r="M9" s="3">
        <v>220</v>
      </c>
      <c r="N9" s="3">
        <v>220</v>
      </c>
      <c r="O9" s="6">
        <f t="shared" si="0"/>
        <v>909.92</v>
      </c>
      <c r="P9" s="4">
        <f t="shared" si="1"/>
        <v>9.4287379272678322</v>
      </c>
      <c r="Q9" s="4">
        <f t="shared" si="2"/>
        <v>5.5864829015035218</v>
      </c>
      <c r="R9" s="4">
        <f t="shared" si="3"/>
        <v>10.959465776664942</v>
      </c>
      <c r="S9" s="6">
        <f>1/R9/(10^-4)*(3.14^2*$C$15*10^6*H9*10^-12/'I-Profile '!$E$22/'I-Profile '!$E$22+'I-Profile '!$J$50*10^6*'I-Profile '!$B$20*10^-12)</f>
        <v>20651.085135505087</v>
      </c>
      <c r="T9" s="4">
        <f t="shared" si="4"/>
        <v>1</v>
      </c>
      <c r="U9">
        <f t="shared" si="5"/>
        <v>0.34</v>
      </c>
      <c r="V9" s="4">
        <f>'I-Profile '!$J$47</f>
        <v>0.56405471202092505</v>
      </c>
      <c r="W9" s="4">
        <f t="shared" ref="W9:W11" si="9">0.5*(1+U9*(V9-0.4)+0.75*V9^2)</f>
        <v>0.64719844535093551</v>
      </c>
      <c r="X9" s="2">
        <f t="shared" ref="X9:X11" si="10">MIN(1/(W9+(W9^2-0.75*V9^2)^0.5),1,1/V9/V9)</f>
        <v>0.93304981186385405</v>
      </c>
      <c r="Y9" s="3">
        <v>258</v>
      </c>
      <c r="Z9" s="3">
        <v>393.9</v>
      </c>
    </row>
    <row r="10" spans="2:26" x14ac:dyDescent="0.25">
      <c r="B10" t="s">
        <v>132</v>
      </c>
      <c r="C10" s="3">
        <v>106</v>
      </c>
      <c r="D10" s="3">
        <v>11260</v>
      </c>
      <c r="E10" s="3">
        <v>3920</v>
      </c>
      <c r="F10" s="3">
        <v>938</v>
      </c>
      <c r="G10" s="3">
        <v>1053</v>
      </c>
      <c r="H10" s="6">
        <f t="shared" ref="H10" si="11">193.3*1000</f>
        <v>193300</v>
      </c>
      <c r="I10" s="10">
        <v>103</v>
      </c>
      <c r="J10" s="3">
        <v>134</v>
      </c>
      <c r="K10" s="3">
        <v>17</v>
      </c>
      <c r="L10" s="3">
        <v>10</v>
      </c>
      <c r="M10" s="3">
        <v>240</v>
      </c>
      <c r="N10" s="3">
        <v>240</v>
      </c>
      <c r="O10" s="6">
        <f t="shared" si="0"/>
        <v>1260.72</v>
      </c>
      <c r="P10" s="4">
        <f t="shared" si="1"/>
        <v>10.306619964582939</v>
      </c>
      <c r="Q10" s="4">
        <f t="shared" si="2"/>
        <v>6.0812113986829708</v>
      </c>
      <c r="R10" s="4">
        <f t="shared" si="3"/>
        <v>11.966935579746862</v>
      </c>
      <c r="S10" s="6">
        <f>1/R10/(10^-4)*(3.14^2*$C$15*10^6*H10*10^-12/'I-Profile '!$E$22/'I-Profile '!$E$22+'I-Profile '!$J$50*10^6*'I-Profile '!$B$20*10^-12)</f>
        <v>12378.326486656077</v>
      </c>
      <c r="T10" s="4">
        <f t="shared" si="4"/>
        <v>1</v>
      </c>
      <c r="U10">
        <f t="shared" si="5"/>
        <v>0.34</v>
      </c>
      <c r="V10" s="4">
        <f>'I-Profile '!$J$47</f>
        <v>0.56405471202092505</v>
      </c>
      <c r="W10" s="4">
        <f t="shared" si="9"/>
        <v>0.64719844535093551</v>
      </c>
      <c r="X10" s="2">
        <f t="shared" si="10"/>
        <v>0.93304981186385405</v>
      </c>
      <c r="Y10" s="3">
        <v>327</v>
      </c>
      <c r="Z10" s="3">
        <v>498.4</v>
      </c>
    </row>
    <row r="11" spans="2:26" x14ac:dyDescent="0.25">
      <c r="B11" t="s">
        <v>133</v>
      </c>
      <c r="C11" s="3">
        <v>118.4</v>
      </c>
      <c r="D11" s="3">
        <v>14920</v>
      </c>
      <c r="E11" s="3">
        <v>5130</v>
      </c>
      <c r="F11" s="3">
        <v>1150</v>
      </c>
      <c r="G11" s="3">
        <v>1283</v>
      </c>
      <c r="H11" s="6">
        <f t="shared" ref="H11:H12" si="12">K11*M11^3*((N11-2*K11)+K11)^2/24/1000000</f>
        <v>753651.09895833337</v>
      </c>
      <c r="I11" s="10">
        <v>124</v>
      </c>
      <c r="J11" s="3">
        <v>158</v>
      </c>
      <c r="K11" s="3">
        <v>17.5</v>
      </c>
      <c r="L11" s="3">
        <v>10</v>
      </c>
      <c r="M11" s="3">
        <v>260</v>
      </c>
      <c r="N11" s="3">
        <v>260</v>
      </c>
      <c r="O11" s="6">
        <f t="shared" si="0"/>
        <v>1663.59375</v>
      </c>
      <c r="P11" s="4">
        <f t="shared" si="1"/>
        <v>11.2255740839172</v>
      </c>
      <c r="Q11" s="4">
        <f t="shared" si="2"/>
        <v>6.5823781950525069</v>
      </c>
      <c r="R11" s="4">
        <f t="shared" si="3"/>
        <v>13.013117083013439</v>
      </c>
      <c r="S11" s="6">
        <f>1/R11/(10^-4)*(3.14^2*$C$15*10^6*H11*10^-12/'I-Profile '!$E$22/'I-Profile '!$E$22+'I-Profile '!$J$50*10^6*'I-Profile '!$B$20*10^-12)</f>
        <v>44355.596388223385</v>
      </c>
      <c r="T11" s="4">
        <f t="shared" si="4"/>
        <v>1</v>
      </c>
      <c r="U11">
        <f t="shared" si="5"/>
        <v>0.34</v>
      </c>
      <c r="V11" s="4">
        <f>'I-Profile '!$J$47</f>
        <v>0.56405471202092505</v>
      </c>
      <c r="W11" s="4">
        <f t="shared" si="9"/>
        <v>0.64719844535093551</v>
      </c>
      <c r="X11" s="2">
        <f t="shared" si="10"/>
        <v>0.93304981186385405</v>
      </c>
      <c r="Y11" s="3">
        <v>395</v>
      </c>
      <c r="Z11" s="3">
        <v>602.20000000000005</v>
      </c>
    </row>
    <row r="12" spans="2:26" x14ac:dyDescent="0.25">
      <c r="B12" t="s">
        <v>151</v>
      </c>
      <c r="C12" s="3">
        <v>131.4</v>
      </c>
      <c r="D12" s="3">
        <v>19270</v>
      </c>
      <c r="E12" s="3">
        <v>6590</v>
      </c>
      <c r="F12" s="3">
        <v>1380</v>
      </c>
      <c r="G12" s="3">
        <v>1534</v>
      </c>
      <c r="H12" s="6">
        <f t="shared" si="12"/>
        <v>1130154.8160000001</v>
      </c>
      <c r="I12" s="10">
        <v>144</v>
      </c>
      <c r="J12" s="3">
        <v>183</v>
      </c>
      <c r="K12" s="3">
        <v>18</v>
      </c>
      <c r="L12" s="3">
        <v>10.5</v>
      </c>
      <c r="M12" s="3">
        <v>280</v>
      </c>
      <c r="N12" s="3">
        <v>280</v>
      </c>
      <c r="O12" s="6">
        <f t="shared" ref="O12" si="13">M12^2*(N12-2*K12)*K12/16/10000</f>
        <v>2152.08</v>
      </c>
      <c r="P12" s="4">
        <f t="shared" ref="P12" si="14">(D12/C12)^0.5</f>
        <v>12.109972996110043</v>
      </c>
      <c r="Q12" s="4">
        <f t="shared" ref="Q12" si="15">(E12/C12)^0.5</f>
        <v>7.081822293839493</v>
      </c>
      <c r="R12" s="4">
        <f t="shared" ref="R12" si="16">(P12*P12+Q12*Q12)^0.5</f>
        <v>14.028672530501115</v>
      </c>
      <c r="S12" s="6">
        <f>1/R12/(10^-4)*(3.14^2*$C$15*10^6*H12*10^-12/'I-Profile '!$E$22/'I-Profile '!$E$22+'I-Profile '!$J$50*10^6*'I-Profile '!$B$20*10^-12)</f>
        <v>61695.236187373965</v>
      </c>
      <c r="T12" s="4">
        <f t="shared" ref="T12" si="17">N12/M12</f>
        <v>1</v>
      </c>
      <c r="U12">
        <f t="shared" ref="U12" si="18">IF(T12&lt;=2,0.34,0.49)</f>
        <v>0.34</v>
      </c>
      <c r="V12" s="4">
        <f>'I-Profile '!$J$47</f>
        <v>0.56405471202092505</v>
      </c>
      <c r="W12" s="4">
        <f t="shared" ref="W12" si="19">0.5*(1+U12*(V12-0.4)+0.75*V12^2)</f>
        <v>0.64719844535093551</v>
      </c>
      <c r="X12" s="2">
        <f t="shared" ref="X12" si="20">MIN(1/(W12+(W12^2-0.75*V12^2)^0.5),1,1/V12/V12)</f>
        <v>0.93304981186385405</v>
      </c>
      <c r="Y12" s="3">
        <v>471</v>
      </c>
      <c r="Z12" s="3">
        <v>717.6</v>
      </c>
    </row>
    <row r="13" spans="2:26" x14ac:dyDescent="0.25">
      <c r="B13" t="s">
        <v>4</v>
      </c>
    </row>
    <row r="15" spans="2:26" x14ac:dyDescent="0.25">
      <c r="B15" t="s">
        <v>98</v>
      </c>
      <c r="C15">
        <f>'I-Profile '!J49</f>
        <v>210</v>
      </c>
    </row>
    <row r="16" spans="2:26" x14ac:dyDescent="0.25">
      <c r="B16" t="s">
        <v>99</v>
      </c>
      <c r="C16">
        <f>'I-Profile '!J50</f>
        <v>80.769230769230759</v>
      </c>
    </row>
    <row r="65" spans="1:1" x14ac:dyDescent="0.25">
      <c r="A65" t="s">
        <v>128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7:E51"/>
  <sheetViews>
    <sheetView topLeftCell="A49" zoomScale="130" zoomScaleNormal="130" workbookViewId="0">
      <selection activeCell="D30" sqref="D30"/>
    </sheetView>
  </sheetViews>
  <sheetFormatPr baseColWidth="10" defaultColWidth="11.42578125" defaultRowHeight="15" x14ac:dyDescent="0.25"/>
  <sheetData>
    <row r="47" spans="4:5" x14ac:dyDescent="0.25">
      <c r="D47" t="s">
        <v>4</v>
      </c>
    </row>
    <row r="48" spans="4:5" x14ac:dyDescent="0.25">
      <c r="D48" t="s">
        <v>80</v>
      </c>
      <c r="E48">
        <v>235</v>
      </c>
    </row>
    <row r="49" spans="4:5" x14ac:dyDescent="0.25">
      <c r="D49" t="s">
        <v>81</v>
      </c>
      <c r="E49">
        <v>275</v>
      </c>
    </row>
    <row r="50" spans="4:5" x14ac:dyDescent="0.25">
      <c r="D50" t="s">
        <v>82</v>
      </c>
      <c r="E50">
        <v>355</v>
      </c>
    </row>
    <row r="51" spans="4:5" x14ac:dyDescent="0.25">
      <c r="D51" t="s">
        <v>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U-Profile</vt:lpstr>
      <vt:lpstr>Querschnitte U-Profile</vt:lpstr>
      <vt:lpstr>I-Profile </vt:lpstr>
      <vt:lpstr>Querschnitte I-Profile</vt:lpstr>
      <vt:lpstr>Hilfsmateriale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Dukala</dc:creator>
  <cp:lastModifiedBy>Maciej Dukala</cp:lastModifiedBy>
  <dcterms:created xsi:type="dcterms:W3CDTF">2023-01-19T14:57:26Z</dcterms:created>
  <dcterms:modified xsi:type="dcterms:W3CDTF">2023-01-26T08:35:10Z</dcterms:modified>
</cp:coreProperties>
</file>