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cie\Pulpit\III_CAT_SPRAWDZENIE_SRUB\20210420_FLANGE_CONNECTIONS_I_II_III_CAT\"/>
    </mc:Choice>
  </mc:AlternateContent>
  <xr:revisionPtr revIDLastSave="0" documentId="13_ncr:1_{D015DF20-2865-445B-A6E0-14A119BB693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tr.1" sheetId="1" r:id="rId1"/>
    <sheet name="str.2" sheetId="4" r:id="rId2"/>
    <sheet name="str.3" sheetId="5" r:id="rId3"/>
    <sheet name="Pomonicza_sruby" sheetId="6" r:id="rId4"/>
    <sheet name="Pomocnicza_Materiały_ŚRUBA" sheetId="9" r:id="rId5"/>
    <sheet name="Pomocnicza_Materiały_KRYZA" sheetId="8" r:id="rId6"/>
    <sheet name="Pomocnicza_kołnierze" sheetId="7" r:id="rId7"/>
  </sheets>
  <definedNames>
    <definedName name="_xlnm.Print_Area" localSheetId="0">str.1!$A$1:$Q$81</definedName>
    <definedName name="_xlnm.Print_Area" localSheetId="1">str.2!$A$1:$Q$78</definedName>
    <definedName name="_xlnm.Print_Area" localSheetId="2">str.3!$A$1:$Q$80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8" i="8" l="1"/>
  <c r="AB135" i="9"/>
  <c r="AB136" i="9" s="1"/>
  <c r="AB137" i="9" s="1"/>
  <c r="AB138" i="9" s="1"/>
  <c r="AB139" i="9" s="1"/>
  <c r="AB140" i="9" s="1"/>
  <c r="AB123" i="9"/>
  <c r="AB122" i="9"/>
  <c r="AB124" i="9" s="1"/>
  <c r="AB125" i="9" s="1"/>
  <c r="AB126" i="9" s="1"/>
  <c r="AB127" i="9" s="1"/>
  <c r="AB128" i="9" s="1"/>
  <c r="AB129" i="9" s="1"/>
  <c r="AB130" i="9" s="1"/>
  <c r="AB131" i="9" s="1"/>
  <c r="AB132" i="9" s="1"/>
  <c r="AB133" i="9" s="1"/>
  <c r="AB134" i="9" s="1"/>
  <c r="AB121" i="9"/>
  <c r="AC119" i="9"/>
  <c r="G22" i="1"/>
  <c r="G21" i="1"/>
  <c r="G20" i="1"/>
  <c r="E20" i="1"/>
  <c r="C1" i="9"/>
  <c r="Z8" i="9" s="1"/>
  <c r="F22" i="1"/>
  <c r="F21" i="1"/>
  <c r="E22" i="1"/>
  <c r="E21" i="1"/>
  <c r="F20" i="1"/>
  <c r="AE8" i="9" l="1"/>
  <c r="AB8" i="9"/>
  <c r="AA8" i="9"/>
  <c r="G23" i="1" s="1"/>
  <c r="H8" i="9"/>
  <c r="M8" i="9"/>
  <c r="P8" i="9"/>
  <c r="U8" i="9"/>
  <c r="V8" i="9"/>
  <c r="X8" i="9"/>
  <c r="G8" i="9"/>
  <c r="E8" i="9"/>
  <c r="I8" i="9"/>
  <c r="W8" i="9"/>
  <c r="N8" i="9"/>
  <c r="Y8" i="9"/>
  <c r="O8" i="9"/>
  <c r="F8" i="9"/>
  <c r="Q8" i="9"/>
  <c r="J8" i="9"/>
  <c r="R8" i="9"/>
  <c r="C8" i="9"/>
  <c r="K8" i="9"/>
  <c r="S8" i="9"/>
  <c r="D8" i="9"/>
  <c r="L8" i="9"/>
  <c r="T8" i="9"/>
  <c r="M5" i="5" l="1"/>
  <c r="M5" i="4"/>
  <c r="M3" i="5"/>
  <c r="M3" i="4"/>
  <c r="B30" i="6"/>
  <c r="O219" i="7"/>
  <c r="O217" i="7"/>
  <c r="M219" i="7"/>
  <c r="AA119" i="8" l="1"/>
  <c r="AA118" i="8" s="1"/>
  <c r="AA117" i="8" s="1"/>
  <c r="AA116" i="8" s="1"/>
  <c r="AA115" i="8" s="1"/>
  <c r="AA114" i="8" s="1"/>
  <c r="AA113" i="8" s="1"/>
  <c r="AA112" i="8" s="1"/>
  <c r="AA111" i="8" s="1"/>
  <c r="AA110" i="8" s="1"/>
  <c r="AA109" i="8" s="1"/>
  <c r="AA108" i="8" s="1"/>
  <c r="AA107" i="8" s="1"/>
  <c r="AA106" i="8" s="1"/>
  <c r="AA105" i="8" s="1"/>
  <c r="AA104" i="8" s="1"/>
  <c r="AA103" i="8" s="1"/>
  <c r="AA102" i="8" s="1"/>
  <c r="AA101" i="8" s="1"/>
  <c r="AA100" i="8" s="1"/>
  <c r="AA99" i="8" s="1"/>
  <c r="AA98" i="8" s="1"/>
  <c r="AA97" i="8" s="1"/>
  <c r="AA96" i="8" s="1"/>
  <c r="AA95" i="8" s="1"/>
  <c r="AA94" i="8" s="1"/>
  <c r="AA93" i="8" s="1"/>
  <c r="AA92" i="8" s="1"/>
  <c r="AA91" i="8" s="1"/>
  <c r="AA90" i="8" s="1"/>
  <c r="AA89" i="8" s="1"/>
  <c r="AA88" i="8" s="1"/>
  <c r="AA87" i="8" s="1"/>
  <c r="AA86" i="8" s="1"/>
  <c r="AA85" i="8" s="1"/>
  <c r="AA84" i="8" s="1"/>
  <c r="AA83" i="8" s="1"/>
  <c r="AA82" i="8" s="1"/>
  <c r="AA81" i="8" s="1"/>
  <c r="AA80" i="8" s="1"/>
  <c r="AA79" i="8" s="1"/>
  <c r="AA78" i="8" s="1"/>
  <c r="AA77" i="8" s="1"/>
  <c r="AA76" i="8" s="1"/>
  <c r="AA75" i="8" s="1"/>
  <c r="AA74" i="8" s="1"/>
  <c r="AA73" i="8" s="1"/>
  <c r="AA72" i="8" s="1"/>
  <c r="AA71" i="8" s="1"/>
  <c r="G80" i="1"/>
  <c r="G77" i="4" s="1"/>
  <c r="I80" i="1"/>
  <c r="I77" i="4" s="1"/>
  <c r="E77" i="4"/>
  <c r="E76" i="4"/>
  <c r="G76" i="4"/>
  <c r="I76" i="4"/>
  <c r="C1" i="8"/>
  <c r="Y8" i="8" s="1"/>
  <c r="G11" i="4"/>
  <c r="M77" i="4"/>
  <c r="N77" i="4"/>
  <c r="O77" i="4"/>
  <c r="P8" i="8" l="1"/>
  <c r="T8" i="8"/>
  <c r="U8" i="8"/>
  <c r="W8" i="8"/>
  <c r="E8" i="8"/>
  <c r="G8" i="8"/>
  <c r="I8" i="8"/>
  <c r="L8" i="8"/>
  <c r="X8" i="8"/>
  <c r="D8" i="8"/>
  <c r="H8" i="8"/>
  <c r="AB8" i="8"/>
  <c r="Q8" i="8"/>
  <c r="M8" i="8"/>
  <c r="V8" i="8"/>
  <c r="O8" i="8"/>
  <c r="AA8" i="8"/>
  <c r="J8" i="8"/>
  <c r="R8" i="8"/>
  <c r="Z8" i="8"/>
  <c r="C8" i="8"/>
  <c r="K8" i="8"/>
  <c r="S8" i="8"/>
  <c r="F8" i="8"/>
  <c r="N8" i="8"/>
  <c r="M79" i="5"/>
  <c r="F23" i="1" l="1"/>
  <c r="F27" i="1" s="1"/>
  <c r="E23" i="1"/>
  <c r="E27" i="1" s="1"/>
  <c r="D16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U1" i="7"/>
  <c r="N79" i="5"/>
  <c r="G33" i="1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O79" i="5"/>
  <c r="G27" i="1"/>
  <c r="F28" i="1"/>
  <c r="E28" i="1"/>
  <c r="F26" i="1"/>
  <c r="F25" i="1"/>
  <c r="E25" i="1"/>
  <c r="E26" i="1"/>
  <c r="E46" i="1"/>
  <c r="G28" i="1"/>
  <c r="G25" i="1"/>
  <c r="G26" i="1"/>
  <c r="F2" i="5"/>
  <c r="F2" i="4"/>
  <c r="F4" i="5"/>
  <c r="F5" i="5"/>
  <c r="E78" i="5"/>
  <c r="G78" i="5"/>
  <c r="I78" i="5"/>
  <c r="E79" i="5"/>
  <c r="G79" i="5"/>
  <c r="I79" i="5"/>
  <c r="F4" i="4"/>
  <c r="F5" i="4"/>
  <c r="G30" i="1" l="1"/>
  <c r="F30" i="1"/>
  <c r="E30" i="1"/>
  <c r="T20" i="7"/>
  <c r="G10" i="4" s="1"/>
  <c r="F29" i="1"/>
  <c r="H48" i="5" s="1"/>
  <c r="E29" i="1"/>
  <c r="H47" i="5" s="1"/>
  <c r="G29" i="1"/>
  <c r="T4" i="7"/>
  <c r="E37" i="1" s="1"/>
  <c r="T9" i="7"/>
  <c r="E42" i="1" s="1"/>
  <c r="T10" i="7"/>
  <c r="E43" i="1" s="1"/>
  <c r="T11" i="7"/>
  <c r="E44" i="1" s="1"/>
  <c r="T5" i="7"/>
  <c r="E38" i="1" s="1"/>
  <c r="T17" i="7"/>
  <c r="E50" i="1" s="1"/>
  <c r="T6" i="7"/>
  <c r="E39" i="1" s="1"/>
  <c r="E36" i="1" s="1"/>
  <c r="T7" i="7"/>
  <c r="E40" i="1" s="1"/>
  <c r="T16" i="7"/>
  <c r="E49" i="1" s="1"/>
  <c r="T8" i="7"/>
  <c r="E41" i="1" s="1"/>
  <c r="T2" i="7"/>
  <c r="E35" i="1" s="1"/>
  <c r="E12" i="4" l="1"/>
  <c r="E13" i="4"/>
  <c r="E14" i="4"/>
  <c r="E15" i="4"/>
  <c r="E45" i="4" s="1"/>
  <c r="H46" i="5" s="1"/>
  <c r="H49" i="5"/>
  <c r="E62" i="4"/>
  <c r="E28" i="4"/>
  <c r="E29" i="4" s="1"/>
  <c r="E30" i="4" s="1"/>
  <c r="E31" i="4" s="1"/>
  <c r="E35" i="4" s="1"/>
  <c r="E50" i="4"/>
  <c r="E47" i="1"/>
  <c r="E12" i="5" s="1"/>
  <c r="Y11" i="5" s="1"/>
  <c r="E67" i="4"/>
  <c r="E13" i="5" s="1"/>
  <c r="Y12" i="5" s="1"/>
  <c r="E49" i="4"/>
  <c r="E66" i="4"/>
  <c r="E70" i="4" s="1"/>
  <c r="E63" i="4" l="1"/>
  <c r="E65" i="4" s="1"/>
  <c r="E23" i="5"/>
  <c r="E24" i="5" s="1"/>
  <c r="E38" i="4"/>
  <c r="E32" i="4"/>
  <c r="E51" i="4" s="1"/>
  <c r="E33" i="4"/>
  <c r="E52" i="4" s="1"/>
  <c r="E36" i="4"/>
  <c r="E54" i="4"/>
  <c r="E55" i="4"/>
  <c r="V11" i="5"/>
  <c r="E14" i="5" s="1"/>
  <c r="W13" i="5"/>
  <c r="E16" i="5" s="1"/>
  <c r="V12" i="5"/>
  <c r="E68" i="4"/>
  <c r="W11" i="5"/>
  <c r="E15" i="5" s="1"/>
  <c r="E69" i="4"/>
  <c r="E53" i="4"/>
  <c r="E25" i="5" l="1"/>
  <c r="E26" i="5" s="1"/>
  <c r="E39" i="4"/>
  <c r="E42" i="4" s="1"/>
  <c r="E41" i="4"/>
  <c r="E27" i="5"/>
  <c r="E40" i="4"/>
  <c r="E43" i="4" s="1"/>
  <c r="E17" i="5"/>
  <c r="E59" i="4"/>
  <c r="E10" i="5" s="1"/>
  <c r="E58" i="4"/>
  <c r="E9" i="5" s="1"/>
  <c r="E44" i="4" l="1"/>
  <c r="E46" i="5" s="1"/>
  <c r="J46" i="5" s="1"/>
  <c r="E28" i="5"/>
  <c r="E50" i="5" s="1"/>
  <c r="E56" i="4" l="1"/>
  <c r="E57" i="4" s="1"/>
  <c r="E8" i="5" s="1"/>
  <c r="E11" i="5" s="1"/>
  <c r="E18" i="5" s="1"/>
  <c r="E47" i="5" s="1"/>
  <c r="J47" i="5" s="1"/>
  <c r="E19" i="5" l="1"/>
  <c r="E20" i="5" s="1"/>
  <c r="E49" i="5" s="1"/>
  <c r="J49" i="5" s="1"/>
  <c r="E48" i="5" l="1"/>
  <c r="J48" i="5" s="1"/>
</calcChain>
</file>

<file path=xl/sharedStrings.xml><?xml version="1.0" encoding="utf-8"?>
<sst xmlns="http://schemas.openxmlformats.org/spreadsheetml/2006/main" count="1236" uniqueCount="502">
  <si>
    <t>MPa</t>
  </si>
  <si>
    <r>
      <t>o</t>
    </r>
    <r>
      <rPr>
        <sz val="10"/>
        <rFont val="Arial"/>
        <family val="2"/>
      </rPr>
      <t>C</t>
    </r>
  </si>
  <si>
    <t>mm</t>
  </si>
  <si>
    <t>N</t>
  </si>
  <si>
    <t>%</t>
  </si>
  <si>
    <r>
      <t>c</t>
    </r>
    <r>
      <rPr>
        <vertAlign val="subscript"/>
        <sz val="10"/>
        <rFont val="Arial"/>
        <family val="2"/>
        <charset val="238"/>
      </rPr>
      <t>1</t>
    </r>
  </si>
  <si>
    <t>TS</t>
  </si>
  <si>
    <t>PS</t>
  </si>
  <si>
    <r>
      <t>R</t>
    </r>
    <r>
      <rPr>
        <vertAlign val="subscript"/>
        <sz val="10"/>
        <rFont val="Arial"/>
        <family val="2"/>
        <charset val="238"/>
      </rPr>
      <t>m</t>
    </r>
  </si>
  <si>
    <r>
      <t>R</t>
    </r>
    <r>
      <rPr>
        <vertAlign val="subscript"/>
        <sz val="10"/>
        <rFont val="Arial"/>
        <family val="2"/>
        <charset val="238"/>
      </rPr>
      <t>e</t>
    </r>
  </si>
  <si>
    <t>b</t>
  </si>
  <si>
    <t>C</t>
  </si>
  <si>
    <t>Nm</t>
  </si>
  <si>
    <t>h</t>
  </si>
  <si>
    <r>
      <t>D</t>
    </r>
    <r>
      <rPr>
        <vertAlign val="subscript"/>
        <sz val="10"/>
        <rFont val="Arial"/>
        <family val="2"/>
        <charset val="238"/>
      </rPr>
      <t>z</t>
    </r>
  </si>
  <si>
    <r>
      <t>n</t>
    </r>
    <r>
      <rPr>
        <vertAlign val="subscript"/>
        <sz val="10"/>
        <rFont val="Arial"/>
        <family val="2"/>
        <charset val="238"/>
      </rPr>
      <t>s</t>
    </r>
  </si>
  <si>
    <r>
      <t>d</t>
    </r>
    <r>
      <rPr>
        <vertAlign val="subscript"/>
        <sz val="10"/>
        <rFont val="Arial"/>
        <family val="2"/>
        <charset val="238"/>
      </rPr>
      <t>o</t>
    </r>
  </si>
  <si>
    <r>
      <t>s</t>
    </r>
    <r>
      <rPr>
        <vertAlign val="subscript"/>
        <sz val="10"/>
        <rFont val="Arial"/>
        <family val="2"/>
        <charset val="238"/>
      </rPr>
      <t>r</t>
    </r>
  </si>
  <si>
    <t>y</t>
  </si>
  <si>
    <r>
      <t>S</t>
    </r>
    <r>
      <rPr>
        <vertAlign val="subscript"/>
        <sz val="10"/>
        <rFont val="Arial"/>
        <family val="2"/>
        <charset val="238"/>
      </rPr>
      <t>m</t>
    </r>
  </si>
  <si>
    <r>
      <t>S</t>
    </r>
    <r>
      <rPr>
        <vertAlign val="subscript"/>
        <sz val="10"/>
        <rFont val="Arial"/>
        <family val="2"/>
        <charset val="238"/>
      </rPr>
      <t>m1</t>
    </r>
  </si>
  <si>
    <r>
      <t>M</t>
    </r>
    <r>
      <rPr>
        <vertAlign val="subscript"/>
        <sz val="10"/>
        <rFont val="Arial"/>
        <family val="2"/>
        <charset val="238"/>
      </rPr>
      <t>ds</t>
    </r>
  </si>
  <si>
    <r>
      <t>S</t>
    </r>
    <r>
      <rPr>
        <vertAlign val="subscript"/>
        <sz val="10"/>
        <rFont val="Arial"/>
        <family val="2"/>
        <charset val="238"/>
      </rPr>
      <t>m</t>
    </r>
    <r>
      <rPr>
        <sz val="10"/>
        <rFont val="Arial"/>
        <family val="2"/>
      </rPr>
      <t>/n</t>
    </r>
    <r>
      <rPr>
        <vertAlign val="subscript"/>
        <sz val="10"/>
        <rFont val="Arial"/>
        <family val="2"/>
        <charset val="238"/>
      </rPr>
      <t>s</t>
    </r>
  </si>
  <si>
    <r>
      <t xml:space="preserve">   S</t>
    </r>
    <r>
      <rPr>
        <vertAlign val="subscript"/>
        <sz val="10"/>
        <rFont val="Arial"/>
        <family val="2"/>
        <charset val="238"/>
      </rPr>
      <t>g</t>
    </r>
  </si>
  <si>
    <t>Status</t>
  </si>
  <si>
    <t xml:space="preserve">Dane, rysunki oraz inne informacje nie mogą być bez pisemnej zgody PROCHEM S.A. kopiowane, powielane ani udostępniane stronie trzeciej do jakichkolwiek innych celów niż opisane w umowie </t>
  </si>
  <si>
    <t>P</t>
  </si>
  <si>
    <t>Pp</t>
  </si>
  <si>
    <r>
      <t>g</t>
    </r>
    <r>
      <rPr>
        <vertAlign val="subscript"/>
        <sz val="10"/>
        <rFont val="Arial"/>
        <family val="2"/>
        <charset val="238"/>
      </rPr>
      <t>n</t>
    </r>
  </si>
  <si>
    <r>
      <t>mm</t>
    </r>
    <r>
      <rPr>
        <vertAlign val="superscript"/>
        <sz val="10"/>
        <rFont val="Arial"/>
        <family val="2"/>
        <charset val="238"/>
      </rPr>
      <t>2</t>
    </r>
  </si>
  <si>
    <r>
      <t>D</t>
    </r>
    <r>
      <rPr>
        <vertAlign val="subscript"/>
        <sz val="10"/>
        <rFont val="Arial"/>
        <family val="2"/>
        <charset val="238"/>
      </rPr>
      <t>s</t>
    </r>
  </si>
  <si>
    <r>
      <t>c</t>
    </r>
    <r>
      <rPr>
        <vertAlign val="subscript"/>
        <sz val="10"/>
        <rFont val="Arial"/>
        <family val="2"/>
        <charset val="238"/>
      </rPr>
      <t>2</t>
    </r>
  </si>
  <si>
    <r>
      <t>g</t>
    </r>
    <r>
      <rPr>
        <vertAlign val="subscript"/>
        <sz val="10"/>
        <rFont val="Arial"/>
        <family val="2"/>
        <charset val="238"/>
      </rPr>
      <t>u</t>
    </r>
  </si>
  <si>
    <r>
      <t>f</t>
    </r>
    <r>
      <rPr>
        <vertAlign val="subscript"/>
        <sz val="10"/>
        <rFont val="Arial"/>
        <family val="2"/>
        <charset val="238"/>
      </rPr>
      <t>te</t>
    </r>
  </si>
  <si>
    <r>
      <t>f</t>
    </r>
    <r>
      <rPr>
        <vertAlign val="subscript"/>
        <sz val="10"/>
        <rFont val="Arial"/>
        <family val="2"/>
        <charset val="238"/>
      </rPr>
      <t>tm</t>
    </r>
  </si>
  <si>
    <r>
      <t>f</t>
    </r>
    <r>
      <rPr>
        <vertAlign val="subscript"/>
        <sz val="10"/>
        <rFont val="Arial"/>
        <family val="2"/>
        <charset val="238"/>
      </rPr>
      <t>oe</t>
    </r>
  </si>
  <si>
    <r>
      <t>f</t>
    </r>
    <r>
      <rPr>
        <vertAlign val="subscript"/>
        <sz val="10"/>
        <rFont val="Arial"/>
        <family val="2"/>
        <charset val="238"/>
      </rPr>
      <t>om</t>
    </r>
  </si>
  <si>
    <r>
      <t>R</t>
    </r>
    <r>
      <rPr>
        <vertAlign val="subscript"/>
        <sz val="10"/>
        <rFont val="Arial"/>
        <family val="2"/>
        <charset val="238"/>
      </rPr>
      <t>mt</t>
    </r>
  </si>
  <si>
    <r>
      <t>f</t>
    </r>
    <r>
      <rPr>
        <vertAlign val="subscript"/>
        <sz val="10"/>
        <rFont val="Arial"/>
        <family val="2"/>
        <charset val="238"/>
      </rPr>
      <t>B,A</t>
    </r>
  </si>
  <si>
    <r>
      <t>f</t>
    </r>
    <r>
      <rPr>
        <vertAlign val="subscript"/>
        <sz val="10"/>
        <rFont val="Arial"/>
        <family val="2"/>
        <charset val="238"/>
      </rPr>
      <t>B</t>
    </r>
  </si>
  <si>
    <t xml:space="preserve">A </t>
  </si>
  <si>
    <t>e</t>
  </si>
  <si>
    <r>
      <t>g</t>
    </r>
    <r>
      <rPr>
        <vertAlign val="subscript"/>
        <sz val="10"/>
        <rFont val="Arial"/>
        <family val="2"/>
        <charset val="238"/>
      </rPr>
      <t>0</t>
    </r>
  </si>
  <si>
    <t>G</t>
  </si>
  <si>
    <t>B</t>
  </si>
  <si>
    <r>
      <t>g</t>
    </r>
    <r>
      <rPr>
        <vertAlign val="subscript"/>
        <sz val="10"/>
        <rFont val="Arial"/>
        <family val="2"/>
        <charset val="238"/>
      </rPr>
      <t>1</t>
    </r>
  </si>
  <si>
    <r>
      <t>(D</t>
    </r>
    <r>
      <rPr>
        <vertAlign val="subscript"/>
        <sz val="10"/>
        <rFont val="Arial"/>
        <family val="2"/>
        <charset val="238"/>
      </rPr>
      <t>s</t>
    </r>
    <r>
      <rPr>
        <sz val="10"/>
        <rFont val="Arial"/>
        <family val="2"/>
      </rPr>
      <t>-B</t>
    </r>
    <r>
      <rPr>
        <sz val="10"/>
        <rFont val="Arial"/>
        <family val="2"/>
        <charset val="238"/>
      </rPr>
      <t>)/2</t>
    </r>
  </si>
  <si>
    <r>
      <t>d</t>
    </r>
    <r>
      <rPr>
        <vertAlign val="subscript"/>
        <sz val="10"/>
        <rFont val="Arial"/>
        <family val="2"/>
        <charset val="238"/>
      </rPr>
      <t>pz</t>
    </r>
  </si>
  <si>
    <r>
      <t>d</t>
    </r>
    <r>
      <rPr>
        <vertAlign val="subscript"/>
        <sz val="10"/>
        <rFont val="Arial"/>
        <family val="2"/>
        <charset val="238"/>
      </rPr>
      <t>uw</t>
    </r>
  </si>
  <si>
    <r>
      <t>d</t>
    </r>
    <r>
      <rPr>
        <vertAlign val="subscript"/>
        <sz val="10"/>
        <rFont val="Arial"/>
        <family val="2"/>
        <charset val="238"/>
      </rPr>
      <t>uz</t>
    </r>
  </si>
  <si>
    <r>
      <t>d</t>
    </r>
    <r>
      <rPr>
        <vertAlign val="subscript"/>
        <sz val="10"/>
        <rFont val="Arial"/>
        <family val="2"/>
        <charset val="238"/>
      </rPr>
      <t>b</t>
    </r>
  </si>
  <si>
    <r>
      <t>d</t>
    </r>
    <r>
      <rPr>
        <vertAlign val="subscript"/>
        <sz val="10"/>
        <rFont val="Arial"/>
        <family val="2"/>
        <charset val="238"/>
      </rPr>
      <t>bw</t>
    </r>
  </si>
  <si>
    <r>
      <t>s</t>
    </r>
    <r>
      <rPr>
        <vertAlign val="subscript"/>
        <sz val="10"/>
        <rFont val="Arial"/>
        <family val="2"/>
        <charset val="238"/>
      </rPr>
      <t>g</t>
    </r>
  </si>
  <si>
    <r>
      <t>d</t>
    </r>
    <r>
      <rPr>
        <vertAlign val="subscript"/>
        <sz val="10"/>
        <rFont val="Arial"/>
        <family val="2"/>
        <charset val="238"/>
      </rPr>
      <t>br</t>
    </r>
  </si>
  <si>
    <t>(D.5-1)</t>
  </si>
  <si>
    <t>w</t>
  </si>
  <si>
    <r>
      <t>(d</t>
    </r>
    <r>
      <rPr>
        <vertAlign val="subscript"/>
        <sz val="10"/>
        <rFont val="Arial"/>
        <family val="2"/>
        <charset val="238"/>
      </rPr>
      <t>uz</t>
    </r>
    <r>
      <rPr>
        <sz val="10"/>
        <rFont val="Arial"/>
        <family val="2"/>
      </rPr>
      <t>-d</t>
    </r>
    <r>
      <rPr>
        <vertAlign val="subscript"/>
        <sz val="10"/>
        <rFont val="Arial"/>
        <family val="2"/>
        <charset val="238"/>
      </rPr>
      <t>uw</t>
    </r>
    <r>
      <rPr>
        <sz val="10"/>
        <rFont val="Arial"/>
        <family val="2"/>
      </rPr>
      <t>)/2</t>
    </r>
  </si>
  <si>
    <r>
      <t>b</t>
    </r>
    <r>
      <rPr>
        <vertAlign val="subscript"/>
        <sz val="10"/>
        <rFont val="Arial"/>
        <family val="2"/>
        <charset val="238"/>
      </rPr>
      <t>0</t>
    </r>
  </si>
  <si>
    <t>w/2 (D.5-1)</t>
  </si>
  <si>
    <t>H</t>
  </si>
  <si>
    <r>
      <t>(</t>
    </r>
    <r>
      <rPr>
        <sz val="10"/>
        <rFont val="GreekC"/>
        <charset val="238"/>
      </rPr>
      <t>P</t>
    </r>
    <r>
      <rPr>
        <sz val="10"/>
        <rFont val="Arial"/>
        <family val="2"/>
      </rPr>
      <t>/4)*G</t>
    </r>
    <r>
      <rPr>
        <vertAlign val="superscript"/>
        <sz val="10"/>
        <rFont val="Arial"/>
        <family val="2"/>
        <charset val="238"/>
      </rPr>
      <t>2</t>
    </r>
    <r>
      <rPr>
        <sz val="10"/>
        <rFont val="Arial"/>
        <family val="2"/>
      </rPr>
      <t>*P (D.5-5)</t>
    </r>
  </si>
  <si>
    <r>
      <t>H</t>
    </r>
    <r>
      <rPr>
        <vertAlign val="subscript"/>
        <sz val="10"/>
        <rFont val="Arial"/>
        <family val="2"/>
        <charset val="238"/>
      </rPr>
      <t>p</t>
    </r>
  </si>
  <si>
    <r>
      <t>(</t>
    </r>
    <r>
      <rPr>
        <sz val="10"/>
        <rFont val="GreekC"/>
        <charset val="238"/>
      </rPr>
      <t>P</t>
    </r>
    <r>
      <rPr>
        <sz val="10"/>
        <rFont val="Arial"/>
        <family val="2"/>
      </rPr>
      <t>/4)*G</t>
    </r>
    <r>
      <rPr>
        <vertAlign val="superscript"/>
        <sz val="10"/>
        <rFont val="Arial"/>
        <family val="2"/>
        <charset val="238"/>
      </rPr>
      <t>2</t>
    </r>
    <r>
      <rPr>
        <sz val="10"/>
        <rFont val="Arial"/>
        <family val="2"/>
      </rPr>
      <t>*P</t>
    </r>
    <r>
      <rPr>
        <vertAlign val="subscript"/>
        <sz val="10"/>
        <rFont val="Arial"/>
        <family val="2"/>
        <charset val="238"/>
      </rPr>
      <t>p</t>
    </r>
    <r>
      <rPr>
        <sz val="10"/>
        <rFont val="Arial"/>
        <family val="2"/>
      </rPr>
      <t xml:space="preserve"> (D.5-5)</t>
    </r>
  </si>
  <si>
    <t xml:space="preserve">m </t>
  </si>
  <si>
    <t xml:space="preserve">T </t>
  </si>
  <si>
    <r>
      <t>P</t>
    </r>
    <r>
      <rPr>
        <vertAlign val="subscript"/>
        <sz val="10"/>
        <rFont val="Arial"/>
        <family val="2"/>
        <charset val="238"/>
      </rPr>
      <t>P</t>
    </r>
  </si>
  <si>
    <r>
      <t>H</t>
    </r>
    <r>
      <rPr>
        <vertAlign val="subscript"/>
        <sz val="10"/>
        <rFont val="Arial"/>
        <family val="2"/>
        <charset val="238"/>
      </rPr>
      <t>G</t>
    </r>
  </si>
  <si>
    <r>
      <t>H</t>
    </r>
    <r>
      <rPr>
        <vertAlign val="subscript"/>
        <sz val="10"/>
        <rFont val="Arial"/>
        <family val="2"/>
        <charset val="238"/>
      </rPr>
      <t>Gp</t>
    </r>
  </si>
  <si>
    <r>
      <t>W</t>
    </r>
    <r>
      <rPr>
        <vertAlign val="subscript"/>
        <sz val="10"/>
        <rFont val="Arial"/>
        <family val="2"/>
        <charset val="238"/>
      </rPr>
      <t>A</t>
    </r>
  </si>
  <si>
    <r>
      <t>P</t>
    </r>
    <r>
      <rPr>
        <sz val="10"/>
        <rFont val="Arial"/>
        <family val="2"/>
      </rPr>
      <t>*b*G*y (D.5-7)</t>
    </r>
  </si>
  <si>
    <r>
      <t>2*</t>
    </r>
    <r>
      <rPr>
        <sz val="10"/>
        <rFont val="GreekC"/>
        <charset val="238"/>
      </rPr>
      <t>P</t>
    </r>
    <r>
      <rPr>
        <sz val="10"/>
        <rFont val="Arial"/>
        <family val="2"/>
      </rPr>
      <t>*G*m*P (D.5-6)</t>
    </r>
  </si>
  <si>
    <r>
      <t>2*</t>
    </r>
    <r>
      <rPr>
        <sz val="10"/>
        <rFont val="GreekC"/>
        <charset val="238"/>
      </rPr>
      <t>P</t>
    </r>
    <r>
      <rPr>
        <sz val="10"/>
        <rFont val="Arial"/>
        <family val="2"/>
      </rPr>
      <t>*G*m*P</t>
    </r>
    <r>
      <rPr>
        <vertAlign val="subscript"/>
        <sz val="10"/>
        <rFont val="Arial"/>
        <family val="2"/>
        <charset val="238"/>
      </rPr>
      <t xml:space="preserve">p </t>
    </r>
    <r>
      <rPr>
        <sz val="10"/>
        <rFont val="Arial"/>
        <family val="2"/>
        <charset val="238"/>
      </rPr>
      <t>(D.5-6)</t>
    </r>
  </si>
  <si>
    <r>
      <t>W</t>
    </r>
    <r>
      <rPr>
        <vertAlign val="subscript"/>
        <sz val="10"/>
        <rFont val="Arial"/>
        <family val="2"/>
        <charset val="238"/>
      </rPr>
      <t>op</t>
    </r>
  </si>
  <si>
    <r>
      <t>W</t>
    </r>
    <r>
      <rPr>
        <vertAlign val="subscript"/>
        <sz val="10"/>
        <rFont val="Arial"/>
        <family val="2"/>
        <charset val="238"/>
      </rPr>
      <t>opp</t>
    </r>
  </si>
  <si>
    <r>
      <t>H+H</t>
    </r>
    <r>
      <rPr>
        <vertAlign val="subscript"/>
        <sz val="10"/>
        <rFont val="Arial"/>
        <family val="2"/>
        <charset val="238"/>
      </rPr>
      <t>G</t>
    </r>
    <r>
      <rPr>
        <sz val="10"/>
        <rFont val="Arial"/>
        <family val="2"/>
        <charset val="238"/>
      </rPr>
      <t xml:space="preserve"> (D.5-8)</t>
    </r>
  </si>
  <si>
    <r>
      <t>H+H</t>
    </r>
    <r>
      <rPr>
        <vertAlign val="subscript"/>
        <sz val="10"/>
        <rFont val="Arial"/>
        <family val="2"/>
        <charset val="238"/>
      </rPr>
      <t>Gp</t>
    </r>
    <r>
      <rPr>
        <sz val="10"/>
        <rFont val="Arial"/>
        <family val="2"/>
        <charset val="238"/>
      </rPr>
      <t xml:space="preserve"> (D.5-8)</t>
    </r>
  </si>
  <si>
    <r>
      <t>A</t>
    </r>
    <r>
      <rPr>
        <vertAlign val="subscript"/>
        <sz val="10"/>
        <rFont val="Arial"/>
        <family val="2"/>
        <charset val="238"/>
      </rPr>
      <t>Bmin</t>
    </r>
  </si>
  <si>
    <r>
      <t>A</t>
    </r>
    <r>
      <rPr>
        <vertAlign val="subscript"/>
        <sz val="10"/>
        <rFont val="Arial"/>
        <family val="2"/>
        <charset val="238"/>
      </rPr>
      <t>BWop</t>
    </r>
  </si>
  <si>
    <r>
      <t>A</t>
    </r>
    <r>
      <rPr>
        <vertAlign val="subscript"/>
        <sz val="10"/>
        <rFont val="Arial"/>
        <family val="2"/>
        <charset val="238"/>
      </rPr>
      <t>BWo</t>
    </r>
  </si>
  <si>
    <r>
      <t>A</t>
    </r>
    <r>
      <rPr>
        <vertAlign val="subscript"/>
        <sz val="10"/>
        <rFont val="Arial"/>
        <family val="2"/>
        <charset val="238"/>
      </rPr>
      <t>BA</t>
    </r>
  </si>
  <si>
    <r>
      <t>(</t>
    </r>
    <r>
      <rPr>
        <sz val="10"/>
        <rFont val="GreekC"/>
        <charset val="238"/>
      </rPr>
      <t>P</t>
    </r>
    <r>
      <rPr>
        <sz val="10"/>
        <rFont val="Arial"/>
        <family val="2"/>
      </rPr>
      <t>*d</t>
    </r>
    <r>
      <rPr>
        <vertAlign val="subscript"/>
        <sz val="10"/>
        <rFont val="Arial"/>
        <family val="2"/>
        <charset val="238"/>
      </rPr>
      <t>br</t>
    </r>
    <r>
      <rPr>
        <vertAlign val="superscript"/>
        <sz val="10"/>
        <rFont val="Arial"/>
        <family val="2"/>
        <charset val="238"/>
      </rPr>
      <t>2</t>
    </r>
    <r>
      <rPr>
        <sz val="10"/>
        <rFont val="Arial"/>
        <family val="2"/>
      </rPr>
      <t>/4)*n</t>
    </r>
    <r>
      <rPr>
        <vertAlign val="subscript"/>
        <sz val="10"/>
        <rFont val="Arial"/>
        <family val="2"/>
        <charset val="238"/>
      </rPr>
      <t>s</t>
    </r>
  </si>
  <si>
    <r>
      <t>max(A</t>
    </r>
    <r>
      <rPr>
        <vertAlign val="subscript"/>
        <sz val="10"/>
        <rFont val="Arial"/>
        <family val="2"/>
        <charset val="238"/>
      </rPr>
      <t>BA</t>
    </r>
    <r>
      <rPr>
        <sz val="10"/>
        <rFont val="Arial"/>
        <family val="2"/>
      </rPr>
      <t>:A</t>
    </r>
    <r>
      <rPr>
        <vertAlign val="subscript"/>
        <sz val="10"/>
        <rFont val="Arial"/>
        <family val="2"/>
        <charset val="238"/>
      </rPr>
      <t>BWo</t>
    </r>
    <r>
      <rPr>
        <sz val="10"/>
        <rFont val="Arial"/>
        <family val="2"/>
      </rPr>
      <t>:A</t>
    </r>
    <r>
      <rPr>
        <vertAlign val="subscript"/>
        <sz val="10"/>
        <rFont val="Arial"/>
        <family val="2"/>
        <charset val="238"/>
      </rPr>
      <t>BWop</t>
    </r>
    <r>
      <rPr>
        <sz val="10"/>
        <rFont val="Arial"/>
        <family val="2"/>
      </rPr>
      <t>) (D.5-9)</t>
    </r>
  </si>
  <si>
    <r>
      <t>W</t>
    </r>
    <r>
      <rPr>
        <vertAlign val="subscript"/>
        <sz val="10"/>
        <rFont val="Arial"/>
        <family val="2"/>
        <charset val="238"/>
      </rPr>
      <t>opp</t>
    </r>
    <r>
      <rPr>
        <sz val="10"/>
        <rFont val="Arial"/>
        <family val="2"/>
      </rPr>
      <t>/f</t>
    </r>
    <r>
      <rPr>
        <vertAlign val="subscript"/>
        <sz val="10"/>
        <rFont val="Arial"/>
        <family val="2"/>
        <charset val="238"/>
      </rPr>
      <t xml:space="preserve">B,A </t>
    </r>
    <r>
      <rPr>
        <sz val="10"/>
        <rFont val="Arial"/>
        <family val="2"/>
        <charset val="238"/>
      </rPr>
      <t>(D.5-9)</t>
    </r>
  </si>
  <si>
    <r>
      <t>W</t>
    </r>
    <r>
      <rPr>
        <vertAlign val="subscript"/>
        <sz val="10"/>
        <rFont val="Arial"/>
        <family val="2"/>
        <charset val="238"/>
      </rPr>
      <t>op</t>
    </r>
    <r>
      <rPr>
        <sz val="10"/>
        <rFont val="Arial"/>
        <family val="2"/>
      </rPr>
      <t>/f</t>
    </r>
    <r>
      <rPr>
        <vertAlign val="subscript"/>
        <sz val="10"/>
        <rFont val="Arial"/>
        <family val="2"/>
        <charset val="238"/>
      </rPr>
      <t xml:space="preserve">B </t>
    </r>
    <r>
      <rPr>
        <sz val="10"/>
        <rFont val="Arial"/>
        <family val="2"/>
        <charset val="238"/>
      </rPr>
      <t>(D.5-9)</t>
    </r>
  </si>
  <si>
    <r>
      <t>W</t>
    </r>
    <r>
      <rPr>
        <vertAlign val="subscript"/>
        <sz val="10"/>
        <rFont val="Arial"/>
        <family val="2"/>
        <charset val="238"/>
      </rPr>
      <t>A</t>
    </r>
    <r>
      <rPr>
        <sz val="10"/>
        <rFont val="Arial"/>
        <family val="2"/>
      </rPr>
      <t>/f</t>
    </r>
    <r>
      <rPr>
        <vertAlign val="subscript"/>
        <sz val="10"/>
        <rFont val="Arial"/>
        <family val="2"/>
        <charset val="238"/>
      </rPr>
      <t>B,A</t>
    </r>
    <r>
      <rPr>
        <sz val="10"/>
        <rFont val="Arial"/>
        <family val="2"/>
        <charset val="238"/>
      </rPr>
      <t xml:space="preserve"> (D.5-9)</t>
    </r>
  </si>
  <si>
    <r>
      <t>H</t>
    </r>
    <r>
      <rPr>
        <vertAlign val="subscript"/>
        <sz val="10"/>
        <rFont val="Arial"/>
        <family val="2"/>
        <charset val="238"/>
      </rPr>
      <t>D</t>
    </r>
  </si>
  <si>
    <r>
      <t>H</t>
    </r>
    <r>
      <rPr>
        <vertAlign val="subscript"/>
        <sz val="10"/>
        <rFont val="Arial"/>
        <family val="2"/>
        <charset val="238"/>
      </rPr>
      <t>Dp</t>
    </r>
  </si>
  <si>
    <r>
      <t>(</t>
    </r>
    <r>
      <rPr>
        <sz val="10"/>
        <rFont val="GreekC"/>
        <charset val="238"/>
      </rPr>
      <t>P</t>
    </r>
    <r>
      <rPr>
        <sz val="10"/>
        <rFont val="Arial"/>
        <family val="2"/>
      </rPr>
      <t>/4)*B</t>
    </r>
    <r>
      <rPr>
        <vertAlign val="superscript"/>
        <sz val="10"/>
        <rFont val="Arial"/>
        <family val="2"/>
        <charset val="238"/>
      </rPr>
      <t>2</t>
    </r>
    <r>
      <rPr>
        <sz val="10"/>
        <rFont val="Arial"/>
        <family val="2"/>
      </rPr>
      <t>*P (D.5-10)</t>
    </r>
  </si>
  <si>
    <r>
      <t>H</t>
    </r>
    <r>
      <rPr>
        <vertAlign val="subscript"/>
        <sz val="10"/>
        <rFont val="Arial"/>
        <family val="2"/>
        <charset val="238"/>
      </rPr>
      <t>Tp</t>
    </r>
  </si>
  <si>
    <r>
      <t>H</t>
    </r>
    <r>
      <rPr>
        <vertAlign val="subscript"/>
        <sz val="10"/>
        <rFont val="Arial"/>
        <family val="2"/>
        <charset val="238"/>
      </rPr>
      <t>T</t>
    </r>
  </si>
  <si>
    <r>
      <t>(</t>
    </r>
    <r>
      <rPr>
        <sz val="10"/>
        <rFont val="GreekC"/>
        <charset val="238"/>
      </rPr>
      <t>P</t>
    </r>
    <r>
      <rPr>
        <sz val="10"/>
        <rFont val="Arial"/>
        <family val="2"/>
      </rPr>
      <t>/4)*B</t>
    </r>
    <r>
      <rPr>
        <vertAlign val="superscript"/>
        <sz val="10"/>
        <rFont val="Arial"/>
        <family val="2"/>
        <charset val="238"/>
      </rPr>
      <t>2</t>
    </r>
    <r>
      <rPr>
        <sz val="10"/>
        <rFont val="Arial"/>
        <family val="2"/>
      </rPr>
      <t>*P</t>
    </r>
    <r>
      <rPr>
        <vertAlign val="subscript"/>
        <sz val="10"/>
        <rFont val="Arial"/>
        <family val="2"/>
        <charset val="238"/>
      </rPr>
      <t>p</t>
    </r>
    <r>
      <rPr>
        <sz val="10"/>
        <rFont val="Arial"/>
        <family val="2"/>
        <charset val="238"/>
      </rPr>
      <t xml:space="preserve"> (D.5-10)</t>
    </r>
  </si>
  <si>
    <r>
      <t>H-H</t>
    </r>
    <r>
      <rPr>
        <vertAlign val="subscript"/>
        <sz val="10"/>
        <rFont val="Arial"/>
        <family val="2"/>
        <charset val="238"/>
      </rPr>
      <t xml:space="preserve">D </t>
    </r>
    <r>
      <rPr>
        <sz val="10"/>
        <rFont val="Arial"/>
        <family val="2"/>
        <charset val="238"/>
      </rPr>
      <t>(D.5-11)</t>
    </r>
  </si>
  <si>
    <r>
      <t>H</t>
    </r>
    <r>
      <rPr>
        <vertAlign val="subscript"/>
        <sz val="10"/>
        <rFont val="Arial"/>
        <family val="2"/>
        <charset val="238"/>
      </rPr>
      <t>p</t>
    </r>
    <r>
      <rPr>
        <sz val="10"/>
        <rFont val="Arial"/>
        <family val="2"/>
      </rPr>
      <t>-H</t>
    </r>
    <r>
      <rPr>
        <vertAlign val="subscript"/>
        <sz val="10"/>
        <rFont val="Arial"/>
        <family val="2"/>
        <charset val="238"/>
      </rPr>
      <t>Dp</t>
    </r>
    <r>
      <rPr>
        <sz val="10"/>
        <rFont val="Arial"/>
        <family val="2"/>
        <charset val="238"/>
      </rPr>
      <t xml:space="preserve">  (D.5-11)</t>
    </r>
  </si>
  <si>
    <r>
      <t>h</t>
    </r>
    <r>
      <rPr>
        <vertAlign val="subscript"/>
        <sz val="10"/>
        <rFont val="Arial"/>
        <family val="2"/>
        <charset val="238"/>
      </rPr>
      <t>D</t>
    </r>
  </si>
  <si>
    <r>
      <t>h</t>
    </r>
    <r>
      <rPr>
        <vertAlign val="subscript"/>
        <sz val="10"/>
        <rFont val="Arial"/>
        <family val="2"/>
        <charset val="238"/>
      </rPr>
      <t>G</t>
    </r>
  </si>
  <si>
    <t>(C-G)/2 (D.5-14)</t>
  </si>
  <si>
    <r>
      <t>h</t>
    </r>
    <r>
      <rPr>
        <vertAlign val="subscript"/>
        <sz val="10"/>
        <rFont val="Arial"/>
        <family val="2"/>
        <charset val="238"/>
      </rPr>
      <t>T</t>
    </r>
  </si>
  <si>
    <t>W</t>
  </si>
  <si>
    <r>
      <t>A</t>
    </r>
    <r>
      <rPr>
        <vertAlign val="subscript"/>
        <sz val="10"/>
        <rFont val="Arial"/>
        <family val="2"/>
        <charset val="238"/>
      </rPr>
      <t>B</t>
    </r>
  </si>
  <si>
    <r>
      <t>W*h</t>
    </r>
    <r>
      <rPr>
        <vertAlign val="subscript"/>
        <sz val="10"/>
        <rFont val="Arial"/>
        <family val="2"/>
        <charset val="238"/>
      </rPr>
      <t>G</t>
    </r>
    <r>
      <rPr>
        <sz val="10"/>
        <rFont val="Arial"/>
        <family val="2"/>
        <charset val="238"/>
      </rPr>
      <t xml:space="preserve"> (D.5-17)</t>
    </r>
  </si>
  <si>
    <r>
      <t>M</t>
    </r>
    <r>
      <rPr>
        <vertAlign val="subscript"/>
        <sz val="10"/>
        <rFont val="Arial"/>
        <family val="2"/>
        <charset val="238"/>
      </rPr>
      <t>A</t>
    </r>
    <r>
      <rPr>
        <sz val="10"/>
        <rFont val="Arial"/>
        <family val="2"/>
      </rPr>
      <t xml:space="preserve"> </t>
    </r>
  </si>
  <si>
    <r>
      <t>M</t>
    </r>
    <r>
      <rPr>
        <vertAlign val="subscript"/>
        <sz val="10"/>
        <rFont val="Arial"/>
        <family val="2"/>
        <charset val="238"/>
      </rPr>
      <t>op</t>
    </r>
  </si>
  <si>
    <r>
      <t>H</t>
    </r>
    <r>
      <rPr>
        <vertAlign val="subscript"/>
        <sz val="10"/>
        <rFont val="Arial"/>
        <family val="2"/>
        <charset val="238"/>
      </rPr>
      <t>D</t>
    </r>
    <r>
      <rPr>
        <sz val="10"/>
        <rFont val="Arial"/>
        <family val="2"/>
        <charset val="238"/>
      </rPr>
      <t>*h</t>
    </r>
    <r>
      <rPr>
        <vertAlign val="subscript"/>
        <sz val="10"/>
        <rFont val="Arial"/>
        <family val="2"/>
        <charset val="238"/>
      </rPr>
      <t>D</t>
    </r>
    <r>
      <rPr>
        <sz val="10"/>
        <rFont val="Arial"/>
        <family val="2"/>
        <charset val="238"/>
      </rPr>
      <t>+H</t>
    </r>
    <r>
      <rPr>
        <vertAlign val="subscript"/>
        <sz val="10"/>
        <rFont val="Arial"/>
        <family val="2"/>
        <charset val="238"/>
      </rPr>
      <t>T</t>
    </r>
    <r>
      <rPr>
        <sz val="10"/>
        <rFont val="Arial"/>
        <family val="2"/>
        <charset val="238"/>
      </rPr>
      <t>*h</t>
    </r>
    <r>
      <rPr>
        <vertAlign val="subscript"/>
        <sz val="10"/>
        <rFont val="Arial"/>
        <family val="2"/>
        <charset val="238"/>
      </rPr>
      <t>T</t>
    </r>
    <r>
      <rPr>
        <sz val="10"/>
        <rFont val="Arial"/>
        <family val="2"/>
        <charset val="238"/>
      </rPr>
      <t>+H</t>
    </r>
    <r>
      <rPr>
        <vertAlign val="subscript"/>
        <sz val="10"/>
        <rFont val="Arial"/>
        <family val="2"/>
        <charset val="238"/>
      </rPr>
      <t>G</t>
    </r>
    <r>
      <rPr>
        <sz val="10"/>
        <rFont val="Arial"/>
        <family val="2"/>
        <charset val="238"/>
      </rPr>
      <t>*h</t>
    </r>
    <r>
      <rPr>
        <vertAlign val="subscript"/>
        <sz val="10"/>
        <rFont val="Arial"/>
        <family val="2"/>
        <charset val="238"/>
      </rPr>
      <t>G</t>
    </r>
    <r>
      <rPr>
        <sz val="10"/>
        <rFont val="Arial"/>
        <family val="2"/>
        <charset val="238"/>
      </rPr>
      <t xml:space="preserve"> (D.5-18)</t>
    </r>
  </si>
  <si>
    <r>
      <t>M</t>
    </r>
    <r>
      <rPr>
        <vertAlign val="subscript"/>
        <sz val="10"/>
        <rFont val="Arial"/>
        <family val="2"/>
        <charset val="238"/>
      </rPr>
      <t>opp</t>
    </r>
  </si>
  <si>
    <r>
      <t>H</t>
    </r>
    <r>
      <rPr>
        <vertAlign val="subscript"/>
        <sz val="10"/>
        <rFont val="Arial"/>
        <family val="2"/>
        <charset val="238"/>
      </rPr>
      <t>Dp</t>
    </r>
    <r>
      <rPr>
        <sz val="10"/>
        <rFont val="Arial"/>
        <family val="2"/>
        <charset val="238"/>
      </rPr>
      <t>*h</t>
    </r>
    <r>
      <rPr>
        <vertAlign val="subscript"/>
        <sz val="10"/>
        <rFont val="Arial"/>
        <family val="2"/>
        <charset val="238"/>
      </rPr>
      <t>D</t>
    </r>
    <r>
      <rPr>
        <sz val="10"/>
        <rFont val="Arial"/>
        <family val="2"/>
        <charset val="238"/>
      </rPr>
      <t>+H</t>
    </r>
    <r>
      <rPr>
        <vertAlign val="subscript"/>
        <sz val="10"/>
        <rFont val="Arial"/>
        <family val="2"/>
        <charset val="238"/>
      </rPr>
      <t>Tp</t>
    </r>
    <r>
      <rPr>
        <sz val="10"/>
        <rFont val="Arial"/>
        <family val="2"/>
        <charset val="238"/>
      </rPr>
      <t>*h</t>
    </r>
    <r>
      <rPr>
        <vertAlign val="subscript"/>
        <sz val="10"/>
        <rFont val="Arial"/>
        <family val="2"/>
        <charset val="238"/>
      </rPr>
      <t>T</t>
    </r>
    <r>
      <rPr>
        <sz val="10"/>
        <rFont val="Arial"/>
        <family val="2"/>
        <charset val="238"/>
      </rPr>
      <t>+H</t>
    </r>
    <r>
      <rPr>
        <vertAlign val="subscript"/>
        <sz val="10"/>
        <rFont val="Arial"/>
        <family val="2"/>
        <charset val="238"/>
      </rPr>
      <t>Gp</t>
    </r>
    <r>
      <rPr>
        <sz val="10"/>
        <rFont val="Arial"/>
        <family val="2"/>
        <charset val="238"/>
      </rPr>
      <t>*h</t>
    </r>
    <r>
      <rPr>
        <vertAlign val="subscript"/>
        <sz val="10"/>
        <rFont val="Arial"/>
        <family val="2"/>
        <charset val="238"/>
      </rPr>
      <t>G</t>
    </r>
    <r>
      <rPr>
        <sz val="10"/>
        <rFont val="Arial"/>
        <family val="2"/>
        <charset val="238"/>
      </rPr>
      <t xml:space="preserve"> (D.5-18)</t>
    </r>
  </si>
  <si>
    <r>
      <t>(</t>
    </r>
    <r>
      <rPr>
        <sz val="10"/>
        <rFont val="GreekC"/>
        <charset val="238"/>
      </rPr>
      <t>P</t>
    </r>
    <r>
      <rPr>
        <sz val="10"/>
        <rFont val="Arial"/>
        <family val="2"/>
      </rPr>
      <t>*C)/n</t>
    </r>
    <r>
      <rPr>
        <vertAlign val="subscript"/>
        <sz val="10"/>
        <rFont val="Arial"/>
        <family val="2"/>
        <charset val="238"/>
      </rPr>
      <t>s</t>
    </r>
  </si>
  <si>
    <r>
      <t>C</t>
    </r>
    <r>
      <rPr>
        <vertAlign val="subscript"/>
        <sz val="10"/>
        <rFont val="Arial"/>
        <family val="2"/>
        <charset val="238"/>
      </rPr>
      <t>F1</t>
    </r>
  </si>
  <si>
    <r>
      <t>C</t>
    </r>
    <r>
      <rPr>
        <vertAlign val="subscript"/>
        <sz val="10"/>
        <rFont val="Arial"/>
        <family val="2"/>
        <charset val="238"/>
      </rPr>
      <t>F0</t>
    </r>
  </si>
  <si>
    <r>
      <t>C</t>
    </r>
    <r>
      <rPr>
        <vertAlign val="subscript"/>
        <sz val="10"/>
        <rFont val="Arial"/>
        <family val="2"/>
        <charset val="238"/>
      </rPr>
      <t>F</t>
    </r>
    <r>
      <rPr>
        <sz val="10"/>
        <rFont val="Arial"/>
        <family val="2"/>
      </rPr>
      <t xml:space="preserve"> </t>
    </r>
  </si>
  <si>
    <t>K</t>
  </si>
  <si>
    <r>
      <t>√(</t>
    </r>
    <r>
      <rPr>
        <sz val="10"/>
        <rFont val="GreekC"/>
        <charset val="238"/>
      </rPr>
      <t>d</t>
    </r>
    <r>
      <rPr>
        <vertAlign val="subscript"/>
        <sz val="10"/>
        <rFont val="Arial"/>
        <family val="2"/>
        <charset val="238"/>
      </rPr>
      <t>b</t>
    </r>
    <r>
      <rPr>
        <sz val="10"/>
        <rFont val="Arial"/>
        <family val="2"/>
      </rPr>
      <t>/{2*d</t>
    </r>
    <r>
      <rPr>
        <vertAlign val="subscript"/>
        <sz val="10"/>
        <rFont val="Arial"/>
        <family val="2"/>
        <charset val="238"/>
      </rPr>
      <t>b</t>
    </r>
    <r>
      <rPr>
        <sz val="10"/>
        <rFont val="Arial"/>
        <family val="2"/>
      </rPr>
      <t>+[6*e/(m+0,5)]}) (D.5-20)</t>
    </r>
  </si>
  <si>
    <t>(D.5-20)</t>
  </si>
  <si>
    <t>A/B (D.5-21)</t>
  </si>
  <si>
    <r>
      <t>√(B*g</t>
    </r>
    <r>
      <rPr>
        <vertAlign val="subscript"/>
        <sz val="10"/>
        <rFont val="Arial"/>
        <family val="2"/>
        <charset val="238"/>
      </rPr>
      <t>o</t>
    </r>
    <r>
      <rPr>
        <sz val="10"/>
        <rFont val="Arial"/>
        <family val="2"/>
      </rPr>
      <t>) (D.5-22)</t>
    </r>
  </si>
  <si>
    <r>
      <t>I</t>
    </r>
    <r>
      <rPr>
        <vertAlign val="subscript"/>
        <sz val="10"/>
        <rFont val="Arial"/>
        <family val="2"/>
        <charset val="238"/>
      </rPr>
      <t>0</t>
    </r>
  </si>
  <si>
    <r>
      <t>b</t>
    </r>
    <r>
      <rPr>
        <vertAlign val="subscript"/>
        <sz val="10"/>
        <rFont val="Arial"/>
        <family val="2"/>
        <charset val="238"/>
      </rPr>
      <t>T</t>
    </r>
  </si>
  <si>
    <r>
      <t>{K</t>
    </r>
    <r>
      <rPr>
        <vertAlign val="superscript"/>
        <sz val="10"/>
        <rFont val="Arial"/>
        <family val="2"/>
        <charset val="238"/>
      </rPr>
      <t>2</t>
    </r>
    <r>
      <rPr>
        <sz val="10"/>
        <rFont val="Arial"/>
        <family val="2"/>
      </rPr>
      <t>[1+8,55246*log(K)]-1}/[(1,0472+1,9448*K</t>
    </r>
    <r>
      <rPr>
        <vertAlign val="superscript"/>
        <sz val="10"/>
        <rFont val="Arial"/>
        <family val="2"/>
        <charset val="238"/>
      </rPr>
      <t>2</t>
    </r>
    <r>
      <rPr>
        <sz val="10"/>
        <rFont val="Arial"/>
        <family val="2"/>
      </rPr>
      <t>)*(K-1)] (D.5-23)</t>
    </r>
  </si>
  <si>
    <r>
      <t>b</t>
    </r>
    <r>
      <rPr>
        <vertAlign val="subscript"/>
        <sz val="10"/>
        <rFont val="Arial"/>
        <family val="2"/>
        <charset val="238"/>
      </rPr>
      <t>U</t>
    </r>
  </si>
  <si>
    <r>
      <t>{K</t>
    </r>
    <r>
      <rPr>
        <vertAlign val="superscript"/>
        <sz val="10"/>
        <rFont val="Arial"/>
        <family val="2"/>
        <charset val="238"/>
      </rPr>
      <t>2</t>
    </r>
    <r>
      <rPr>
        <sz val="10"/>
        <rFont val="Arial"/>
        <family val="2"/>
      </rPr>
      <t>[1+8,55246*log(K)]-1}/[1,36136*(K</t>
    </r>
    <r>
      <rPr>
        <vertAlign val="super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-1</t>
    </r>
    <r>
      <rPr>
        <sz val="10"/>
        <rFont val="Arial"/>
        <family val="2"/>
      </rPr>
      <t>)*(K-1)] (D.5-24)</t>
    </r>
  </si>
  <si>
    <r>
      <t>b</t>
    </r>
    <r>
      <rPr>
        <vertAlign val="subscript"/>
        <sz val="10"/>
        <rFont val="Arial"/>
        <family val="2"/>
        <charset val="238"/>
      </rPr>
      <t>Y</t>
    </r>
  </si>
  <si>
    <r>
      <t>M</t>
    </r>
    <r>
      <rPr>
        <vertAlign val="subscript"/>
        <sz val="10"/>
        <rFont val="Arial"/>
        <family val="2"/>
        <charset val="238"/>
      </rPr>
      <t>1</t>
    </r>
  </si>
  <si>
    <r>
      <t>M</t>
    </r>
    <r>
      <rPr>
        <vertAlign val="subscript"/>
        <sz val="10"/>
        <rFont val="Arial"/>
        <family val="2"/>
        <charset val="238"/>
      </rPr>
      <t>2</t>
    </r>
  </si>
  <si>
    <r>
      <t>M</t>
    </r>
    <r>
      <rPr>
        <vertAlign val="subscript"/>
        <sz val="10"/>
        <rFont val="Arial"/>
        <family val="2"/>
        <charset val="238"/>
      </rPr>
      <t>3</t>
    </r>
  </si>
  <si>
    <t>Moment dla stanu próby</t>
  </si>
  <si>
    <r>
      <t>b</t>
    </r>
    <r>
      <rPr>
        <vertAlign val="subscript"/>
        <sz val="10"/>
        <rFont val="Arial"/>
        <family val="2"/>
        <charset val="238"/>
      </rPr>
      <t>F</t>
    </r>
  </si>
  <si>
    <r>
      <t>b</t>
    </r>
    <r>
      <rPr>
        <vertAlign val="subscript"/>
        <sz val="10"/>
        <rFont val="Arial"/>
        <family val="2"/>
        <charset val="238"/>
      </rPr>
      <t>V</t>
    </r>
  </si>
  <si>
    <t>f</t>
  </si>
  <si>
    <r>
      <t>g</t>
    </r>
    <r>
      <rPr>
        <vertAlign val="subscript"/>
        <sz val="10"/>
        <rFont val="Arial"/>
        <family val="2"/>
        <charset val="238"/>
      </rPr>
      <t>1</t>
    </r>
    <r>
      <rPr>
        <sz val="10"/>
        <rFont val="Arial"/>
        <family val="2"/>
      </rPr>
      <t>/g</t>
    </r>
    <r>
      <rPr>
        <vertAlign val="subscript"/>
        <sz val="10"/>
        <rFont val="Arial"/>
        <family val="2"/>
        <charset val="238"/>
      </rPr>
      <t>0</t>
    </r>
  </si>
  <si>
    <r>
      <t>h/l</t>
    </r>
    <r>
      <rPr>
        <vertAlign val="subscript"/>
        <sz val="10"/>
        <rFont val="Arial"/>
        <family val="2"/>
        <charset val="238"/>
      </rPr>
      <t>0</t>
    </r>
  </si>
  <si>
    <t>l</t>
  </si>
  <si>
    <r>
      <t>s</t>
    </r>
    <r>
      <rPr>
        <vertAlign val="subscript"/>
        <sz val="10"/>
        <rFont val="Arial"/>
        <family val="2"/>
        <charset val="238"/>
      </rPr>
      <t>H</t>
    </r>
  </si>
  <si>
    <r>
      <t>[(e*</t>
    </r>
    <r>
      <rPr>
        <sz val="10"/>
        <rFont val="GreekC"/>
        <charset val="238"/>
      </rPr>
      <t>b</t>
    </r>
    <r>
      <rPr>
        <vertAlign val="subscript"/>
        <sz val="10"/>
        <rFont val="Arial"/>
        <family val="2"/>
        <charset val="238"/>
      </rPr>
      <t>F</t>
    </r>
    <r>
      <rPr>
        <sz val="10"/>
        <rFont val="Arial"/>
        <family val="2"/>
      </rPr>
      <t>+l</t>
    </r>
    <r>
      <rPr>
        <vertAlign val="subscript"/>
        <sz val="10"/>
        <rFont val="Arial"/>
        <family val="2"/>
        <charset val="238"/>
      </rPr>
      <t>0</t>
    </r>
    <r>
      <rPr>
        <sz val="10"/>
        <rFont val="Arial"/>
        <family val="2"/>
      </rPr>
      <t>)/(</t>
    </r>
    <r>
      <rPr>
        <sz val="10"/>
        <rFont val="GreekC"/>
        <charset val="238"/>
      </rPr>
      <t>b</t>
    </r>
    <r>
      <rPr>
        <vertAlign val="subscript"/>
        <sz val="10"/>
        <rFont val="Arial"/>
        <family val="2"/>
        <charset val="238"/>
      </rPr>
      <t>T</t>
    </r>
    <r>
      <rPr>
        <sz val="10"/>
        <rFont val="Arial"/>
        <family val="2"/>
      </rPr>
      <t>*l</t>
    </r>
    <r>
      <rPr>
        <vertAlign val="subscript"/>
        <sz val="10"/>
        <rFont val="Arial"/>
        <family val="2"/>
        <charset val="238"/>
      </rPr>
      <t>0</t>
    </r>
    <r>
      <rPr>
        <sz val="10"/>
        <rFont val="Arial"/>
        <family val="2"/>
      </rPr>
      <t>)]+[(e</t>
    </r>
    <r>
      <rPr>
        <vertAlign val="superscript"/>
        <sz val="10"/>
        <rFont val="Arial"/>
        <family val="2"/>
        <charset val="238"/>
      </rPr>
      <t>3</t>
    </r>
    <r>
      <rPr>
        <sz val="10"/>
        <rFont val="Arial"/>
        <family val="2"/>
      </rPr>
      <t>*</t>
    </r>
    <r>
      <rPr>
        <sz val="10"/>
        <rFont val="GreekC"/>
        <charset val="238"/>
      </rPr>
      <t>b</t>
    </r>
    <r>
      <rPr>
        <vertAlign val="subscript"/>
        <sz val="10"/>
        <rFont val="Arial"/>
        <family val="2"/>
        <charset val="238"/>
      </rPr>
      <t>v</t>
    </r>
    <r>
      <rPr>
        <sz val="10"/>
        <rFont val="Arial"/>
        <family val="2"/>
      </rPr>
      <t>)/(</t>
    </r>
    <r>
      <rPr>
        <sz val="10"/>
        <rFont val="GreekC"/>
        <charset val="238"/>
      </rPr>
      <t>b</t>
    </r>
    <r>
      <rPr>
        <vertAlign val="subscript"/>
        <sz val="10"/>
        <rFont val="Arial"/>
        <family val="2"/>
        <charset val="238"/>
      </rPr>
      <t>U</t>
    </r>
    <r>
      <rPr>
        <sz val="10"/>
        <rFont val="Arial"/>
        <family val="2"/>
      </rPr>
      <t>*l</t>
    </r>
    <r>
      <rPr>
        <vertAlign val="subscript"/>
        <sz val="10"/>
        <rFont val="Arial"/>
        <family val="2"/>
        <charset val="238"/>
      </rPr>
      <t>0</t>
    </r>
    <r>
      <rPr>
        <sz val="10"/>
        <rFont val="Arial"/>
        <family val="2"/>
      </rPr>
      <t>*g</t>
    </r>
    <r>
      <rPr>
        <vertAlign val="subscript"/>
        <sz val="10"/>
        <rFont val="Arial"/>
        <family val="2"/>
        <charset val="238"/>
      </rPr>
      <t>0</t>
    </r>
    <r>
      <rPr>
        <vertAlign val="superscript"/>
        <sz val="10"/>
        <rFont val="Arial"/>
        <family val="2"/>
        <charset val="238"/>
      </rPr>
      <t>2</t>
    </r>
    <r>
      <rPr>
        <sz val="10"/>
        <rFont val="Arial"/>
        <family val="2"/>
      </rPr>
      <t>)] (D.5-28)</t>
    </r>
  </si>
  <si>
    <r>
      <t>M</t>
    </r>
    <r>
      <rPr>
        <vertAlign val="subscript"/>
        <sz val="10"/>
        <rFont val="Arial"/>
        <family val="2"/>
        <charset val="238"/>
      </rPr>
      <t>A</t>
    </r>
    <r>
      <rPr>
        <sz val="10"/>
        <rFont val="Arial"/>
        <family val="2"/>
      </rPr>
      <t>*(C</t>
    </r>
    <r>
      <rPr>
        <vertAlign val="subscript"/>
        <sz val="10"/>
        <rFont val="Arial"/>
        <family val="2"/>
        <charset val="238"/>
      </rPr>
      <t>F</t>
    </r>
    <r>
      <rPr>
        <sz val="10"/>
        <rFont val="Arial"/>
        <family val="2"/>
      </rPr>
      <t>/B) (D.5-26)</t>
    </r>
  </si>
  <si>
    <r>
      <t>f</t>
    </r>
    <r>
      <rPr>
        <sz val="10"/>
        <rFont val="Arial"/>
        <family val="2"/>
      </rPr>
      <t>*M/(</t>
    </r>
    <r>
      <rPr>
        <sz val="10"/>
        <rFont val="GreekC"/>
        <charset val="238"/>
      </rPr>
      <t>l</t>
    </r>
    <r>
      <rPr>
        <sz val="10"/>
        <rFont val="Arial"/>
        <family val="2"/>
      </rPr>
      <t>*g</t>
    </r>
    <r>
      <rPr>
        <vertAlign val="subscript"/>
        <sz val="10"/>
        <rFont val="Arial"/>
        <family val="2"/>
        <charset val="238"/>
      </rPr>
      <t>1</t>
    </r>
    <r>
      <rPr>
        <vertAlign val="superscript"/>
        <sz val="10"/>
        <rFont val="Arial"/>
        <family val="2"/>
        <charset val="238"/>
      </rPr>
      <t>2</t>
    </r>
    <r>
      <rPr>
        <sz val="10"/>
        <rFont val="Arial"/>
        <family val="2"/>
      </rPr>
      <t>) (D.5-29)</t>
    </r>
  </si>
  <si>
    <r>
      <t>M</t>
    </r>
    <r>
      <rPr>
        <sz val="10"/>
        <rFont val="Arial"/>
        <family val="2"/>
      </rPr>
      <t/>
    </r>
  </si>
  <si>
    <r>
      <t>max (M</t>
    </r>
    <r>
      <rPr>
        <vertAlign val="subscript"/>
        <sz val="10"/>
        <rFont val="Arial"/>
        <family val="2"/>
        <charset val="238"/>
      </rPr>
      <t>1</t>
    </r>
    <r>
      <rPr>
        <sz val="10"/>
        <rFont val="Arial"/>
        <family val="2"/>
      </rPr>
      <t>;M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</rPr>
      <t>;M</t>
    </r>
    <r>
      <rPr>
        <vertAlign val="subscript"/>
        <sz val="10"/>
        <rFont val="Arial"/>
        <family val="2"/>
        <charset val="238"/>
      </rPr>
      <t>3</t>
    </r>
    <r>
      <rPr>
        <sz val="10"/>
        <rFont val="Arial"/>
        <family val="2"/>
      </rPr>
      <t>)</t>
    </r>
  </si>
  <si>
    <r>
      <t>(1,333*e*</t>
    </r>
    <r>
      <rPr>
        <sz val="10"/>
        <rFont val="GreekC"/>
        <charset val="238"/>
      </rPr>
      <t>b</t>
    </r>
    <r>
      <rPr>
        <vertAlign val="subscript"/>
        <sz val="10"/>
        <rFont val="Arial"/>
        <family val="2"/>
        <charset val="238"/>
      </rPr>
      <t>F</t>
    </r>
    <r>
      <rPr>
        <sz val="10"/>
        <rFont val="Arial"/>
        <family val="2"/>
      </rPr>
      <t>+l</t>
    </r>
    <r>
      <rPr>
        <vertAlign val="subscript"/>
        <sz val="10"/>
        <rFont val="Arial"/>
        <family val="2"/>
        <charset val="238"/>
      </rPr>
      <t>0</t>
    </r>
    <r>
      <rPr>
        <sz val="10"/>
        <rFont val="Arial"/>
        <family val="2"/>
      </rPr>
      <t>)*M/(</t>
    </r>
    <r>
      <rPr>
        <sz val="10"/>
        <rFont val="GreekC"/>
        <charset val="238"/>
      </rPr>
      <t>l</t>
    </r>
    <r>
      <rPr>
        <sz val="10"/>
        <rFont val="Arial"/>
        <family val="2"/>
      </rPr>
      <t>*e</t>
    </r>
    <r>
      <rPr>
        <vertAlign val="superscript"/>
        <sz val="10"/>
        <rFont val="Arial"/>
        <family val="2"/>
        <charset val="238"/>
      </rPr>
      <t>2</t>
    </r>
    <r>
      <rPr>
        <sz val="10"/>
        <rFont val="Arial"/>
        <family val="2"/>
      </rPr>
      <t>*l</t>
    </r>
    <r>
      <rPr>
        <vertAlign val="subscript"/>
        <sz val="10"/>
        <rFont val="Arial"/>
        <family val="2"/>
        <charset val="238"/>
      </rPr>
      <t>0</t>
    </r>
    <r>
      <rPr>
        <sz val="10"/>
        <rFont val="Arial"/>
        <family val="2"/>
      </rPr>
      <t>) (D.5-30)</t>
    </r>
  </si>
  <si>
    <r>
      <t>s</t>
    </r>
    <r>
      <rPr>
        <vertAlign val="subscript"/>
        <sz val="10"/>
        <rFont val="GreekC"/>
        <charset val="238"/>
      </rPr>
      <t>F</t>
    </r>
  </si>
  <si>
    <r>
      <t>(</t>
    </r>
    <r>
      <rPr>
        <sz val="10"/>
        <rFont val="GreekC"/>
        <charset val="238"/>
      </rPr>
      <t>b</t>
    </r>
    <r>
      <rPr>
        <vertAlign val="subscript"/>
        <sz val="10"/>
        <rFont val="Arial"/>
        <family val="2"/>
        <charset val="238"/>
      </rPr>
      <t>Y</t>
    </r>
    <r>
      <rPr>
        <sz val="10"/>
        <rFont val="Arial"/>
        <family val="2"/>
      </rPr>
      <t>*M/e</t>
    </r>
    <r>
      <rPr>
        <vertAlign val="superscript"/>
        <sz val="10"/>
        <rFont val="Arial"/>
        <family val="2"/>
        <charset val="238"/>
      </rPr>
      <t>2</t>
    </r>
    <r>
      <rPr>
        <sz val="10"/>
        <rFont val="Arial"/>
        <family val="2"/>
      </rPr>
      <t>)-[</t>
    </r>
    <r>
      <rPr>
        <sz val="10"/>
        <rFont val="GreekC"/>
        <charset val="238"/>
      </rPr>
      <t>s</t>
    </r>
    <r>
      <rPr>
        <vertAlign val="subscript"/>
        <sz val="10"/>
        <rFont val="Arial"/>
        <family val="2"/>
        <charset val="238"/>
      </rPr>
      <t>r</t>
    </r>
    <r>
      <rPr>
        <sz val="10"/>
        <rFont val="Arial"/>
        <family val="2"/>
      </rPr>
      <t>*(K</t>
    </r>
    <r>
      <rPr>
        <vertAlign val="superscript"/>
        <sz val="10"/>
        <rFont val="Arial"/>
        <family val="2"/>
        <charset val="238"/>
      </rPr>
      <t>2</t>
    </r>
    <r>
      <rPr>
        <sz val="10"/>
        <rFont val="Arial"/>
        <family val="2"/>
      </rPr>
      <t>+1)/(K</t>
    </r>
    <r>
      <rPr>
        <vertAlign val="superscript"/>
        <sz val="10"/>
        <rFont val="Arial"/>
        <family val="2"/>
        <charset val="238"/>
      </rPr>
      <t>2</t>
    </r>
    <r>
      <rPr>
        <sz val="10"/>
        <rFont val="Arial"/>
        <family val="2"/>
      </rPr>
      <t>-1)] (D.5-31)</t>
    </r>
  </si>
  <si>
    <r>
      <t>d</t>
    </r>
    <r>
      <rPr>
        <vertAlign val="subscript"/>
        <sz val="10"/>
        <rFont val="Arial"/>
        <family val="2"/>
        <charset val="238"/>
      </rPr>
      <t>bs</t>
    </r>
  </si>
  <si>
    <r>
      <t>(d</t>
    </r>
    <r>
      <rPr>
        <vertAlign val="subscript"/>
        <sz val="10"/>
        <rFont val="Arial"/>
        <family val="2"/>
        <charset val="238"/>
      </rPr>
      <t>b</t>
    </r>
    <r>
      <rPr>
        <sz val="10"/>
        <rFont val="Arial"/>
        <family val="2"/>
      </rPr>
      <t>+d</t>
    </r>
    <r>
      <rPr>
        <vertAlign val="subscript"/>
        <sz val="10"/>
        <rFont val="Arial"/>
        <family val="2"/>
        <charset val="238"/>
      </rPr>
      <t>bw</t>
    </r>
    <r>
      <rPr>
        <sz val="10"/>
        <rFont val="Arial"/>
        <family val="2"/>
      </rPr>
      <t>)/2</t>
    </r>
  </si>
  <si>
    <r>
      <t>P</t>
    </r>
    <r>
      <rPr>
        <sz val="10"/>
        <rFont val="Arial"/>
        <family val="2"/>
      </rPr>
      <t>*d</t>
    </r>
    <r>
      <rPr>
        <vertAlign val="subscript"/>
        <sz val="10"/>
        <rFont val="Arial"/>
        <family val="2"/>
        <charset val="238"/>
      </rPr>
      <t>bs</t>
    </r>
  </si>
  <si>
    <r>
      <t>o</t>
    </r>
    <r>
      <rPr>
        <vertAlign val="subscript"/>
        <sz val="10"/>
        <rFont val="Arial"/>
        <family val="2"/>
        <charset val="238"/>
      </rPr>
      <t>bs</t>
    </r>
  </si>
  <si>
    <r>
      <t>M</t>
    </r>
    <r>
      <rPr>
        <vertAlign val="subscript"/>
        <sz val="10"/>
        <rFont val="Arial"/>
        <family val="2"/>
        <charset val="238"/>
      </rPr>
      <t>op</t>
    </r>
    <r>
      <rPr>
        <sz val="10"/>
        <rFont val="Arial"/>
        <family val="2"/>
      </rPr>
      <t>*(C</t>
    </r>
    <r>
      <rPr>
        <vertAlign val="subscript"/>
        <sz val="10"/>
        <rFont val="Arial"/>
        <family val="2"/>
        <charset val="238"/>
      </rPr>
      <t>F</t>
    </r>
    <r>
      <rPr>
        <sz val="10"/>
        <rFont val="Arial"/>
        <family val="2"/>
      </rPr>
      <t>/B) (D.5-27)</t>
    </r>
  </si>
  <si>
    <r>
      <t>M</t>
    </r>
    <r>
      <rPr>
        <vertAlign val="subscript"/>
        <sz val="10"/>
        <rFont val="Arial"/>
        <family val="2"/>
        <charset val="238"/>
      </rPr>
      <t>opp</t>
    </r>
    <r>
      <rPr>
        <sz val="10"/>
        <rFont val="Arial"/>
        <family val="2"/>
      </rPr>
      <t>*(C</t>
    </r>
    <r>
      <rPr>
        <vertAlign val="subscript"/>
        <sz val="10"/>
        <rFont val="Arial"/>
        <family val="2"/>
        <charset val="238"/>
      </rPr>
      <t>F</t>
    </r>
    <r>
      <rPr>
        <sz val="10"/>
        <rFont val="Arial"/>
        <family val="2"/>
      </rPr>
      <t>/B) (D.5-27)</t>
    </r>
  </si>
  <si>
    <r>
      <t>f</t>
    </r>
    <r>
      <rPr>
        <vertAlign val="subscript"/>
        <sz val="10"/>
        <rFont val="Arial"/>
        <family val="2"/>
        <charset val="238"/>
      </rPr>
      <t>K,A</t>
    </r>
  </si>
  <si>
    <r>
      <t>f</t>
    </r>
    <r>
      <rPr>
        <vertAlign val="subscript"/>
        <sz val="10"/>
        <rFont val="Arial"/>
        <family val="2"/>
        <charset val="238"/>
      </rPr>
      <t>K</t>
    </r>
  </si>
  <si>
    <r>
      <t>c</t>
    </r>
    <r>
      <rPr>
        <vertAlign val="subscript"/>
        <sz val="10"/>
        <rFont val="Arial"/>
        <family val="2"/>
        <charset val="238"/>
      </rPr>
      <t>0</t>
    </r>
  </si>
  <si>
    <r>
      <t>g</t>
    </r>
    <r>
      <rPr>
        <vertAlign val="subscript"/>
        <sz val="10"/>
        <rFont val="Arial"/>
        <family val="2"/>
        <charset val="238"/>
      </rPr>
      <t>n</t>
    </r>
    <r>
      <rPr>
        <sz val="10"/>
        <rFont val="Arial"/>
        <family val="2"/>
      </rPr>
      <t>*(1-c</t>
    </r>
    <r>
      <rPr>
        <vertAlign val="subscript"/>
        <sz val="10"/>
        <rFont val="Arial"/>
        <family val="2"/>
        <charset val="238"/>
      </rPr>
      <t>1</t>
    </r>
    <r>
      <rPr>
        <sz val="10"/>
        <rFont val="Arial"/>
        <family val="2"/>
      </rPr>
      <t>/100)-c</t>
    </r>
    <r>
      <rPr>
        <vertAlign val="subscript"/>
        <sz val="10"/>
        <rFont val="Arial"/>
        <family val="2"/>
        <charset val="238"/>
      </rPr>
      <t>0</t>
    </r>
    <r>
      <rPr>
        <sz val="10"/>
        <rFont val="Arial"/>
        <family val="2"/>
        <charset val="238"/>
      </rPr>
      <t>-c</t>
    </r>
    <r>
      <rPr>
        <vertAlign val="subscript"/>
        <sz val="10"/>
        <rFont val="Arial"/>
        <family val="2"/>
        <charset val="238"/>
      </rPr>
      <t>2</t>
    </r>
  </si>
  <si>
    <r>
      <t>Dz-2*g</t>
    </r>
    <r>
      <rPr>
        <vertAlign val="subscript"/>
        <sz val="10"/>
        <rFont val="Arial"/>
        <family val="2"/>
        <charset val="238"/>
      </rPr>
      <t>0</t>
    </r>
  </si>
  <si>
    <t>Nmm</t>
  </si>
  <si>
    <t>Element</t>
  </si>
  <si>
    <r>
      <t>f</t>
    </r>
    <r>
      <rPr>
        <vertAlign val="subscript"/>
        <sz val="10"/>
        <rFont val="Arial"/>
        <family val="2"/>
        <charset val="238"/>
      </rPr>
      <t>KA</t>
    </r>
  </si>
  <si>
    <t>(5.2) / (D.4.3)</t>
  </si>
  <si>
    <r>
      <t>0,5*(A</t>
    </r>
    <r>
      <rPr>
        <vertAlign val="subscript"/>
        <sz val="10"/>
        <rFont val="Arial"/>
        <family val="2"/>
        <charset val="238"/>
      </rPr>
      <t>Bmin</t>
    </r>
    <r>
      <rPr>
        <sz val="10"/>
        <rFont val="Arial"/>
        <family val="2"/>
        <charset val="238"/>
      </rPr>
      <t>+A</t>
    </r>
    <r>
      <rPr>
        <vertAlign val="subscript"/>
        <sz val="10"/>
        <rFont val="Arial"/>
        <family val="2"/>
        <charset val="238"/>
      </rPr>
      <t>B</t>
    </r>
    <r>
      <rPr>
        <sz val="10"/>
        <rFont val="Arial"/>
        <family val="2"/>
        <charset val="238"/>
      </rPr>
      <t>)*f</t>
    </r>
    <r>
      <rPr>
        <vertAlign val="subscript"/>
        <sz val="10"/>
        <rFont val="Arial"/>
        <family val="2"/>
        <charset val="238"/>
      </rPr>
      <t>B,A</t>
    </r>
    <r>
      <rPr>
        <sz val="10"/>
        <rFont val="Arial"/>
        <family val="2"/>
        <charset val="238"/>
      </rPr>
      <t xml:space="preserve"> (D.5-16)</t>
    </r>
  </si>
  <si>
    <r>
      <t>(C-B-g</t>
    </r>
    <r>
      <rPr>
        <vertAlign val="subscript"/>
        <sz val="10"/>
        <rFont val="Arial"/>
        <family val="2"/>
        <charset val="238"/>
      </rPr>
      <t>1</t>
    </r>
    <r>
      <rPr>
        <sz val="10"/>
        <rFont val="Arial"/>
        <family val="2"/>
      </rPr>
      <t>)/2 (D.5-12)</t>
    </r>
  </si>
  <si>
    <r>
      <t>[1/(K-1)]*{0,66845+5,7169*[(K</t>
    </r>
    <r>
      <rPr>
        <vertAlign val="superscript"/>
        <sz val="10"/>
        <rFont val="Arial"/>
        <family val="2"/>
        <charset val="238"/>
      </rPr>
      <t>2</t>
    </r>
    <r>
      <rPr>
        <sz val="10"/>
        <rFont val="Arial"/>
        <family val="2"/>
      </rPr>
      <t>*log(K))/(k</t>
    </r>
    <r>
      <rPr>
        <vertAlign val="superscript"/>
        <sz val="10"/>
        <rFont val="Arial"/>
        <family val="2"/>
        <charset val="238"/>
      </rPr>
      <t>2</t>
    </r>
    <r>
      <rPr>
        <sz val="10"/>
        <rFont val="Arial"/>
        <family val="2"/>
      </rPr>
      <t>-1)]} (D.5-25)</t>
    </r>
  </si>
  <si>
    <r>
      <t>A</t>
    </r>
    <r>
      <rPr>
        <vertAlign val="subscript"/>
        <sz val="10"/>
        <rFont val="Arial"/>
        <family val="2"/>
        <charset val="238"/>
      </rPr>
      <t>Bmin</t>
    </r>
    <r>
      <rPr>
        <sz val="10"/>
        <rFont val="Arial"/>
        <family val="2"/>
      </rPr>
      <t>&lt;A</t>
    </r>
    <r>
      <rPr>
        <vertAlign val="subscript"/>
        <sz val="10"/>
        <rFont val="Arial"/>
        <family val="2"/>
        <charset val="238"/>
      </rPr>
      <t>B</t>
    </r>
  </si>
  <si>
    <r>
      <t>s</t>
    </r>
    <r>
      <rPr>
        <vertAlign val="subscript"/>
        <sz val="10"/>
        <rFont val="Arial"/>
        <family val="2"/>
        <charset val="238"/>
      </rPr>
      <t>H</t>
    </r>
    <r>
      <rPr>
        <sz val="10"/>
        <rFont val="Arial"/>
        <family val="2"/>
      </rPr>
      <t>&lt;f</t>
    </r>
    <r>
      <rPr>
        <vertAlign val="subscript"/>
        <sz val="10"/>
        <rFont val="Arial"/>
        <family val="2"/>
        <charset val="238"/>
      </rPr>
      <t>K,A</t>
    </r>
  </si>
  <si>
    <r>
      <t>s</t>
    </r>
    <r>
      <rPr>
        <vertAlign val="subscript"/>
        <sz val="10"/>
        <rFont val="GreekC"/>
        <charset val="238"/>
      </rPr>
      <t>F</t>
    </r>
    <r>
      <rPr>
        <sz val="10"/>
        <rFont val="Arial"/>
        <family val="2"/>
      </rPr>
      <t>&lt;f</t>
    </r>
    <r>
      <rPr>
        <vertAlign val="subscript"/>
        <sz val="10"/>
        <rFont val="Arial"/>
        <family val="2"/>
        <charset val="238"/>
      </rPr>
      <t>K,A</t>
    </r>
  </si>
  <si>
    <r>
      <t>s</t>
    </r>
    <r>
      <rPr>
        <vertAlign val="subscript"/>
        <sz val="10"/>
        <rFont val="Arial"/>
        <family val="2"/>
        <charset val="238"/>
      </rPr>
      <t>r</t>
    </r>
    <r>
      <rPr>
        <sz val="10"/>
        <rFont val="Arial"/>
        <family val="2"/>
      </rPr>
      <t>&lt;f</t>
    </r>
    <r>
      <rPr>
        <vertAlign val="subscript"/>
        <sz val="10"/>
        <rFont val="Arial"/>
        <family val="2"/>
        <charset val="238"/>
      </rPr>
      <t>K,A</t>
    </r>
  </si>
  <si>
    <t>(2C-B-G)/4 (D.5-15)</t>
  </si>
  <si>
    <r>
      <t>max (C</t>
    </r>
    <r>
      <rPr>
        <vertAlign val="subscript"/>
        <sz val="10"/>
        <rFont val="Arial"/>
        <family val="2"/>
        <charset val="238"/>
      </rPr>
      <t>F1</t>
    </r>
    <r>
      <rPr>
        <sz val="10"/>
        <rFont val="Arial"/>
        <family val="2"/>
      </rPr>
      <t>;C</t>
    </r>
    <r>
      <rPr>
        <vertAlign val="subscript"/>
        <sz val="10"/>
        <rFont val="Arial"/>
        <family val="2"/>
        <charset val="238"/>
      </rPr>
      <t>F0</t>
    </r>
    <r>
      <rPr>
        <sz val="10"/>
        <rFont val="Arial"/>
        <family val="2"/>
      </rPr>
      <t>) (D.5-20)</t>
    </r>
  </si>
  <si>
    <r>
      <t>(s</t>
    </r>
    <r>
      <rPr>
        <vertAlign val="subscript"/>
        <sz val="10"/>
        <rFont val="Arial"/>
        <family val="2"/>
        <charset val="238"/>
      </rPr>
      <t>g</t>
    </r>
    <r>
      <rPr>
        <sz val="10"/>
        <rFont val="Arial"/>
        <family val="2"/>
      </rPr>
      <t>*W</t>
    </r>
    <r>
      <rPr>
        <vertAlign val="subscript"/>
        <sz val="10"/>
        <rFont val="Arial"/>
        <family val="2"/>
        <charset val="238"/>
      </rPr>
      <t>A</t>
    </r>
    <r>
      <rPr>
        <sz val="10"/>
        <rFont val="Arial"/>
        <family val="2"/>
      </rPr>
      <t>/o</t>
    </r>
    <r>
      <rPr>
        <vertAlign val="subscript"/>
        <sz val="10"/>
        <rFont val="Arial"/>
        <family val="2"/>
        <charset val="238"/>
      </rPr>
      <t>bs</t>
    </r>
    <r>
      <rPr>
        <sz val="10"/>
        <rFont val="Arial"/>
        <family val="2"/>
        <charset val="238"/>
      </rPr>
      <t>)+W</t>
    </r>
    <r>
      <rPr>
        <vertAlign val="subscript"/>
        <sz val="10"/>
        <rFont val="Arial"/>
        <family val="2"/>
        <charset val="238"/>
      </rPr>
      <t>A</t>
    </r>
    <r>
      <rPr>
        <sz val="10"/>
        <rFont val="Arial"/>
        <family val="2"/>
        <charset val="238"/>
      </rPr>
      <t>*0,1</t>
    </r>
  </si>
  <si>
    <t xml:space="preserve"> </t>
  </si>
  <si>
    <t>Przeliczenia w zastępstwie odczytów z wykresu</t>
  </si>
  <si>
    <t>SIZE</t>
  </si>
  <si>
    <t>Type</t>
  </si>
  <si>
    <t>M6</t>
  </si>
  <si>
    <t>M8</t>
  </si>
  <si>
    <t>M10</t>
  </si>
  <si>
    <t>M12</t>
  </si>
  <si>
    <t>M14</t>
  </si>
  <si>
    <t>M16</t>
  </si>
  <si>
    <t>M18</t>
  </si>
  <si>
    <t>M20</t>
  </si>
  <si>
    <t>M22</t>
  </si>
  <si>
    <t>M24</t>
  </si>
  <si>
    <t>M27</t>
  </si>
  <si>
    <t>M30</t>
  </si>
  <si>
    <t>M33</t>
  </si>
  <si>
    <t>M36</t>
  </si>
  <si>
    <t>M39</t>
  </si>
  <si>
    <t>M42</t>
  </si>
  <si>
    <t>M45</t>
  </si>
  <si>
    <t>M48</t>
  </si>
  <si>
    <t>M52</t>
  </si>
  <si>
    <t>M56</t>
  </si>
  <si>
    <t>M60</t>
  </si>
  <si>
    <t>M64</t>
  </si>
  <si>
    <t>M68</t>
  </si>
  <si>
    <t>M72</t>
  </si>
  <si>
    <t>M76</t>
  </si>
  <si>
    <t>M80</t>
  </si>
  <si>
    <t>M90</t>
  </si>
  <si>
    <t>M100</t>
  </si>
  <si>
    <t>STANDARD</t>
  </si>
  <si>
    <t>CLASS</t>
  </si>
  <si>
    <t>DN</t>
  </si>
  <si>
    <t>Dzk</t>
  </si>
  <si>
    <t>D0</t>
  </si>
  <si>
    <t>N1</t>
  </si>
  <si>
    <t>Dz</t>
  </si>
  <si>
    <t>do</t>
  </si>
  <si>
    <t>Dzp</t>
  </si>
  <si>
    <t>dwu</t>
  </si>
  <si>
    <t>dzu</t>
  </si>
  <si>
    <t>Gu</t>
  </si>
  <si>
    <t>ls</t>
  </si>
  <si>
    <t>ns</t>
  </si>
  <si>
    <t>M</t>
  </si>
  <si>
    <t>TYPE OF GASKET</t>
  </si>
  <si>
    <t>Gasket material</t>
  </si>
  <si>
    <t>m</t>
  </si>
  <si>
    <t>EN</t>
  </si>
  <si>
    <t>PN6</t>
  </si>
  <si>
    <t>Rubber without fabric or high percentage of asbestos fibre</t>
  </si>
  <si>
    <t xml:space="preserve"> below 75 BS and IRH</t>
  </si>
  <si>
    <t>75 BS or higher</t>
  </si>
  <si>
    <t>Rubber with cotton fabric insertion</t>
  </si>
  <si>
    <t>Non asbestos fibre based sheet gasket</t>
  </si>
  <si>
    <t>thickness 2mm</t>
  </si>
  <si>
    <t>thickness 3mm</t>
  </si>
  <si>
    <t>PTFE  based sheet gasket</t>
  </si>
  <si>
    <t>graphite based sheet gasket</t>
  </si>
  <si>
    <t>Spiral-wound metal (external and internal ring)</t>
  </si>
  <si>
    <t xml:space="preserve">Standard with graphite filler </t>
  </si>
  <si>
    <t>Standard with PTFE filler</t>
  </si>
  <si>
    <t>Low Stress with graphite filler</t>
  </si>
  <si>
    <t>Grooved metal gasket</t>
  </si>
  <si>
    <t>Graphite facing</t>
  </si>
  <si>
    <t>Covered metal jacketed</t>
  </si>
  <si>
    <t>Corrugated metal or corrugated metal jacket</t>
  </si>
  <si>
    <t>Soft aluminium</t>
  </si>
  <si>
    <t>Soft Copper or brass</t>
  </si>
  <si>
    <t xml:space="preserve">Iron or soft steel </t>
  </si>
  <si>
    <t>Monel or (4 to 6) % chromium alloy steel</t>
  </si>
  <si>
    <t>Stainless steels</t>
  </si>
  <si>
    <t>Flat metal jacketed</t>
  </si>
  <si>
    <t>Monel</t>
  </si>
  <si>
    <t xml:space="preserve"> (4 to 6) % chromium alloy steel</t>
  </si>
  <si>
    <t>Corrugated metal</t>
  </si>
  <si>
    <t xml:space="preserve">Grooved metal </t>
  </si>
  <si>
    <t xml:space="preserve">Solid flat metal </t>
  </si>
  <si>
    <t>PN10</t>
  </si>
  <si>
    <t>Ring joint</t>
  </si>
  <si>
    <t xml:space="preserve">Rubber O-rings: </t>
  </si>
  <si>
    <t>Below 75 BS</t>
  </si>
  <si>
    <t>75 BS and 85 BS and higher</t>
  </si>
  <si>
    <t>Rubber square section rings</t>
  </si>
  <si>
    <t>Below 75 BS and IRH</t>
  </si>
  <si>
    <t>75 BS and 85 BS and IRH</t>
  </si>
  <si>
    <t>Rubber T-section rings</t>
  </si>
  <si>
    <t>75 and 85 BS and IRH</t>
  </si>
  <si>
    <t>PN16</t>
  </si>
  <si>
    <t>PN25</t>
  </si>
  <si>
    <t>PN40</t>
  </si>
  <si>
    <t>PN63</t>
  </si>
  <si>
    <t>PN100</t>
  </si>
  <si>
    <t>PN160</t>
  </si>
  <si>
    <t>PN250</t>
  </si>
  <si>
    <t>PN320</t>
  </si>
  <si>
    <t>Helper</t>
  </si>
  <si>
    <t>Helper:</t>
  </si>
  <si>
    <t>dbw</t>
  </si>
  <si>
    <t>sg</t>
  </si>
  <si>
    <t>dbr</t>
  </si>
  <si>
    <t>db</t>
  </si>
  <si>
    <t>M.U.</t>
  </si>
  <si>
    <t>R.F.</t>
  </si>
  <si>
    <t>J.S.</t>
  </si>
  <si>
    <r>
      <t>for b</t>
    </r>
    <r>
      <rPr>
        <vertAlign val="subscript"/>
        <sz val="10"/>
        <rFont val="Arial"/>
        <family val="2"/>
        <charset val="238"/>
      </rPr>
      <t>0</t>
    </r>
    <r>
      <rPr>
        <sz val="10"/>
        <rFont val="Arial"/>
        <family val="2"/>
      </rPr>
      <t>&lt;=6,3 (D.5-3); for b</t>
    </r>
    <r>
      <rPr>
        <vertAlign val="subscript"/>
        <sz val="10"/>
        <rFont val="Arial"/>
        <family val="2"/>
        <charset val="238"/>
      </rPr>
      <t>0</t>
    </r>
    <r>
      <rPr>
        <sz val="10"/>
        <rFont val="Arial"/>
        <family val="2"/>
      </rPr>
      <t>&gt;6,3 (D.5-4)</t>
    </r>
  </si>
  <si>
    <r>
      <t>for b</t>
    </r>
    <r>
      <rPr>
        <vertAlign val="subscript"/>
        <sz val="10"/>
        <rFont val="Arial"/>
        <family val="2"/>
        <charset val="238"/>
      </rPr>
      <t>0</t>
    </r>
    <r>
      <rPr>
        <sz val="10"/>
        <rFont val="Arial"/>
        <family val="2"/>
      </rPr>
      <t>&lt;=6,3 (d</t>
    </r>
    <r>
      <rPr>
        <vertAlign val="subscript"/>
        <sz val="10"/>
        <rFont val="Arial"/>
        <family val="2"/>
        <charset val="238"/>
      </rPr>
      <t>uz</t>
    </r>
    <r>
      <rPr>
        <sz val="10"/>
        <rFont val="Arial"/>
        <family val="2"/>
      </rPr>
      <t>+d</t>
    </r>
    <r>
      <rPr>
        <vertAlign val="subscript"/>
        <sz val="10"/>
        <rFont val="Arial"/>
        <family val="2"/>
        <charset val="238"/>
      </rPr>
      <t>uw</t>
    </r>
    <r>
      <rPr>
        <sz val="10"/>
        <rFont val="Arial"/>
        <family val="2"/>
      </rPr>
      <t>)/2; for b</t>
    </r>
    <r>
      <rPr>
        <vertAlign val="subscript"/>
        <sz val="10"/>
        <rFont val="Arial"/>
        <family val="2"/>
        <charset val="238"/>
      </rPr>
      <t>0</t>
    </r>
    <r>
      <rPr>
        <sz val="10"/>
        <rFont val="Arial"/>
        <family val="2"/>
      </rPr>
      <t>&gt;6,3 d</t>
    </r>
    <r>
      <rPr>
        <vertAlign val="subscript"/>
        <sz val="10"/>
        <rFont val="Arial"/>
        <family val="2"/>
        <charset val="238"/>
      </rPr>
      <t>uz</t>
    </r>
    <r>
      <rPr>
        <sz val="10"/>
        <rFont val="Arial"/>
        <family val="2"/>
      </rPr>
      <t>-2b</t>
    </r>
  </si>
  <si>
    <t>Table 7.2.4-1 of EN-13480-3</t>
  </si>
  <si>
    <t>figure A.5-4 of EN-13480-3</t>
  </si>
  <si>
    <t>figure A.5-5 of EN-13480-3</t>
  </si>
  <si>
    <t>figure A.5-6 of EN-13480-3</t>
  </si>
  <si>
    <r>
      <t>(S</t>
    </r>
    <r>
      <rPr>
        <vertAlign val="subscript"/>
        <sz val="10"/>
        <rFont val="Arial"/>
        <family val="2"/>
        <charset val="238"/>
      </rPr>
      <t>m1+</t>
    </r>
    <r>
      <rPr>
        <sz val="10"/>
        <rFont val="Arial"/>
        <family val="2"/>
        <charset val="238"/>
      </rPr>
      <t>T</t>
    </r>
    <r>
      <rPr>
        <vertAlign val="subscript"/>
        <sz val="10"/>
        <rFont val="Arial"/>
        <family val="2"/>
        <charset val="238"/>
      </rPr>
      <t>m</t>
    </r>
    <r>
      <rPr>
        <sz val="10"/>
        <rFont val="Arial"/>
        <family val="2"/>
        <charset val="238"/>
      </rPr>
      <t>)</t>
    </r>
    <r>
      <rPr>
        <sz val="10"/>
        <rFont val="Arial"/>
        <family val="2"/>
      </rPr>
      <t>*d</t>
    </r>
    <r>
      <rPr>
        <vertAlign val="subscript"/>
        <sz val="10"/>
        <rFont val="Arial"/>
        <family val="2"/>
        <charset val="238"/>
      </rPr>
      <t>bs</t>
    </r>
    <r>
      <rPr>
        <sz val="10"/>
        <rFont val="Arial"/>
        <family val="2"/>
      </rPr>
      <t>/(2*1000)</t>
    </r>
  </si>
  <si>
    <r>
      <t>T</t>
    </r>
    <r>
      <rPr>
        <vertAlign val="subscript"/>
        <sz val="10"/>
        <rFont val="Arial"/>
        <family val="2"/>
        <charset val="238"/>
      </rPr>
      <t>m1</t>
    </r>
  </si>
  <si>
    <r>
      <t>(0,1 * W</t>
    </r>
    <r>
      <rPr>
        <vertAlign val="subscript"/>
        <sz val="10"/>
        <rFont val="Arial"/>
        <family val="2"/>
        <charset val="238"/>
      </rPr>
      <t>A</t>
    </r>
    <r>
      <rPr>
        <sz val="10"/>
        <rFont val="Arial"/>
        <family val="2"/>
        <charset val="238"/>
      </rPr>
      <t xml:space="preserve"> )/n</t>
    </r>
    <r>
      <rPr>
        <vertAlign val="subscript"/>
        <sz val="10"/>
        <rFont val="Arial"/>
        <family val="2"/>
        <charset val="238"/>
      </rPr>
      <t>s</t>
    </r>
  </si>
  <si>
    <r>
      <t>S</t>
    </r>
    <r>
      <rPr>
        <vertAlign val="subscript"/>
        <sz val="10"/>
        <rFont val="Arial"/>
        <family val="2"/>
        <charset val="238"/>
      </rPr>
      <t xml:space="preserve">m + </t>
    </r>
    <r>
      <rPr>
        <sz val="10"/>
        <rFont val="Arial"/>
        <family val="2"/>
        <charset val="238"/>
      </rPr>
      <t>T</t>
    </r>
    <r>
      <rPr>
        <vertAlign val="subscript"/>
        <sz val="10"/>
        <rFont val="Arial"/>
        <family val="2"/>
        <charset val="238"/>
      </rPr>
      <t>m</t>
    </r>
  </si>
  <si>
    <t>TEMPERATURA</t>
  </si>
  <si>
    <t>MATERIAŁ</t>
  </si>
  <si>
    <t>A182 GR F304L</t>
  </si>
  <si>
    <t>A193 B7</t>
  </si>
  <si>
    <t>A194 2H</t>
  </si>
  <si>
    <t>A105</t>
  </si>
  <si>
    <t>X6CrNiMo17-12-2 - 1.4571</t>
  </si>
  <si>
    <t>A312 GR TP304L</t>
  </si>
  <si>
    <t>A213 TP 316</t>
  </si>
  <si>
    <t>A106</t>
  </si>
  <si>
    <t>X5CrNi18-10 / 1.4301</t>
  </si>
  <si>
    <t>X2CrNiMo17-12-2 / 1.4404</t>
  </si>
  <si>
    <t>P265GH / 1.0425</t>
  </si>
  <si>
    <t>A2-50</t>
  </si>
  <si>
    <t>A4-50</t>
  </si>
  <si>
    <t>A2-70</t>
  </si>
  <si>
    <t>X2CrNi18-9 / 1.4307</t>
  </si>
  <si>
    <t>P235GH / 1.0345</t>
  </si>
  <si>
    <t>X6CrNiTi8-10 / 1.4541</t>
  </si>
  <si>
    <t>13CrMo4-5 / 1.7335</t>
  </si>
  <si>
    <t>X2CrNi19-11 / 1.4306</t>
  </si>
  <si>
    <t>21CrMoV5-7 / 1.7709</t>
  </si>
  <si>
    <t>X6NiCrTiMoVB25-15-2 / 1.4980</t>
  </si>
  <si>
    <t>P420QH / 1.8936</t>
  </si>
  <si>
    <t>P355QH1 / 1.0571</t>
  </si>
  <si>
    <t xml:space="preserve"> C45E / 1.1191</t>
  </si>
  <si>
    <t>KOD</t>
  </si>
  <si>
    <t>Rm</t>
  </si>
  <si>
    <t>Re</t>
  </si>
  <si>
    <t>Ret</t>
  </si>
  <si>
    <t>Temperature</t>
  </si>
  <si>
    <t>sruba</t>
  </si>
  <si>
    <t>1.4401</t>
  </si>
  <si>
    <t>510</t>
  </si>
  <si>
    <t>WYDŁUŻENIE</t>
  </si>
  <si>
    <t>M40</t>
  </si>
  <si>
    <t>1.7225</t>
  </si>
  <si>
    <t>WZÓR (ODNOŚNIK)</t>
  </si>
  <si>
    <t>OPIS</t>
  </si>
  <si>
    <t>MIANO</t>
  </si>
  <si>
    <t>Rew.</t>
  </si>
  <si>
    <t>ZNAK</t>
  </si>
  <si>
    <t>WARTOŚĆ</t>
  </si>
  <si>
    <t>L.P.</t>
  </si>
  <si>
    <t>F-RR-021rewA02</t>
  </si>
  <si>
    <t>SPRAWDZENIE WYTRZYMAŁOŚCI KOŁNIERZA WG EN-13480/3.</t>
  </si>
  <si>
    <t>NR PROJEKTU</t>
  </si>
  <si>
    <t>NR DOKUMENTU</t>
  </si>
  <si>
    <t>PARAMETRY OBLICZENIOWE:</t>
  </si>
  <si>
    <t>MATERIAŁY</t>
  </si>
  <si>
    <t>Materiał</t>
  </si>
  <si>
    <t>Struktura materiału</t>
  </si>
  <si>
    <t xml:space="preserve">Granica plastyczności </t>
  </si>
  <si>
    <t>Wytrzymałość na rozciąganie</t>
  </si>
  <si>
    <t>Granica splastyczności w TS</t>
  </si>
  <si>
    <t>Wytrzymałość na rozciąganie TS</t>
  </si>
  <si>
    <r>
      <t xml:space="preserve"> </t>
    </r>
    <r>
      <rPr>
        <sz val="10"/>
        <rFont val="Arial"/>
        <family val="2"/>
        <charset val="238"/>
      </rPr>
      <t>(5.2.1-1)(5.2.2-1) montaż</t>
    </r>
  </si>
  <si>
    <t>(5.2.1-1)(5.2.2-1) montaż</t>
  </si>
  <si>
    <t>(5.2.1-1)(5.2.2-1) obliczeniowe</t>
  </si>
  <si>
    <t>Napr. dopuszcz. montażu</t>
  </si>
  <si>
    <t>Napr. dopuszcz. obliczeniowe</t>
  </si>
  <si>
    <t>1-nie austeniteniytczna; 2-austenitenit. A&gt;35%; 3-austenit. 35%&gt;A&gt;30%</t>
  </si>
  <si>
    <t>KRYZA</t>
  </si>
  <si>
    <t>SZYJKA</t>
  </si>
  <si>
    <t>ŚRUBA</t>
  </si>
  <si>
    <t>NAZWA</t>
  </si>
  <si>
    <t>DANE GEOMETRYCZNE POŁĄCZENIA KOŁNIERZOWEGO (D.5.1)</t>
  </si>
  <si>
    <t>Typ kołnierza</t>
  </si>
  <si>
    <t>Średnica zewnętrzna kryzy</t>
  </si>
  <si>
    <t>Średnica wewnętrzna kołnierza</t>
  </si>
  <si>
    <t>Średnica podz. otw. śrub</t>
  </si>
  <si>
    <t xml:space="preserve">Średnica maksymalna szyjki </t>
  </si>
  <si>
    <t>Średnica minimalna szyjki</t>
  </si>
  <si>
    <t>Średnica otw. pod śruby</t>
  </si>
  <si>
    <t>Średnica przylgi zewnętrzna</t>
  </si>
  <si>
    <t>Średnica uszczelki wewnętrzna</t>
  </si>
  <si>
    <t>Średnica uszczelki zewnętrzna</t>
  </si>
  <si>
    <t>Grubość kryzy</t>
  </si>
  <si>
    <t>Grubość nominalna szyjki</t>
  </si>
  <si>
    <t>Grubość minimalna szyjki</t>
  </si>
  <si>
    <t>Grubość maksymalna szyjki</t>
  </si>
  <si>
    <t>Grubość nominalna uszczelki</t>
  </si>
  <si>
    <t>Długość szyjki kołnierza</t>
  </si>
  <si>
    <t>Liczba śrub</t>
  </si>
  <si>
    <t>Arkusz</t>
  </si>
  <si>
    <t>Nazw.</t>
  </si>
  <si>
    <t>Data</t>
  </si>
  <si>
    <t>Opis zmiany</t>
  </si>
  <si>
    <t>Wykonał</t>
  </si>
  <si>
    <t>Sprawdził</t>
  </si>
  <si>
    <t>Zatwierdził</t>
  </si>
  <si>
    <t>Strona</t>
  </si>
  <si>
    <t>Stron</t>
  </si>
  <si>
    <t>Rewizja</t>
  </si>
  <si>
    <t>Podpis</t>
  </si>
  <si>
    <t>TYP ŚRUBY</t>
  </si>
  <si>
    <t>MATERIAŁ ŚRUBY</t>
  </si>
  <si>
    <t>DANE GEOMERTYCZNE ŚRUBY</t>
  </si>
  <si>
    <t>Średnica zewnętrzna gwintu</t>
  </si>
  <si>
    <t>Średnica wewnętrzna gwintu</t>
  </si>
  <si>
    <t>Skok gwintu</t>
  </si>
  <si>
    <t>Średnica rdzenia śruby</t>
  </si>
  <si>
    <t>szerokość styku uszczelki</t>
  </si>
  <si>
    <t>szer. nominalna uszczelnienia</t>
  </si>
  <si>
    <t>szer. czynna uszcz.</t>
  </si>
  <si>
    <r>
      <t>Średnica działania siły H</t>
    </r>
    <r>
      <rPr>
        <vertAlign val="subscript"/>
        <sz val="10"/>
        <rFont val="Arial"/>
        <family val="2"/>
        <charset val="238"/>
      </rPr>
      <t>G</t>
    </r>
  </si>
  <si>
    <t>Całk. siła hydrostatyczna</t>
  </si>
  <si>
    <t>Całk. siła hydrostatyczna próby</t>
  </si>
  <si>
    <t>Wsp. Uszczelki</t>
  </si>
  <si>
    <t>Siła gwarantująca szczelność</t>
  </si>
  <si>
    <t>Siła gwarantująca szczelność próby</t>
  </si>
  <si>
    <t>Naciąg śrub montażowy</t>
  </si>
  <si>
    <t>Naciąg śrub roboczy</t>
  </si>
  <si>
    <t>Naciąg śrub roboczy próby</t>
  </si>
  <si>
    <t>Pow. rdzeni śrub</t>
  </si>
  <si>
    <t>Rzeczywista pow. śrub</t>
  </si>
  <si>
    <t>Siła hydrosta. od powłoki</t>
  </si>
  <si>
    <t>Siła hydrost. od powłoki, próby</t>
  </si>
  <si>
    <t>Siła hydrost. na pow. uszczeln.</t>
  </si>
  <si>
    <t>Siła hyd. na pow. uszczeln. próby</t>
  </si>
  <si>
    <r>
      <t>Ramie działania siły H</t>
    </r>
    <r>
      <rPr>
        <vertAlign val="subscript"/>
        <sz val="10"/>
        <rFont val="Arial"/>
        <family val="2"/>
        <charset val="238"/>
      </rPr>
      <t>D</t>
    </r>
  </si>
  <si>
    <r>
      <t>Ramie działania siły H</t>
    </r>
    <r>
      <rPr>
        <vertAlign val="subscript"/>
        <sz val="10"/>
        <rFont val="Arial"/>
        <family val="2"/>
        <charset val="238"/>
      </rPr>
      <t>G</t>
    </r>
  </si>
  <si>
    <r>
      <t>Ramie działania siły H</t>
    </r>
    <r>
      <rPr>
        <vertAlign val="subscript"/>
        <sz val="10"/>
        <rFont val="Arial"/>
        <family val="2"/>
        <charset val="238"/>
      </rPr>
      <t>T</t>
    </r>
  </si>
  <si>
    <t>Naciąg śrub dla montażu</t>
  </si>
  <si>
    <t>Moment w stanie montażu</t>
  </si>
  <si>
    <t>Moment w stanie roboczym</t>
  </si>
  <si>
    <t>Moment w stanie próby</t>
  </si>
  <si>
    <t>Odległość między śrubami</t>
  </si>
  <si>
    <t>Wsp. korekcyjny podziałki otworów</t>
  </si>
  <si>
    <t>Wsp.</t>
  </si>
  <si>
    <t>Parametr długości</t>
  </si>
  <si>
    <t>NAPRĘŻENIA W KOŁNIERZU I WARTOŚCI GRANICZNE NAPRĘŻEŃ (D.5.4)</t>
  </si>
  <si>
    <t>MOMENTY DZIAŁAJĄCE NA KOŁNIERZE (D.5.3)</t>
  </si>
  <si>
    <t>NACIĄGI I POLA POWIERZCHNI ŚRUB (D.5.2)</t>
  </si>
  <si>
    <t>Moment dla stanu montażu</t>
  </si>
  <si>
    <t>Moment dla stanu roboczego</t>
  </si>
  <si>
    <t>Moment do obliczeń</t>
  </si>
  <si>
    <t>Wartość do wykresu</t>
  </si>
  <si>
    <t>Wartość z wykresu</t>
  </si>
  <si>
    <t>Naprężenia wzdłużne w szyjce</t>
  </si>
  <si>
    <t>Napr. promieniowe w kołnierzu</t>
  </si>
  <si>
    <t>Napr. styczne w kołnierzu</t>
  </si>
  <si>
    <t>OBLICZENIE MOMENTU DOKRĘCANIA ŚRUBY</t>
  </si>
  <si>
    <t>Średnica średnia gwintu</t>
  </si>
  <si>
    <t>Obwód średni gwintu</t>
  </si>
  <si>
    <t>Siła dokręcania śrub</t>
  </si>
  <si>
    <t>Siła dokręcania jednej śruby</t>
  </si>
  <si>
    <t>Moment dokręcania śruby</t>
  </si>
  <si>
    <t>Siła tarcia śruby</t>
  </si>
  <si>
    <t>PODSUMOWANIE</t>
  </si>
  <si>
    <t>Minimalna powierz. rdzenia śruby</t>
  </si>
  <si>
    <t>EN-10028-3 / PN-EN 10269</t>
  </si>
  <si>
    <t>Brak danych</t>
  </si>
  <si>
    <t>800</t>
  </si>
  <si>
    <t>1.4401 - ŚRUBA</t>
  </si>
  <si>
    <t>1.4401 - KRYZA</t>
  </si>
  <si>
    <t>A182 - KRYZA</t>
  </si>
  <si>
    <t>A193 - KRYZA</t>
  </si>
  <si>
    <t>A194 - KRYZA</t>
  </si>
  <si>
    <t>A105 - KRYZA</t>
  </si>
  <si>
    <t>1.4571 - KRYZA</t>
  </si>
  <si>
    <t>A312 - KRYZA</t>
  </si>
  <si>
    <t>A213 - KRYZA</t>
  </si>
  <si>
    <t>A106 - KRYZA</t>
  </si>
  <si>
    <t>1.4301 - KRYZA</t>
  </si>
  <si>
    <t>1.4404 - KRYZA</t>
  </si>
  <si>
    <t>1.0425 - KRYZA</t>
  </si>
  <si>
    <t>A2-50 - KRYZA</t>
  </si>
  <si>
    <t>A4-50 - KRYZA</t>
  </si>
  <si>
    <t>A2-70 - KRYZA</t>
  </si>
  <si>
    <t>1.4307 - KRYZA</t>
  </si>
  <si>
    <t>1.0345 - KRYZA</t>
  </si>
  <si>
    <t>1.4541 - KRYZA</t>
  </si>
  <si>
    <t>1.7335 - KRYZA</t>
  </si>
  <si>
    <t>1.4306 - KRYZA</t>
  </si>
  <si>
    <t>1.7709 - KRYZA</t>
  </si>
  <si>
    <t>1.4980 - KRYZA</t>
  </si>
  <si>
    <t>1.8936 - KRYZA</t>
  </si>
  <si>
    <t>1.0571 - KRYZA</t>
  </si>
  <si>
    <t>1.1191 - KRYZA</t>
  </si>
  <si>
    <t>1.7225 - KRYZA</t>
  </si>
  <si>
    <t>A182 - ŚRUBA</t>
  </si>
  <si>
    <t>A193 - ŚRUBA</t>
  </si>
  <si>
    <t>A194 - ŚRUBA</t>
  </si>
  <si>
    <t>A105 - ŚRUBA</t>
  </si>
  <si>
    <t>1.4571 - ŚRUBA</t>
  </si>
  <si>
    <t>A312 - ŚRUBA</t>
  </si>
  <si>
    <t>A213 - ŚRUBA</t>
  </si>
  <si>
    <t>A106 - ŚRUBA</t>
  </si>
  <si>
    <t>1.4301 - ŚRUBA</t>
  </si>
  <si>
    <t>1.4404 - ŚRUBA</t>
  </si>
  <si>
    <t>1.0425 - ŚRUBA</t>
  </si>
  <si>
    <t>A2-50 - ŚRUBA</t>
  </si>
  <si>
    <t>A4-50 - ŚRUBA</t>
  </si>
  <si>
    <t>A2-70 - ŚRUBA</t>
  </si>
  <si>
    <t>1.4307 - ŚRUBA</t>
  </si>
  <si>
    <t>1.0345 - ŚRUBA</t>
  </si>
  <si>
    <t>1.4541 - ŚRUBA</t>
  </si>
  <si>
    <t>1.7335 - ŚRUBA</t>
  </si>
  <si>
    <t>1.4306 - ŚRUBA</t>
  </si>
  <si>
    <t>1.7709 - ŚRUBA</t>
  </si>
  <si>
    <t>1.4980 - ŚRUBA</t>
  </si>
  <si>
    <t>1.8936 - ŚRUBA</t>
  </si>
  <si>
    <t>1.0571 - ŚRUBA</t>
  </si>
  <si>
    <t>1.1191 - ŚRUBA</t>
  </si>
  <si>
    <t>1.7225 - ŚRUBA</t>
  </si>
  <si>
    <t>SCV 200015</t>
  </si>
  <si>
    <t>00</t>
  </si>
  <si>
    <t>KOŁNIERZ SZYJKOWY TYP 11 PN100-DN400, EN 1092-1</t>
  </si>
  <si>
    <t>USZCZELKA SPIRALNA PN100-DN400, PN-EN 1514-2</t>
  </si>
  <si>
    <t>1.8936</t>
  </si>
  <si>
    <t>1.1191</t>
  </si>
  <si>
    <t>NG-52-00130_5</t>
  </si>
  <si>
    <t xml:space="preserve">Notes:
</t>
  </si>
  <si>
    <r>
      <t>R</t>
    </r>
    <r>
      <rPr>
        <vertAlign val="subscript"/>
        <sz val="10"/>
        <rFont val="Arial"/>
        <family val="2"/>
        <charset val="238"/>
      </rPr>
      <t>et</t>
    </r>
  </si>
  <si>
    <t>Temperatura projektowa</t>
  </si>
  <si>
    <t>Ciśnienie projektowe</t>
  </si>
  <si>
    <t>Ciśnienie próby</t>
  </si>
  <si>
    <t>Naddatek na korozje</t>
  </si>
  <si>
    <t>Naddatek projektowy</t>
  </si>
  <si>
    <t>Tolerancja metalurgiczna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</si>
</sst>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.0"/>
    <numFmt numFmtId="165" formatCode="0.0000"/>
    <numFmt numFmtId="166" formatCode="0.000"/>
    <numFmt numFmtId="167" formatCode="0.00000"/>
    <numFmt numFmtId="168" formatCode="0.000000000000"/>
    <numFmt numFmtId="169" formatCode="0.00000000000000000000000000"/>
  </numFmts>
  <fonts count="15">
    <font>
      <sz val="10"/>
      <name val="Arial"/>
      <charset val="238"/>
    </font>
    <font>
      <sz val="10"/>
      <name val="Arial"/>
      <family val="2"/>
    </font>
    <font>
      <vertAlign val="superscript"/>
      <sz val="10"/>
      <name val="Arial"/>
      <family val="2"/>
      <charset val="238"/>
    </font>
    <font>
      <sz val="8"/>
      <name val="Arial"/>
      <family val="2"/>
      <charset val="238"/>
    </font>
    <font>
      <vertAlign val="subscript"/>
      <sz val="10"/>
      <name val="Arial"/>
      <family val="2"/>
      <charset val="238"/>
    </font>
    <font>
      <sz val="10"/>
      <name val="GreekC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vertAlign val="subscript"/>
      <sz val="10"/>
      <name val="GreekC"/>
      <charset val="238"/>
    </font>
    <font>
      <b/>
      <sz val="11"/>
      <color theme="1"/>
      <name val="Calibri"/>
      <family val="2"/>
      <charset val="238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Arial"/>
      <charset val="238"/>
    </font>
  </fonts>
  <fills count="10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9" xfId="0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/>
    <xf numFmtId="0" fontId="0" fillId="0" borderId="0" xfId="0" applyAlignment="1">
      <alignment horizontal="left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Border="1"/>
    <xf numFmtId="0" fontId="0" fillId="0" borderId="2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/>
    <xf numFmtId="0" fontId="0" fillId="0" borderId="11" xfId="0" applyBorder="1" applyAlignment="1">
      <alignment horizontal="center"/>
    </xf>
    <xf numFmtId="0" fontId="0" fillId="0" borderId="0" xfId="0" applyBorder="1" applyAlignment="1"/>
    <xf numFmtId="0" fontId="0" fillId="0" borderId="0" xfId="0" applyFill="1"/>
    <xf numFmtId="0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Alignment="1">
      <alignment vertical="center"/>
    </xf>
    <xf numFmtId="0" fontId="0" fillId="0" borderId="23" xfId="0" applyBorder="1"/>
    <xf numFmtId="0" fontId="0" fillId="0" borderId="0" xfId="0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/>
    <xf numFmtId="1" fontId="0" fillId="0" borderId="1" xfId="0" applyNumberFormat="1" applyBorder="1" applyAlignment="1">
      <alignment horizontal="center"/>
    </xf>
    <xf numFmtId="0" fontId="0" fillId="0" borderId="21" xfId="0" applyBorder="1" applyAlignment="1">
      <alignment vertical="center" wrapText="1"/>
    </xf>
    <xf numFmtId="0" fontId="5" fillId="0" borderId="21" xfId="0" applyFont="1" applyBorder="1" applyAlignment="1">
      <alignment horizontal="center" vertical="center"/>
    </xf>
    <xf numFmtId="2" fontId="0" fillId="0" borderId="12" xfId="0" applyNumberForma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49" fontId="0" fillId="0" borderId="0" xfId="0" applyNumberFormat="1" applyBorder="1" applyAlignment="1"/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/>
    <xf numFmtId="0" fontId="0" fillId="0" borderId="7" xfId="0" applyBorder="1" applyAlignment="1"/>
    <xf numFmtId="2" fontId="1" fillId="0" borderId="0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4" xfId="0" applyBorder="1"/>
    <xf numFmtId="2" fontId="1" fillId="0" borderId="0" xfId="0" applyNumberFormat="1" applyFont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0" fillId="0" borderId="17" xfId="0" applyBorder="1"/>
    <xf numFmtId="49" fontId="0" fillId="0" borderId="17" xfId="0" applyNumberFormat="1" applyBorder="1" applyAlignment="1"/>
    <xf numFmtId="0" fontId="0" fillId="0" borderId="27" xfId="0" applyBorder="1"/>
    <xf numFmtId="0" fontId="0" fillId="0" borderId="28" xfId="0" applyBorder="1"/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27" xfId="0" applyBorder="1" applyAlignment="1"/>
    <xf numFmtId="0" fontId="0" fillId="0" borderId="0" xfId="0" applyFill="1" applyBorder="1"/>
    <xf numFmtId="0" fontId="0" fillId="0" borderId="25" xfId="0" applyFill="1" applyBorder="1" applyAlignment="1">
      <alignment horizontal="center" vertical="center"/>
    </xf>
    <xf numFmtId="0" fontId="0" fillId="0" borderId="28" xfId="0" applyBorder="1" applyAlignment="1"/>
    <xf numFmtId="1" fontId="0" fillId="0" borderId="1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2" fontId="0" fillId="0" borderId="14" xfId="0" applyNumberFormat="1" applyFill="1" applyBorder="1" applyAlignment="1"/>
    <xf numFmtId="0" fontId="6" fillId="0" borderId="27" xfId="0" applyFont="1" applyBorder="1"/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8" fontId="0" fillId="0" borderId="8" xfId="0" applyNumberFormat="1" applyBorder="1"/>
    <xf numFmtId="0" fontId="0" fillId="0" borderId="7" xfId="0" applyBorder="1"/>
    <xf numFmtId="0" fontId="0" fillId="0" borderId="16" xfId="0" applyBorder="1"/>
    <xf numFmtId="0" fontId="0" fillId="0" borderId="18" xfId="0" applyBorder="1"/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64" xfId="0" applyFill="1" applyBorder="1" applyAlignment="1">
      <alignment horizontal="center" vertical="center"/>
    </xf>
    <xf numFmtId="0" fontId="0" fillId="6" borderId="65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5" borderId="64" xfId="0" applyFill="1" applyBorder="1" applyAlignment="1">
      <alignment horizontal="center" vertical="center"/>
    </xf>
    <xf numFmtId="0" fontId="0" fillId="5" borderId="6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5" borderId="62" xfId="0" applyFill="1" applyBorder="1" applyAlignment="1">
      <alignment horizontal="center" vertical="center"/>
    </xf>
    <xf numFmtId="0" fontId="0" fillId="6" borderId="6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2" fontId="0" fillId="0" borderId="1" xfId="0" applyNumberFormat="1" applyBorder="1" applyAlignment="1">
      <alignment vertical="center"/>
    </xf>
    <xf numFmtId="0" fontId="0" fillId="3" borderId="34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1" fontId="0" fillId="3" borderId="21" xfId="0" applyNumberFormat="1" applyFill="1" applyBorder="1" applyAlignment="1">
      <alignment vertical="center"/>
    </xf>
    <xf numFmtId="0" fontId="0" fillId="3" borderId="1" xfId="0" applyFill="1" applyBorder="1" applyAlignment="1"/>
    <xf numFmtId="166" fontId="0" fillId="0" borderId="1" xfId="0" applyNumberForma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/>
    </xf>
    <xf numFmtId="2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wrapText="1"/>
    </xf>
    <xf numFmtId="0" fontId="6" fillId="0" borderId="1" xfId="0" applyFont="1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1" fontId="0" fillId="0" borderId="32" xfId="0" applyNumberFormat="1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 vertical="justify"/>
    </xf>
    <xf numFmtId="0" fontId="0" fillId="0" borderId="0" xfId="0" applyFill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" xfId="0" applyFill="1" applyBorder="1"/>
    <xf numFmtId="0" fontId="0" fillId="0" borderId="22" xfId="0" applyFill="1" applyBorder="1" applyAlignment="1">
      <alignment horizontal="center"/>
    </xf>
    <xf numFmtId="0" fontId="0" fillId="0" borderId="21" xfId="0" applyFill="1" applyBorder="1"/>
    <xf numFmtId="0" fontId="0" fillId="0" borderId="11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5" xfId="0" applyFill="1" applyBorder="1"/>
    <xf numFmtId="0" fontId="0" fillId="0" borderId="6" xfId="0" applyFill="1" applyBorder="1"/>
    <xf numFmtId="0" fontId="0" fillId="0" borderId="1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9" xfId="0" applyFill="1" applyBorder="1"/>
    <xf numFmtId="0" fontId="0" fillId="0" borderId="24" xfId="0" applyFill="1" applyBorder="1" applyAlignment="1">
      <alignment horizontal="center" vertical="justify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17" xfId="0" applyFill="1" applyBorder="1" applyAlignment="1">
      <alignment horizontal="center"/>
    </xf>
    <xf numFmtId="0" fontId="0" fillId="0" borderId="17" xfId="0" applyFill="1" applyBorder="1" applyAlignment="1"/>
    <xf numFmtId="164" fontId="0" fillId="0" borderId="17" xfId="0" applyNumberForma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33" xfId="0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/>
    </xf>
    <xf numFmtId="0" fontId="0" fillId="0" borderId="3" xfId="0" applyFill="1" applyBorder="1" applyAlignment="1">
      <alignment horizontal="center" vertical="justify"/>
    </xf>
    <xf numFmtId="2" fontId="5" fillId="0" borderId="12" xfId="0" applyNumberFormat="1" applyFont="1" applyFill="1" applyBorder="1" applyAlignment="1">
      <alignment horizontal="center"/>
    </xf>
    <xf numFmtId="0" fontId="0" fillId="0" borderId="13" xfId="0" applyFill="1" applyBorder="1" applyAlignment="1">
      <alignment horizontal="center" vertical="justify"/>
    </xf>
    <xf numFmtId="0" fontId="5" fillId="0" borderId="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/>
    </xf>
    <xf numFmtId="0" fontId="0" fillId="0" borderId="14" xfId="0" applyFill="1" applyBorder="1" applyAlignment="1"/>
    <xf numFmtId="49" fontId="0" fillId="0" borderId="14" xfId="0" applyNumberFormat="1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7" xfId="0" applyFill="1" applyBorder="1" applyAlignment="1"/>
    <xf numFmtId="0" fontId="0" fillId="0" borderId="16" xfId="0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 applyAlignment="1"/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3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7" borderId="1" xfId="0" applyFont="1" applyFill="1" applyBorder="1" applyAlignment="1">
      <alignment horizontal="center" vertical="center"/>
    </xf>
    <xf numFmtId="1" fontId="10" fillId="7" borderId="1" xfId="0" applyNumberFormat="1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34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9" borderId="68" xfId="0" applyFill="1" applyBorder="1" applyAlignment="1">
      <alignment horizontal="center" vertical="center"/>
    </xf>
    <xf numFmtId="0" fontId="0" fillId="9" borderId="69" xfId="0" applyFill="1" applyBorder="1" applyAlignment="1">
      <alignment horizontal="center" vertical="center"/>
    </xf>
    <xf numFmtId="1" fontId="0" fillId="3" borderId="21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7" xfId="0" applyFill="1" applyBorder="1"/>
    <xf numFmtId="0" fontId="0" fillId="0" borderId="30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7" fontId="0" fillId="0" borderId="32" xfId="0" quotePrefix="1" applyNumberFormat="1" applyBorder="1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49" fontId="6" fillId="0" borderId="32" xfId="0" applyNumberFormat="1" applyFont="1" applyBorder="1" applyAlignment="1">
      <alignment horizontal="center" vertical="center"/>
    </xf>
    <xf numFmtId="0" fontId="11" fillId="8" borderId="70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1" fillId="0" borderId="0" xfId="0" applyFont="1"/>
    <xf numFmtId="17" fontId="6" fillId="0" borderId="32" xfId="0" quotePrefix="1" applyNumberFormat="1" applyFont="1" applyBorder="1" applyAlignment="1">
      <alignment horizontal="center" vertical="center"/>
    </xf>
    <xf numFmtId="17" fontId="1" fillId="0" borderId="0" xfId="0" quotePrefix="1" applyNumberFormat="1" applyFon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6" fillId="0" borderId="32" xfId="0" quotePrefix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2" xfId="0" quotePrefix="1" applyBorder="1" applyAlignment="1">
      <alignment horizontal="center" vertical="center"/>
    </xf>
    <xf numFmtId="0" fontId="1" fillId="0" borderId="34" xfId="0" applyFont="1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36" xfId="0" applyBorder="1" applyAlignment="1">
      <alignment horizontal="center" wrapText="1"/>
    </xf>
    <xf numFmtId="0" fontId="0" fillId="0" borderId="37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38" xfId="0" applyBorder="1" applyAlignment="1">
      <alignment horizontal="center" wrapText="1"/>
    </xf>
    <xf numFmtId="0" fontId="0" fillId="0" borderId="39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0" fontId="0" fillId="0" borderId="1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 textRotation="90"/>
    </xf>
    <xf numFmtId="0" fontId="0" fillId="0" borderId="41" xfId="0" applyBorder="1" applyAlignment="1">
      <alignment horizontal="center" vertical="center" textRotation="90"/>
    </xf>
    <xf numFmtId="0" fontId="0" fillId="0" borderId="31" xfId="0" applyBorder="1" applyAlignment="1">
      <alignment horizontal="center" vertical="center" textRotation="90"/>
    </xf>
    <xf numFmtId="0" fontId="7" fillId="0" borderId="33" xfId="0" applyFont="1" applyBorder="1" applyAlignment="1">
      <alignment horizontal="center" textRotation="90"/>
    </xf>
    <xf numFmtId="0" fontId="0" fillId="0" borderId="41" xfId="0" applyBorder="1" applyAlignment="1">
      <alignment horizontal="center" textRotation="90"/>
    </xf>
    <xf numFmtId="0" fontId="0" fillId="0" borderId="7" xfId="0" applyBorder="1" applyAlignment="1">
      <alignment horizontal="center" textRotation="90"/>
    </xf>
    <xf numFmtId="0" fontId="0" fillId="0" borderId="31" xfId="0" applyBorder="1" applyAlignment="1">
      <alignment horizontal="center" textRotation="90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2" fontId="0" fillId="0" borderId="2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6" fontId="0" fillId="0" borderId="1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45" xfId="0" applyFill="1" applyBorder="1" applyAlignment="1">
      <alignment horizontal="center"/>
    </xf>
    <xf numFmtId="0" fontId="0" fillId="0" borderId="46" xfId="0" applyFill="1" applyBorder="1" applyAlignment="1">
      <alignment horizontal="center"/>
    </xf>
    <xf numFmtId="14" fontId="0" fillId="0" borderId="42" xfId="0" applyNumberFormat="1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2" fontId="0" fillId="0" borderId="21" xfId="0" applyNumberFormat="1" applyFill="1" applyBorder="1" applyAlignment="1">
      <alignment horizontal="center" vertical="center"/>
    </xf>
    <xf numFmtId="1" fontId="0" fillId="0" borderId="21" xfId="0" applyNumberFormat="1" applyFill="1" applyBorder="1" applyAlignment="1">
      <alignment horizontal="center" vertical="center"/>
    </xf>
    <xf numFmtId="0" fontId="0" fillId="0" borderId="34" xfId="0" applyFill="1" applyBorder="1" applyAlignment="1">
      <alignment horizontal="center"/>
    </xf>
    <xf numFmtId="0" fontId="0" fillId="0" borderId="55" xfId="0" applyFill="1" applyBorder="1" applyAlignment="1">
      <alignment horizontal="center"/>
    </xf>
    <xf numFmtId="0" fontId="0" fillId="0" borderId="5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49" fontId="0" fillId="0" borderId="42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49" fontId="0" fillId="0" borderId="43" xfId="0" applyNumberForma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6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2" fontId="0" fillId="0" borderId="21" xfId="0" applyNumberForma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0" borderId="51" xfId="0" applyFont="1" applyFill="1" applyBorder="1" applyAlignment="1">
      <alignment horizontal="center" vertical="center" wrapText="1"/>
    </xf>
    <xf numFmtId="0" fontId="6" fillId="0" borderId="52" xfId="0" applyFont="1" applyFill="1" applyBorder="1" applyAlignment="1">
      <alignment horizontal="center" vertical="center" wrapText="1"/>
    </xf>
    <xf numFmtId="0" fontId="6" fillId="0" borderId="53" xfId="0" applyFont="1" applyFill="1" applyBorder="1" applyAlignment="1">
      <alignment horizontal="center" vertical="center" wrapText="1"/>
    </xf>
    <xf numFmtId="0" fontId="6" fillId="0" borderId="34" xfId="0" applyFont="1" applyFill="1" applyBorder="1" applyAlignment="1">
      <alignment horizontal="center"/>
    </xf>
    <xf numFmtId="2" fontId="0" fillId="0" borderId="34" xfId="0" applyNumberFormat="1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0" fontId="6" fillId="0" borderId="54" xfId="0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49" fontId="1" fillId="0" borderId="16" xfId="0" applyNumberFormat="1" applyFont="1" applyFill="1" applyBorder="1" applyAlignment="1">
      <alignment horizontal="center"/>
    </xf>
    <xf numFmtId="49" fontId="0" fillId="0" borderId="17" xfId="0" applyNumberFormat="1" applyFill="1" applyBorder="1" applyAlignment="1">
      <alignment horizontal="center"/>
    </xf>
    <xf numFmtId="49" fontId="0" fillId="0" borderId="18" xfId="0" applyNumberFormat="1" applyFill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4" xfId="0" applyFill="1" applyBorder="1" applyAlignment="1">
      <alignment horizontal="center"/>
    </xf>
    <xf numFmtId="1" fontId="0" fillId="0" borderId="54" xfId="0" applyNumberFormat="1" applyFill="1" applyBorder="1" applyAlignment="1">
      <alignment horizontal="center"/>
    </xf>
    <xf numFmtId="1" fontId="0" fillId="0" borderId="20" xfId="0" applyNumberFormat="1" applyFill="1" applyBorder="1" applyAlignment="1">
      <alignment horizontal="center"/>
    </xf>
    <xf numFmtId="2" fontId="0" fillId="0" borderId="36" xfId="0" applyNumberFormat="1" applyFill="1" applyBorder="1" applyAlignment="1">
      <alignment horizontal="center"/>
    </xf>
    <xf numFmtId="2" fontId="0" fillId="0" borderId="26" xfId="0" applyNumberFormat="1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29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25" xfId="0" applyNumberFormat="1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5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34" xfId="0" applyFont="1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169" fontId="0" fillId="0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2" fontId="6" fillId="0" borderId="12" xfId="0" applyNumberFormat="1" applyFon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2" xfId="0" applyFill="1" applyBorder="1" applyAlignment="1">
      <alignment horizontal="center"/>
    </xf>
    <xf numFmtId="49" fontId="0" fillId="0" borderId="42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43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49" fontId="1" fillId="0" borderId="1" xfId="0" applyNumberFormat="1" applyFont="1" applyBorder="1" applyAlignment="1">
      <alignment horizontal="center" wrapText="1"/>
    </xf>
    <xf numFmtId="0" fontId="0" fillId="0" borderId="1" xfId="0" applyNumberFormat="1" applyBorder="1" applyAlignment="1">
      <alignment horizontal="center" wrapText="1"/>
    </xf>
    <xf numFmtId="0" fontId="0" fillId="0" borderId="2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6" fillId="0" borderId="36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4" xfId="0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20" xfId="0" applyBorder="1" applyAlignment="1">
      <alignment horizontal="center"/>
    </xf>
    <xf numFmtId="49" fontId="0" fillId="0" borderId="54" xfId="0" applyNumberFormat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49" fontId="0" fillId="0" borderId="20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22" xfId="0" applyBorder="1" applyAlignment="1">
      <alignment horizontal="center"/>
    </xf>
    <xf numFmtId="0" fontId="6" fillId="0" borderId="0" xfId="0" applyFont="1" applyBorder="1" applyAlignment="1">
      <alignment horizontal="center"/>
    </xf>
    <xf numFmtId="14" fontId="0" fillId="0" borderId="42" xfId="0" applyNumberFormat="1" applyBorder="1" applyAlignment="1">
      <alignment horizontal="center"/>
    </xf>
    <xf numFmtId="0" fontId="0" fillId="0" borderId="61" xfId="0" applyBorder="1" applyAlignment="1">
      <alignment horizontal="center" textRotation="90"/>
    </xf>
    <xf numFmtId="0" fontId="6" fillId="0" borderId="19" xfId="0" applyFont="1" applyBorder="1" applyAlignment="1">
      <alignment horizontal="left" vertical="top" wrapText="1"/>
    </xf>
    <xf numFmtId="0" fontId="0" fillId="0" borderId="14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2" fontId="0" fillId="0" borderId="54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6" xfId="0" applyFill="1" applyBorder="1" applyAlignment="1">
      <alignment horizontal="center" vertical="center"/>
    </xf>
    <xf numFmtId="0" fontId="0" fillId="5" borderId="67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5" borderId="62" xfId="0" applyFill="1" applyBorder="1" applyAlignment="1">
      <alignment horizontal="center" vertical="center"/>
    </xf>
    <xf numFmtId="0" fontId="0" fillId="5" borderId="64" xfId="0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6" borderId="62" xfId="0" applyFill="1" applyBorder="1" applyAlignment="1">
      <alignment horizontal="center" vertical="center"/>
    </xf>
    <xf numFmtId="0" fontId="0" fillId="6" borderId="64" xfId="0" applyFill="1" applyBorder="1" applyAlignment="1">
      <alignment horizontal="center" vertical="center"/>
    </xf>
  </cellXfs>
  <cellStyles count="1">
    <cellStyle name="Normal" xfId="0" builtinId="0"/>
  </cellStyles>
  <dxfs count="15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thin">
          <color rgb="FF000000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</dxfs>
  <tableStyles count="1" defaultTableStyle="TableStyleMedium9" defaultPivotStyle="PivotStyleLight16">
    <tableStyle name="TableStyleQueryResult" pivot="0" count="3" xr9:uid="{DA3F5E63-437C-4935-AFDA-0B0071EEAFBF}">
      <tableStyleElement type="wholeTable" dxfId="156"/>
      <tableStyleElement type="headerRow" dxfId="155"/>
      <tableStyleElement type="firstRowStripe" dxfId="15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390525</xdr:colOff>
      <xdr:row>1</xdr:row>
      <xdr:rowOff>114300</xdr:rowOff>
    </xdr:from>
    <xdr:to>
      <xdr:col>4</xdr:col>
      <xdr:colOff>104775</xdr:colOff>
      <xdr:row>4</xdr:row>
      <xdr:rowOff>66675</xdr:rowOff>
    </xdr:to>
    <xdr:pic>
      <xdr:nvPicPr>
        <xdr:cNvPr id="1065" name="Picture 11" descr="LOGOBW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85750"/>
          <a:ext cx="7143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51</xdr:row>
          <xdr:rowOff>19050</xdr:rowOff>
        </xdr:from>
        <xdr:to>
          <xdr:col>13</xdr:col>
          <xdr:colOff>609600</xdr:colOff>
          <xdr:row>73</xdr:row>
          <xdr:rowOff>114300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361950</xdr:colOff>
      <xdr:row>1</xdr:row>
      <xdr:rowOff>76200</xdr:rowOff>
    </xdr:from>
    <xdr:to>
      <xdr:col>4</xdr:col>
      <xdr:colOff>76200</xdr:colOff>
      <xdr:row>4</xdr:row>
      <xdr:rowOff>0</xdr:rowOff>
    </xdr:to>
    <xdr:pic>
      <xdr:nvPicPr>
        <xdr:cNvPr id="4133" name="Picture 9" descr="LOGOBW">
          <a:extLst>
            <a:ext uri="{FF2B5EF4-FFF2-40B4-BE49-F238E27FC236}">
              <a16:creationId xmlns:a16="http://schemas.microsoft.com/office/drawing/2014/main" id="{00000000-0008-0000-0100-0000251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247650"/>
          <a:ext cx="7143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15</xdr:row>
          <xdr:rowOff>57150</xdr:rowOff>
        </xdr:from>
        <xdr:to>
          <xdr:col>11</xdr:col>
          <xdr:colOff>171450</xdr:colOff>
          <xdr:row>23</xdr:row>
          <xdr:rowOff>152400</xdr:rowOff>
        </xdr:to>
        <xdr:sp macro="" textlink="">
          <xdr:nvSpPr>
            <xdr:cNvPr id="4111" name="Object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1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80</xdr:row>
      <xdr:rowOff>0</xdr:rowOff>
    </xdr:from>
    <xdr:to>
      <xdr:col>13</xdr:col>
      <xdr:colOff>0</xdr:colOff>
      <xdr:row>80</xdr:row>
      <xdr:rowOff>0</xdr:rowOff>
    </xdr:to>
    <xdr:sp macro="" textlink="">
      <xdr:nvSpPr>
        <xdr:cNvPr id="5304" name="Line 5">
          <a:extLst>
            <a:ext uri="{FF2B5EF4-FFF2-40B4-BE49-F238E27FC236}">
              <a16:creationId xmlns:a16="http://schemas.microsoft.com/office/drawing/2014/main" id="{00000000-0008-0000-0200-0000B8140000}"/>
            </a:ext>
          </a:extLst>
        </xdr:cNvPr>
        <xdr:cNvSpPr>
          <a:spLocks noChangeShapeType="1"/>
        </xdr:cNvSpPr>
      </xdr:nvSpPr>
      <xdr:spPr bwMode="auto">
        <a:xfrm flipH="1" flipV="1">
          <a:off x="7067550" y="14601825"/>
          <a:ext cx="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323850</xdr:colOff>
      <xdr:row>80</xdr:row>
      <xdr:rowOff>0</xdr:rowOff>
    </xdr:from>
    <xdr:to>
      <xdr:col>10</xdr:col>
      <xdr:colOff>323850</xdr:colOff>
      <xdr:row>80</xdr:row>
      <xdr:rowOff>0</xdr:rowOff>
    </xdr:to>
    <xdr:sp macro="" textlink="">
      <xdr:nvSpPr>
        <xdr:cNvPr id="5305" name="Line 7">
          <a:extLst>
            <a:ext uri="{FF2B5EF4-FFF2-40B4-BE49-F238E27FC236}">
              <a16:creationId xmlns:a16="http://schemas.microsoft.com/office/drawing/2014/main" id="{00000000-0008-0000-0200-0000B9140000}"/>
            </a:ext>
          </a:extLst>
        </xdr:cNvPr>
        <xdr:cNvSpPr>
          <a:spLocks noChangeShapeType="1"/>
        </xdr:cNvSpPr>
      </xdr:nvSpPr>
      <xdr:spPr bwMode="auto">
        <a:xfrm>
          <a:off x="5638800" y="14601825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1</xdr:row>
      <xdr:rowOff>66675</xdr:rowOff>
    </xdr:from>
    <xdr:to>
      <xdr:col>4</xdr:col>
      <xdr:colOff>171450</xdr:colOff>
      <xdr:row>3</xdr:row>
      <xdr:rowOff>228600</xdr:rowOff>
    </xdr:to>
    <xdr:pic>
      <xdr:nvPicPr>
        <xdr:cNvPr id="5306" name="Picture 9" descr="LOGOBW">
          <a:extLst>
            <a:ext uri="{FF2B5EF4-FFF2-40B4-BE49-F238E27FC236}">
              <a16:creationId xmlns:a16="http://schemas.microsoft.com/office/drawing/2014/main" id="{00000000-0008-0000-0200-0000BA1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38125"/>
          <a:ext cx="7143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36</xdr:row>
      <xdr:rowOff>9525</xdr:rowOff>
    </xdr:from>
    <xdr:to>
      <xdr:col>11</xdr:col>
      <xdr:colOff>9525</xdr:colOff>
      <xdr:row>36</xdr:row>
      <xdr:rowOff>19050</xdr:rowOff>
    </xdr:to>
    <xdr:sp macro="" textlink="">
      <xdr:nvSpPr>
        <xdr:cNvPr id="5307" name="Line 11">
          <a:extLst>
            <a:ext uri="{FF2B5EF4-FFF2-40B4-BE49-F238E27FC236}">
              <a16:creationId xmlns:a16="http://schemas.microsoft.com/office/drawing/2014/main" id="{00000000-0008-0000-0200-0000BB140000}"/>
            </a:ext>
          </a:extLst>
        </xdr:cNvPr>
        <xdr:cNvSpPr>
          <a:spLocks noChangeShapeType="1"/>
        </xdr:cNvSpPr>
      </xdr:nvSpPr>
      <xdr:spPr bwMode="auto">
        <a:xfrm flipV="1">
          <a:off x="2343150" y="6981825"/>
          <a:ext cx="3381375" cy="95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32</xdr:row>
      <xdr:rowOff>152400</xdr:rowOff>
    </xdr:from>
    <xdr:to>
      <xdr:col>11</xdr:col>
      <xdr:colOff>0</xdr:colOff>
      <xdr:row>36</xdr:row>
      <xdr:rowOff>19050</xdr:rowOff>
    </xdr:to>
    <xdr:sp macro="" textlink="">
      <xdr:nvSpPr>
        <xdr:cNvPr id="5308" name="Line 12">
          <a:extLst>
            <a:ext uri="{FF2B5EF4-FFF2-40B4-BE49-F238E27FC236}">
              <a16:creationId xmlns:a16="http://schemas.microsoft.com/office/drawing/2014/main" id="{00000000-0008-0000-0200-0000BC140000}"/>
            </a:ext>
          </a:extLst>
        </xdr:cNvPr>
        <xdr:cNvSpPr>
          <a:spLocks noChangeShapeType="1"/>
        </xdr:cNvSpPr>
      </xdr:nvSpPr>
      <xdr:spPr bwMode="auto">
        <a:xfrm flipH="1" flipV="1">
          <a:off x="5715000" y="6400800"/>
          <a:ext cx="0" cy="59055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19050</xdr:colOff>
      <xdr:row>32</xdr:row>
      <xdr:rowOff>152400</xdr:rowOff>
    </xdr:from>
    <xdr:to>
      <xdr:col>11</xdr:col>
      <xdr:colOff>0</xdr:colOff>
      <xdr:row>36</xdr:row>
      <xdr:rowOff>19050</xdr:rowOff>
    </xdr:to>
    <xdr:sp macro="" textlink="">
      <xdr:nvSpPr>
        <xdr:cNvPr id="5309" name="Line 13">
          <a:extLst>
            <a:ext uri="{FF2B5EF4-FFF2-40B4-BE49-F238E27FC236}">
              <a16:creationId xmlns:a16="http://schemas.microsoft.com/office/drawing/2014/main" id="{00000000-0008-0000-0200-0000BD140000}"/>
            </a:ext>
          </a:extLst>
        </xdr:cNvPr>
        <xdr:cNvSpPr>
          <a:spLocks noChangeShapeType="1"/>
        </xdr:cNvSpPr>
      </xdr:nvSpPr>
      <xdr:spPr bwMode="auto">
        <a:xfrm flipV="1">
          <a:off x="2343150" y="6400800"/>
          <a:ext cx="3371850" cy="59055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219075</xdr:colOff>
      <xdr:row>33</xdr:row>
      <xdr:rowOff>114300</xdr:rowOff>
    </xdr:from>
    <xdr:to>
      <xdr:col>9</xdr:col>
      <xdr:colOff>85725</xdr:colOff>
      <xdr:row>33</xdr:row>
      <xdr:rowOff>114300</xdr:rowOff>
    </xdr:to>
    <xdr:sp macro="" textlink="">
      <xdr:nvSpPr>
        <xdr:cNvPr id="5310" name="Line 14">
          <a:extLst>
            <a:ext uri="{FF2B5EF4-FFF2-40B4-BE49-F238E27FC236}">
              <a16:creationId xmlns:a16="http://schemas.microsoft.com/office/drawing/2014/main" id="{00000000-0008-0000-0200-0000BE140000}"/>
            </a:ext>
          </a:extLst>
        </xdr:cNvPr>
        <xdr:cNvSpPr>
          <a:spLocks noChangeShapeType="1"/>
        </xdr:cNvSpPr>
      </xdr:nvSpPr>
      <xdr:spPr bwMode="auto">
        <a:xfrm>
          <a:off x="4067175" y="6562725"/>
          <a:ext cx="600075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104775</xdr:colOff>
      <xdr:row>28</xdr:row>
      <xdr:rowOff>76200</xdr:rowOff>
    </xdr:from>
    <xdr:to>
      <xdr:col>9</xdr:col>
      <xdr:colOff>104775</xdr:colOff>
      <xdr:row>33</xdr:row>
      <xdr:rowOff>114300</xdr:rowOff>
    </xdr:to>
    <xdr:sp macro="" textlink="">
      <xdr:nvSpPr>
        <xdr:cNvPr id="5311" name="Line 15">
          <a:extLst>
            <a:ext uri="{FF2B5EF4-FFF2-40B4-BE49-F238E27FC236}">
              <a16:creationId xmlns:a16="http://schemas.microsoft.com/office/drawing/2014/main" id="{00000000-0008-0000-0200-0000BF140000}"/>
            </a:ext>
          </a:extLst>
        </xdr:cNvPr>
        <xdr:cNvSpPr>
          <a:spLocks noChangeShapeType="1"/>
        </xdr:cNvSpPr>
      </xdr:nvSpPr>
      <xdr:spPr bwMode="auto">
        <a:xfrm>
          <a:off x="4686300" y="5629275"/>
          <a:ext cx="0" cy="93345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30" totalsRowShown="0" headerRowDxfId="153" headerRowBorderDxfId="152" tableBorderDxfId="151" totalsRowBorderDxfId="150">
  <autoFilter ref="A1:F30" xr:uid="{00000000-0009-0000-0100-000001000000}"/>
  <tableColumns count="6">
    <tableColumn id="1" xr3:uid="{00000000-0010-0000-0000-000001000000}" name="SIZE" dataDxfId="149"/>
    <tableColumn id="6" xr3:uid="{00000000-0010-0000-0000-000006000000}" name="Type" dataDxfId="148">
      <calculatedColumnFormula>Table1[[#This Row],[SIZE]]&amp;"x"&amp;Table1[[#This Row],[sg]]</calculatedColumnFormula>
    </tableColumn>
    <tableColumn id="2" xr3:uid="{00000000-0010-0000-0000-000002000000}" name="db" dataDxfId="147"/>
    <tableColumn id="3" xr3:uid="{00000000-0010-0000-0000-000003000000}" name="dbw" dataDxfId="146"/>
    <tableColumn id="4" xr3:uid="{00000000-0010-0000-0000-000004000000}" name="sg" dataDxfId="145"/>
    <tableColumn id="5" xr3:uid="{00000000-0010-0000-0000-000005000000}" name="dbr" dataDxfId="14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8A8A65-C087-4E7D-BBE1-B6CC4811D225}" name="Table106" displayName="Table106" ref="B4:AB7" totalsRowShown="0" headerRowDxfId="143" dataDxfId="141" headerRowBorderDxfId="142" tableBorderDxfId="140" totalsRowBorderDxfId="139">
  <autoFilter ref="B4:AB7" xr:uid="{1CB95E1D-BE91-4DB7-83A3-CBB3136FC1D9}"/>
  <tableColumns count="27">
    <tableColumn id="1" xr3:uid="{852950E4-DD2E-467C-B20B-AA3E01F7C6C4}" name="MATERIAŁ" dataDxfId="138"/>
    <tableColumn id="2" xr3:uid="{F136E9A4-2D9A-48BA-B3F4-9F8FD05DE9EB}" name="A182 GR F304L" dataDxfId="137"/>
    <tableColumn id="3" xr3:uid="{C302B227-9468-464C-97AC-32A4DEAA59AF}" name="A193 B7" dataDxfId="136"/>
    <tableColumn id="4" xr3:uid="{E7961C54-2419-41E6-9FF6-0B69CEECC1D3}" name="A194 2H" dataDxfId="135"/>
    <tableColumn id="5" xr3:uid="{4099604F-012D-4941-BBC0-BE1643764502}" name="A105" dataDxfId="134"/>
    <tableColumn id="6" xr3:uid="{E4E8DBD0-A810-4D05-9682-BF7A6E380F90}" name="X6CrNiMo17-12-2 - 1.4571" dataDxfId="133"/>
    <tableColumn id="7" xr3:uid="{3FF2F7DF-B3E6-4C56-9F19-715BB2D6EC62}" name="A312 GR TP304L" dataDxfId="132"/>
    <tableColumn id="8" xr3:uid="{A78C8BCF-E1DF-4801-AF78-53B4183DEF4F}" name="A213 TP 316" dataDxfId="131"/>
    <tableColumn id="9" xr3:uid="{BB380B0E-3FAD-4494-8FD8-EF908EAFED81}" name="A106" dataDxfId="130"/>
    <tableColumn id="10" xr3:uid="{1805ABAB-4B05-4340-A421-09DB4C042972}" name="X5CrNi18-10 / 1.4301" dataDxfId="129"/>
    <tableColumn id="11" xr3:uid="{F42F1480-6460-4B7A-8C5D-D357E071037B}" name="X2CrNiMo17-12-2 / 1.4404" dataDxfId="128"/>
    <tableColumn id="12" xr3:uid="{554C13F8-E9F0-4BC7-A92D-6A5E0161DC70}" name="P265GH / 1.0425" dataDxfId="127"/>
    <tableColumn id="13" xr3:uid="{F81DF3AD-1813-4884-9D6B-6EB8932874A7}" name="A2-50" dataDxfId="126"/>
    <tableColumn id="14" xr3:uid="{C6B0EF8F-04E1-4CFC-9B3C-2BF9D880075D}" name="A4-50" dataDxfId="125"/>
    <tableColumn id="15" xr3:uid="{7E7B9ACA-6926-4BC8-A90E-06C4DB3E48F0}" name="A2-70" dataDxfId="124"/>
    <tableColumn id="16" xr3:uid="{616A05FC-4758-460C-805A-447048AC1C28}" name="X2CrNi18-9 / 1.4307" dataDxfId="123"/>
    <tableColumn id="17" xr3:uid="{691D3F74-02A6-4D94-BEA1-908DDE185984}" name="P235GH / 1.0345" dataDxfId="122"/>
    <tableColumn id="18" xr3:uid="{236034E4-72CA-4A0F-8760-F56E6A66A6F5}" name="X6CrNiTi8-10 / 1.4541" dataDxfId="121"/>
    <tableColumn id="19" xr3:uid="{F9C7FE06-FF8C-40D6-8822-383C5943FD05}" name="13CrMo4-5 / 1.7335" dataDxfId="120"/>
    <tableColumn id="20" xr3:uid="{EB99A227-307C-4680-8E6B-1EED856649CA}" name="X2CrNi19-11 / 1.4306" dataDxfId="119"/>
    <tableColumn id="21" xr3:uid="{B6ABFB84-F0A1-428A-A1B8-73F009C5F26A}" name="21CrMoV5-7 / 1.7709" dataDxfId="118"/>
    <tableColumn id="22" xr3:uid="{66EA08DC-48E9-407A-A0D2-18B76FDD4A5D}" name="X6NiCrTiMoVB25-15-2 / 1.4980" dataDxfId="117"/>
    <tableColumn id="23" xr3:uid="{0B1880A7-0A39-4B4F-9565-D934BD40B3C7}" name="P420QH / 1.8936" dataDxfId="116"/>
    <tableColumn id="24" xr3:uid="{50609941-AC87-438C-9DA0-1662782ACF26}" name="P355QH1 / 1.0571" dataDxfId="115"/>
    <tableColumn id="25" xr3:uid="{4B175E93-60E0-4D97-AE49-3EB8AA352C7F}" name=" C45E / 1.1191" dataDxfId="114"/>
    <tableColumn id="27" xr3:uid="{3FFD0AFF-1655-499F-A560-2B18997F742C}" name="1.7225" dataDxfId="113"/>
    <tableColumn id="28" xr3:uid="{4BBAA74C-E380-487B-80DF-69E6C4B964C9}" name="1.4401" dataDxfId="1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405B9C4-14D6-4EBA-B0CF-6617DE9629E7}" name="Table2__27" displayName="Table2__27" ref="B9:AB520" totalsRowShown="0" headerRowDxfId="111" dataDxfId="110">
  <autoFilter ref="B9:AB520" xr:uid="{1FC22304-7CE3-494B-9A63-DDC0E7447F86}"/>
  <tableColumns count="27">
    <tableColumn id="18" xr3:uid="{BB624636-97C1-4BF4-823B-3663D9305CC1}" name="Temperature" dataDxfId="109"/>
    <tableColumn id="19" xr3:uid="{B3CCE337-AEFD-4B62-9DBE-DB9FF5AB4AAB}" name="A182 GR F304L" dataDxfId="108"/>
    <tableColumn id="20" xr3:uid="{A863A267-5CFA-4FC1-8F58-11BD0644CEBD}" name="A193 B7" dataDxfId="107"/>
    <tableColumn id="21" xr3:uid="{5A2ECD3E-5843-49FE-99EA-8E847245A71D}" name="A194 2H" dataDxfId="106"/>
    <tableColumn id="22" xr3:uid="{543657D8-19C2-4AF5-80AB-F5B5FF9014DA}" name="A105" dataDxfId="105"/>
    <tableColumn id="23" xr3:uid="{3D832686-9C94-45AA-8F11-FCE90129A25B}" name="X6CrNiMo17-12-2 - 1.4571" dataDxfId="104"/>
    <tableColumn id="24" xr3:uid="{717E7759-106E-4D49-BB2D-E0493E890E45}" name="A312 GR TP304L" dataDxfId="103"/>
    <tableColumn id="25" xr3:uid="{426C000A-2532-460C-82E9-C92488B98F4E}" name="A213 TP 316" dataDxfId="102"/>
    <tableColumn id="26" xr3:uid="{92A6C808-257C-4AC0-8FE0-88D55CC56C2D}" name="A106" dataDxfId="101"/>
    <tableColumn id="1" xr3:uid="{40FCBF75-E1A6-4DD2-8724-147847D61C3B}" name="X5CrNi18-10 / 1.4301" dataDxfId="100"/>
    <tableColumn id="2" xr3:uid="{3828D257-EFAF-43BC-80C5-04EFF6FE4F0C}" name="X2CrNiMo17-12-2 / 1.4404" dataDxfId="99"/>
    <tableColumn id="3" xr3:uid="{03F06B1B-42BF-4A2F-B57C-8D56C51640DC}" name="P265GH / 1.0425" dataDxfId="98"/>
    <tableColumn id="4" xr3:uid="{8EBDD119-7DB7-41E9-B51E-B44F72A50CCE}" name="A2-50" dataDxfId="97"/>
    <tableColumn id="5" xr3:uid="{17F09A61-F369-4946-9EB2-22094430E9DC}" name="A4-50" dataDxfId="96"/>
    <tableColumn id="6" xr3:uid="{0BD00A9C-CE94-4706-87EC-2593016A3970}" name="A2-70" dataDxfId="95"/>
    <tableColumn id="7" xr3:uid="{D458D291-3310-4698-88AC-8E9150E09EA3}" name="X2CrNi18-9 / 1.4307" dataDxfId="94"/>
    <tableColumn id="8" xr3:uid="{EE2448AB-1103-4808-A881-0DB6C6B8EC30}" name="P235GH / 1.0345" dataDxfId="93"/>
    <tableColumn id="9" xr3:uid="{F46D9BCC-7ED5-4430-A742-CD6D42977DD4}" name="X6CrNiTi8-10 / 1.4541" dataDxfId="92"/>
    <tableColumn id="10" xr3:uid="{93296402-F461-48A6-BB3A-5BD8BEBB9B60}" name="13CrMo4-5 / 1.7335" dataDxfId="91"/>
    <tableColumn id="11" xr3:uid="{A6A793C6-1F29-4F31-932C-7F8343EDA059}" name="X2CrNi19-11 / 1.4306" dataDxfId="90"/>
    <tableColumn id="12" xr3:uid="{6207F9CA-9D08-4C11-B9E4-8DE7C570DC41}" name="21CrMoV5-7 / 1.7709" dataDxfId="89"/>
    <tableColumn id="13" xr3:uid="{13586C46-71B3-475B-9525-1C78FBAEF4F3}" name="X6NiCrTiMoVB25-15-2 / 1.4980" dataDxfId="88"/>
    <tableColumn id="14" xr3:uid="{F75F2909-68DF-431D-B63C-37F1A61B282C}" name="P420QH / 1.8936" dataDxfId="87"/>
    <tableColumn id="15" xr3:uid="{5A946632-BA15-4254-B3C3-6946BF6D42B8}" name="P355QH1 / 1.0571" dataDxfId="86"/>
    <tableColumn id="16" xr3:uid="{DFB5416A-6046-488A-90D9-BE5912C72267}" name=" C45E / 1.1191" dataDxfId="85"/>
    <tableColumn id="27" xr3:uid="{ECD6DC6F-0ABB-4B9A-8D2E-7AC7F28E0416}" name="1.7225" dataDxfId="84"/>
    <tableColumn id="28" xr3:uid="{D5EDC4F9-9FA9-42B3-964B-BEF180B11B90}" name="1.4401" dataDxfId="83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55A43B-5525-4EFC-8BF8-AFBD549E3C2E}" name="Table10" displayName="Table10" ref="B4:AC7" totalsRowShown="0" headerRowDxfId="82" dataDxfId="80" headerRowBorderDxfId="81" tableBorderDxfId="79" totalsRowBorderDxfId="78">
  <autoFilter ref="B4:AC7" xr:uid="{1CB95E1D-BE91-4DB7-83A3-CBB3136FC1D9}"/>
  <tableColumns count="28">
    <tableColumn id="1" xr3:uid="{89F3B1BC-A0BC-4720-B4FE-0E650D0D5930}" name="MATERIAŁ" dataDxfId="77"/>
    <tableColumn id="2" xr3:uid="{154D333A-87EF-461E-89CF-89B3F2828545}" name="A182 GR F304L" dataDxfId="76"/>
    <tableColumn id="3" xr3:uid="{4FBF204F-23C9-41AA-B996-3B383D27134B}" name="A193 B7" dataDxfId="75"/>
    <tableColumn id="4" xr3:uid="{B05C52A9-CCA1-4295-B8CF-F5901A82D17D}" name="A194 2H" dataDxfId="74"/>
    <tableColumn id="5" xr3:uid="{AA0E09A7-65E2-4C4B-806E-E43E272D3674}" name="A105" dataDxfId="73"/>
    <tableColumn id="6" xr3:uid="{1F21B041-443D-4BF1-A63A-E83BB26CB635}" name="X6CrNiMo17-12-2 - 1.4571" dataDxfId="72"/>
    <tableColumn id="7" xr3:uid="{41DA5A4F-5FEA-4AC1-BBB6-67B3C6171EC5}" name="A312 GR TP304L" dataDxfId="71"/>
    <tableColumn id="8" xr3:uid="{F6C065CA-20C7-4290-8862-192CDD3D6D8F}" name="A213 TP 316" dataDxfId="70"/>
    <tableColumn id="9" xr3:uid="{5D3A8518-569E-429E-AEA2-BF9760A0D39F}" name="A106" dataDxfId="69"/>
    <tableColumn id="10" xr3:uid="{8D9B6A59-1495-46F0-AD51-CEC4E694B164}" name="X5CrNi18-10 / 1.4301" dataDxfId="68"/>
    <tableColumn id="11" xr3:uid="{F26376A1-43AE-4629-A8B4-B517DB3F4364}" name="X2CrNiMo17-12-2 / 1.4404" dataDxfId="67"/>
    <tableColumn id="12" xr3:uid="{FA95C2AC-E6E9-4AC7-8D19-8A582E5C556E}" name="P265GH / 1.0425" dataDxfId="66"/>
    <tableColumn id="13" xr3:uid="{8A7C4AB7-320E-4A6C-B31F-4D7963A6055E}" name="A2-50" dataDxfId="65"/>
    <tableColumn id="14" xr3:uid="{2B8B4C90-A24B-4D0C-91BC-27BDBAB81672}" name="A4-50" dataDxfId="64"/>
    <tableColumn id="15" xr3:uid="{E2E0614A-D294-48E4-A4EF-203A2DD8E34F}" name="A2-70" dataDxfId="63"/>
    <tableColumn id="16" xr3:uid="{8E89CCFB-5C98-4FBA-8460-971DB7257F81}" name="X2CrNi18-9 / 1.4307" dataDxfId="62"/>
    <tableColumn id="17" xr3:uid="{57661D8D-F954-41DB-9EE9-53D4A6ED201C}" name="P235GH / 1.0345" dataDxfId="61"/>
    <tableColumn id="18" xr3:uid="{22FAB9D6-233F-4A91-868A-4D736775C0DE}" name="X6CrNiTi8-10 / 1.4541" dataDxfId="60"/>
    <tableColumn id="19" xr3:uid="{A6F2A413-5637-40A3-9292-B1E22D0436A8}" name="13CrMo4-5 / 1.7335" dataDxfId="59"/>
    <tableColumn id="20" xr3:uid="{162FA2E8-7EAC-48ED-AD11-DE7D49051E6A}" name="X2CrNi19-11 / 1.4306" dataDxfId="58"/>
    <tableColumn id="21" xr3:uid="{7D936C8B-607A-4053-B41D-43F22730C2D3}" name="21CrMoV5-7 / 1.7709" dataDxfId="57"/>
    <tableColumn id="22" xr3:uid="{0E3259F6-568A-4468-9C41-64CAD72C8ED7}" name="X6NiCrTiMoVB25-15-2 / 1.4980" dataDxfId="56"/>
    <tableColumn id="23" xr3:uid="{D49ABDA0-51AE-44F4-BD62-E8E210C57C43}" name="P420QH / 1.8936" dataDxfId="55"/>
    <tableColumn id="24" xr3:uid="{5EA8F84B-9048-4697-B7AB-FBCFB3A93426}" name="P355QH1 / 1.0571" dataDxfId="54"/>
    <tableColumn id="25" xr3:uid="{E59FCEFB-F5DF-4C67-BF94-FFA1B33F3C4F}" name=" C45E / 1.1191" dataDxfId="53"/>
    <tableColumn id="26" xr3:uid="{69529405-5A8D-471C-8499-9FAF78DE4FF3}" name="1.4401" dataDxfId="52"/>
    <tableColumn id="27" xr3:uid="{E94BAEBF-4AB1-48BB-9404-90C2F9D8EA74}" name="1.7225" dataDxfId="51"/>
    <tableColumn id="28" xr3:uid="{82701405-D1D2-44B9-ADC5-7762FABDDFF3}" name="1.8936" dataDxfId="5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0DD13F-FED3-441F-AC37-3C387B99A7D5}" name="Table2__2" displayName="Table2__2" ref="B9:AC520" totalsRowShown="0" headerRowDxfId="49" dataDxfId="48">
  <autoFilter ref="B9:AC520" xr:uid="{1FC22304-7CE3-494B-9A63-DDC0E7447F86}"/>
  <tableColumns count="28">
    <tableColumn id="18" xr3:uid="{CFFC9CB7-8FF3-43A7-8B20-2CCA39EA4D3C}" name="Temperature" dataDxfId="47"/>
    <tableColumn id="19" xr3:uid="{91C6D894-5464-4A24-A5AE-A115CFD553E7}" name="A182 GR F304L" dataDxfId="46"/>
    <tableColumn id="20" xr3:uid="{D9BFC60C-E746-47E6-A89E-0980CF0C3BBB}" name="A193 B7" dataDxfId="45"/>
    <tableColumn id="21" xr3:uid="{892D63A1-6002-4623-B258-26762659B6EF}" name="A194 2H" dataDxfId="44"/>
    <tableColumn id="22" xr3:uid="{2C3C9CCB-CC1D-4F46-979C-6E96ABDFE91C}" name="A105" dataDxfId="43"/>
    <tableColumn id="23" xr3:uid="{66E665CA-D3B3-49C7-B1CB-ACFFB89BA639}" name="X6CrNiMo17-12-2 - 1.4571" dataDxfId="42"/>
    <tableColumn id="24" xr3:uid="{E368D769-C98B-4557-89A6-05D9C7E7C1A2}" name="A312 GR TP304L" dataDxfId="41"/>
    <tableColumn id="25" xr3:uid="{3F252058-3449-4BA0-8A6E-739B778E096C}" name="A213 TP 316" dataDxfId="40"/>
    <tableColumn id="26" xr3:uid="{6A385FB7-9BB5-4F87-A566-4D37412AE807}" name="A106" dataDxfId="39"/>
    <tableColumn id="1" xr3:uid="{DB30D1DC-E46B-4072-9504-5C4C40DD62C4}" name="X5CrNi18-10 / 1.4301" dataDxfId="38"/>
    <tableColumn id="2" xr3:uid="{0611CDCC-3E1D-4906-932A-8889880CADC3}" name="X2CrNiMo17-12-2 / 1.4404" dataDxfId="37"/>
    <tableColumn id="3" xr3:uid="{EC3AD74C-BF94-4BA3-BB20-D3DFDAE695E0}" name="P265GH / 1.0425" dataDxfId="36"/>
    <tableColumn id="4" xr3:uid="{FAB7EA16-BE6C-4836-B4E8-8E38490FFEFF}" name="A2-50" dataDxfId="35"/>
    <tableColumn id="5" xr3:uid="{1AA8C7C1-0925-4E07-B6A2-98257BF87DBA}" name="A4-50" dataDxfId="34"/>
    <tableColumn id="6" xr3:uid="{55D87620-FA16-4C64-BD5C-5D5E9B4F5349}" name="A2-70" dataDxfId="33"/>
    <tableColumn id="7" xr3:uid="{B4F5D28E-202F-4876-A509-1523BEC68146}" name="X2CrNi18-9 / 1.4307" dataDxfId="32"/>
    <tableColumn id="8" xr3:uid="{B3661805-5016-4680-87E0-6A4BE5AB2EAF}" name="P235GH / 1.0345" dataDxfId="31"/>
    <tableColumn id="9" xr3:uid="{579B92CC-9DBE-4CA5-83C2-6AB7297E671A}" name="X6CrNiTi8-10 / 1.4541" dataDxfId="30"/>
    <tableColumn id="10" xr3:uid="{0A9F75CD-9A16-4D81-A726-4B300EF271D2}" name="13CrMo4-5 / 1.7335" dataDxfId="29"/>
    <tableColumn id="11" xr3:uid="{E4CA40CA-9C29-44A4-8F00-5367D57C1D07}" name="X2CrNi19-11 / 1.4306" dataDxfId="28"/>
    <tableColumn id="12" xr3:uid="{6826F52F-CA7D-4B59-8F18-17BED75E9351}" name="21CrMoV5-7 / 1.7709" dataDxfId="27"/>
    <tableColumn id="13" xr3:uid="{54EA0EB9-2FB4-4C3F-BA9E-D647A47091D1}" name="X6NiCrTiMoVB25-15-2 / 1.4980" dataDxfId="26"/>
    <tableColumn id="14" xr3:uid="{FC391D49-3A8F-4EBE-889D-F11F2C329DD5}" name="P420QH / 1.8936" dataDxfId="25"/>
    <tableColumn id="15" xr3:uid="{3979299B-C55A-4F65-BFCE-C4BD8C4B2124}" name="P355QH1 / 1.0571" dataDxfId="24"/>
    <tableColumn id="16" xr3:uid="{AD356B10-2F0C-43BE-9D98-48D88D880AEB}" name=" C45E / 1.1191" dataDxfId="23"/>
    <tableColumn id="17" xr3:uid="{2DF67564-71A6-4A52-A38F-3E0A1C59B43F}" name="1.4401" dataDxfId="22"/>
    <tableColumn id="27" xr3:uid="{FD4FF8F9-577A-4AE4-B744-3C11FC2E06D4}" name="1.7225" dataDxfId="21"/>
    <tableColumn id="28" xr3:uid="{D874B38F-222A-48D6-98BE-37B9B3B1AA29}" name="1.8936" dataDxfId="20"/>
  </tableColumns>
  <tableStyleInfo name="TableStyleQueryResult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R252" totalsRowShown="0" headerRowDxfId="19" dataDxfId="18">
  <autoFilter ref="A1:R252" xr:uid="{00000000-0009-0000-0100-000002000000}"/>
  <tableColumns count="18">
    <tableColumn id="1" xr3:uid="{00000000-0010-0000-0100-000001000000}" name="STANDARD" dataDxfId="17"/>
    <tableColumn id="2" xr3:uid="{00000000-0010-0000-0100-000002000000}" name="CLASS" dataDxfId="16"/>
    <tableColumn id="3" xr3:uid="{00000000-0010-0000-0100-000003000000}" name="DN" dataDxfId="15"/>
    <tableColumn id="18" xr3:uid="{00000000-0010-0000-0100-000012000000}" name="Helper" dataDxfId="14">
      <calculatedColumnFormula>B2&amp;"-DN"&amp;C2</calculatedColumnFormula>
    </tableColumn>
    <tableColumn id="4" xr3:uid="{00000000-0010-0000-0100-000004000000}" name="Dzk" dataDxfId="13"/>
    <tableColumn id="5" xr3:uid="{00000000-0010-0000-0100-000005000000}" name="D0" dataDxfId="12"/>
    <tableColumn id="6" xr3:uid="{00000000-0010-0000-0100-000006000000}" name="N1" dataDxfId="11"/>
    <tableColumn id="7" xr3:uid="{00000000-0010-0000-0100-000007000000}" name="Dz" dataDxfId="10"/>
    <tableColumn id="8" xr3:uid="{00000000-0010-0000-0100-000008000000}" name="do" dataDxfId="9"/>
    <tableColumn id="9" xr3:uid="{00000000-0010-0000-0100-000009000000}" name="Dzp" dataDxfId="8"/>
    <tableColumn id="10" xr3:uid="{00000000-0010-0000-0100-00000A000000}" name="dwu" dataDxfId="7"/>
    <tableColumn id="11" xr3:uid="{00000000-0010-0000-0100-00000B000000}" name="dzu" dataDxfId="6"/>
    <tableColumn id="12" xr3:uid="{00000000-0010-0000-0100-00000C000000}" name="h" dataDxfId="5"/>
    <tableColumn id="13" xr3:uid="{00000000-0010-0000-0100-00000D000000}" name="Gu" dataDxfId="4"/>
    <tableColumn id="14" xr3:uid="{00000000-0010-0000-0100-00000E000000}" name="ls" dataDxfId="3"/>
    <tableColumn id="15" xr3:uid="{00000000-0010-0000-0100-00000F000000}" name="ns" dataDxfId="2"/>
    <tableColumn id="16" xr3:uid="{00000000-0010-0000-0100-000010000000}" name="M" dataDxfId="1"/>
    <tableColumn id="17" xr3:uid="{00000000-0010-0000-0100-000011000000}" name="TYPE OF GASKET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264"/>
  <sheetViews>
    <sheetView tabSelected="1" view="pageBreakPreview" zoomScaleNormal="100" zoomScaleSheetLayoutView="100" workbookViewId="0">
      <selection activeCell="W13" sqref="W13"/>
    </sheetView>
  </sheetViews>
  <sheetFormatPr defaultRowHeight="12.75"/>
  <cols>
    <col min="1" max="1" width="2.42578125" customWidth="1"/>
    <col min="2" max="2" width="2.7109375" customWidth="1"/>
    <col min="3" max="3" width="6.140625" style="1" customWidth="1"/>
    <col min="4" max="4" width="8.85546875" bestFit="1" customWidth="1"/>
    <col min="5" max="5" width="8.140625" customWidth="1"/>
    <col min="6" max="6" width="7.7109375" customWidth="1"/>
    <col min="7" max="8" width="11.42578125" customWidth="1"/>
    <col min="9" max="10" width="11" customWidth="1"/>
    <col min="11" max="11" width="6.85546875" customWidth="1"/>
    <col min="12" max="12" width="11" customWidth="1"/>
    <col min="13" max="13" width="9.28515625" customWidth="1"/>
    <col min="14" max="14" width="10" style="1" customWidth="1"/>
    <col min="15" max="15" width="7.5703125" style="1" bestFit="1" customWidth="1"/>
    <col min="16" max="16" width="5.5703125" customWidth="1"/>
    <col min="17" max="17" width="2.5703125" customWidth="1"/>
    <col min="18" max="18" width="2.7109375" style="22" customWidth="1"/>
  </cols>
  <sheetData>
    <row r="1" spans="2:19" ht="13.5" thickBot="1"/>
    <row r="2" spans="2:19" ht="21" customHeight="1">
      <c r="B2" s="264" t="s">
        <v>325</v>
      </c>
      <c r="C2" s="319"/>
      <c r="D2" s="320"/>
      <c r="E2" s="321"/>
      <c r="F2" s="326" t="s">
        <v>326</v>
      </c>
      <c r="G2" s="327"/>
      <c r="H2" s="327"/>
      <c r="I2" s="327"/>
      <c r="J2" s="327"/>
      <c r="K2" s="327"/>
      <c r="L2" s="328"/>
      <c r="M2" s="348" t="s">
        <v>327</v>
      </c>
      <c r="N2" s="298"/>
      <c r="O2" s="349"/>
      <c r="P2" s="68"/>
      <c r="Q2" s="13"/>
    </row>
    <row r="3" spans="2:19" s="1" customFormat="1" ht="18.75" customHeight="1" thickBot="1">
      <c r="B3" s="265"/>
      <c r="C3" s="322"/>
      <c r="D3" s="323"/>
      <c r="E3" s="324"/>
      <c r="F3" s="329"/>
      <c r="G3" s="330"/>
      <c r="H3" s="330"/>
      <c r="I3" s="330"/>
      <c r="J3" s="330"/>
      <c r="K3" s="330"/>
      <c r="L3" s="331"/>
      <c r="M3" s="350" t="s">
        <v>487</v>
      </c>
      <c r="N3" s="351"/>
      <c r="O3" s="352"/>
      <c r="P3" s="69"/>
      <c r="Q3" s="10"/>
      <c r="R3" s="23"/>
    </row>
    <row r="4" spans="2:19" s="1" customFormat="1" ht="16.5" customHeight="1" thickBot="1">
      <c r="B4" s="265"/>
      <c r="C4" s="322"/>
      <c r="D4" s="323"/>
      <c r="E4" s="324"/>
      <c r="F4" s="337" t="s">
        <v>489</v>
      </c>
      <c r="G4" s="338"/>
      <c r="H4" s="338"/>
      <c r="I4" s="338"/>
      <c r="J4" s="338"/>
      <c r="K4" s="338"/>
      <c r="L4" s="339"/>
      <c r="M4" s="353" t="s">
        <v>328</v>
      </c>
      <c r="N4" s="354"/>
      <c r="O4" s="355"/>
      <c r="P4" s="69"/>
      <c r="Q4" s="10"/>
      <c r="R4" s="23"/>
    </row>
    <row r="5" spans="2:19" s="1" customFormat="1" ht="18.75" customHeight="1" thickBot="1">
      <c r="B5" s="265"/>
      <c r="C5" s="325"/>
      <c r="D5" s="317"/>
      <c r="E5" s="318"/>
      <c r="F5" s="316" t="s">
        <v>490</v>
      </c>
      <c r="G5" s="317"/>
      <c r="H5" s="317"/>
      <c r="I5" s="317"/>
      <c r="J5" s="317"/>
      <c r="K5" s="317"/>
      <c r="L5" s="318"/>
      <c r="M5" s="313" t="s">
        <v>493</v>
      </c>
      <c r="N5" s="314"/>
      <c r="O5" s="315"/>
      <c r="P5" s="70"/>
      <c r="Q5" s="10"/>
      <c r="R5" s="23"/>
    </row>
    <row r="6" spans="2:19" ht="13.5" thickBot="1">
      <c r="B6" s="265"/>
      <c r="C6" s="368" t="s">
        <v>324</v>
      </c>
      <c r="D6" s="368" t="s">
        <v>322</v>
      </c>
      <c r="E6" s="285" t="s">
        <v>323</v>
      </c>
      <c r="F6" s="287"/>
      <c r="G6" s="285" t="s">
        <v>318</v>
      </c>
      <c r="H6" s="286"/>
      <c r="I6" s="286"/>
      <c r="J6" s="286"/>
      <c r="K6" s="286"/>
      <c r="L6" s="285" t="s">
        <v>319</v>
      </c>
      <c r="M6" s="286"/>
      <c r="N6" s="287"/>
      <c r="O6" s="368" t="s">
        <v>320</v>
      </c>
      <c r="P6" s="370" t="s">
        <v>321</v>
      </c>
      <c r="Q6" s="12"/>
    </row>
    <row r="7" spans="2:19" ht="13.5" thickBot="1">
      <c r="B7" s="266"/>
      <c r="C7" s="368"/>
      <c r="D7" s="368"/>
      <c r="E7" s="288"/>
      <c r="F7" s="290"/>
      <c r="G7" s="288"/>
      <c r="H7" s="289"/>
      <c r="I7" s="289"/>
      <c r="J7" s="289"/>
      <c r="K7" s="289"/>
      <c r="L7" s="288"/>
      <c r="M7" s="289"/>
      <c r="N7" s="290"/>
      <c r="O7" s="368"/>
      <c r="P7" s="371"/>
      <c r="Q7" s="12"/>
    </row>
    <row r="8" spans="2:19" s="1" customFormat="1">
      <c r="B8" s="267" t="s">
        <v>25</v>
      </c>
      <c r="C8" s="356" t="s">
        <v>329</v>
      </c>
      <c r="D8" s="276"/>
      <c r="E8" s="276"/>
      <c r="F8" s="276"/>
      <c r="G8" s="276"/>
      <c r="H8" s="276"/>
      <c r="I8" s="276"/>
      <c r="J8" s="276"/>
      <c r="K8" s="276"/>
      <c r="L8" s="276"/>
      <c r="M8" s="276"/>
      <c r="N8" s="276"/>
      <c r="O8" s="357"/>
      <c r="P8" s="372"/>
      <c r="Q8" s="10"/>
      <c r="R8" s="23"/>
    </row>
    <row r="9" spans="2:19" ht="13.5" thickBot="1">
      <c r="B9" s="268"/>
      <c r="C9" s="358"/>
      <c r="D9" s="359"/>
      <c r="E9" s="359"/>
      <c r="F9" s="359"/>
      <c r="G9" s="359"/>
      <c r="H9" s="359"/>
      <c r="I9" s="359"/>
      <c r="J9" s="359"/>
      <c r="K9" s="359"/>
      <c r="L9" s="359"/>
      <c r="M9" s="359"/>
      <c r="N9" s="359"/>
      <c r="O9" s="360"/>
      <c r="P9" s="373"/>
      <c r="Q9" s="10"/>
    </row>
    <row r="10" spans="2:19" ht="14.25">
      <c r="B10" s="268"/>
      <c r="C10" s="219">
        <v>1</v>
      </c>
      <c r="D10" s="223" t="s">
        <v>64</v>
      </c>
      <c r="E10" s="362">
        <v>50</v>
      </c>
      <c r="F10" s="363"/>
      <c r="G10" s="361" t="s">
        <v>6</v>
      </c>
      <c r="H10" s="344"/>
      <c r="I10" s="344"/>
      <c r="J10" s="344"/>
      <c r="K10" s="345"/>
      <c r="L10" s="343" t="s">
        <v>496</v>
      </c>
      <c r="M10" s="344"/>
      <c r="N10" s="345"/>
      <c r="O10" s="134" t="s">
        <v>1</v>
      </c>
      <c r="P10" s="67"/>
      <c r="Q10" s="13"/>
    </row>
    <row r="11" spans="2:19">
      <c r="B11" s="268"/>
      <c r="C11" s="212">
        <v>2</v>
      </c>
      <c r="D11" s="216" t="s">
        <v>26</v>
      </c>
      <c r="E11" s="341">
        <v>9.5</v>
      </c>
      <c r="F11" s="342"/>
      <c r="G11" s="309" t="s">
        <v>7</v>
      </c>
      <c r="H11" s="254"/>
      <c r="I11" s="254"/>
      <c r="J11" s="254"/>
      <c r="K11" s="255"/>
      <c r="L11" s="340" t="s">
        <v>497</v>
      </c>
      <c r="M11" s="254"/>
      <c r="N11" s="255"/>
      <c r="O11" s="135" t="s">
        <v>0</v>
      </c>
      <c r="P11" s="67"/>
      <c r="Q11" s="13"/>
    </row>
    <row r="12" spans="2:19" ht="15.75">
      <c r="B12" s="268"/>
      <c r="C12" s="212">
        <v>3</v>
      </c>
      <c r="D12" s="216" t="s">
        <v>65</v>
      </c>
      <c r="E12" s="341">
        <v>13.59</v>
      </c>
      <c r="F12" s="342"/>
      <c r="G12" s="309" t="s">
        <v>27</v>
      </c>
      <c r="H12" s="254"/>
      <c r="I12" s="254"/>
      <c r="J12" s="254"/>
      <c r="K12" s="255"/>
      <c r="L12" s="340" t="s">
        <v>498</v>
      </c>
      <c r="M12" s="254"/>
      <c r="N12" s="255"/>
      <c r="O12" s="135" t="s">
        <v>0</v>
      </c>
      <c r="P12" s="67"/>
      <c r="Q12" s="13"/>
    </row>
    <row r="13" spans="2:19" ht="15.75">
      <c r="B13" s="268"/>
      <c r="C13" s="212">
        <v>4</v>
      </c>
      <c r="D13" s="216" t="s">
        <v>147</v>
      </c>
      <c r="E13" s="341">
        <v>0</v>
      </c>
      <c r="F13" s="342"/>
      <c r="G13" s="309"/>
      <c r="H13" s="254"/>
      <c r="I13" s="254"/>
      <c r="J13" s="254"/>
      <c r="K13" s="255"/>
      <c r="L13" s="340" t="s">
        <v>499</v>
      </c>
      <c r="M13" s="254"/>
      <c r="N13" s="254"/>
      <c r="O13" s="135" t="s">
        <v>2</v>
      </c>
      <c r="P13" s="67"/>
      <c r="Q13" s="13"/>
      <c r="S13" s="22"/>
    </row>
    <row r="14" spans="2:19" ht="15.75">
      <c r="B14" s="268"/>
      <c r="C14" s="218">
        <v>5</v>
      </c>
      <c r="D14" s="222" t="s">
        <v>5</v>
      </c>
      <c r="E14" s="364">
        <v>12.5</v>
      </c>
      <c r="F14" s="365"/>
      <c r="G14" s="332"/>
      <c r="H14" s="333"/>
      <c r="I14" s="333"/>
      <c r="J14" s="333"/>
      <c r="K14" s="334"/>
      <c r="L14" s="340" t="s">
        <v>501</v>
      </c>
      <c r="M14" s="254"/>
      <c r="N14" s="255"/>
      <c r="O14" s="135" t="s">
        <v>4</v>
      </c>
      <c r="P14" s="67"/>
      <c r="Q14" s="13"/>
      <c r="S14" s="22"/>
    </row>
    <row r="15" spans="2:19" ht="16.5" thickBot="1">
      <c r="B15" s="268"/>
      <c r="C15" s="136">
        <v>6</v>
      </c>
      <c r="D15" s="217" t="s">
        <v>31</v>
      </c>
      <c r="E15" s="335">
        <v>0</v>
      </c>
      <c r="F15" s="335"/>
      <c r="G15" s="282"/>
      <c r="H15" s="282"/>
      <c r="I15" s="282"/>
      <c r="J15" s="282"/>
      <c r="K15" s="282"/>
      <c r="L15" s="336" t="s">
        <v>500</v>
      </c>
      <c r="M15" s="282"/>
      <c r="N15" s="282"/>
      <c r="O15" s="138" t="s">
        <v>2</v>
      </c>
      <c r="P15" s="67"/>
      <c r="Q15" s="13"/>
      <c r="S15" s="22"/>
    </row>
    <row r="16" spans="2:19">
      <c r="B16" s="268"/>
      <c r="C16" s="286" t="s">
        <v>330</v>
      </c>
      <c r="D16" s="286"/>
      <c r="E16" s="286"/>
      <c r="F16" s="286"/>
      <c r="G16" s="286"/>
      <c r="H16" s="286"/>
      <c r="I16" s="286"/>
      <c r="J16" s="286"/>
      <c r="K16" s="286"/>
      <c r="L16" s="286"/>
      <c r="M16" s="286"/>
      <c r="N16" s="286"/>
      <c r="O16" s="287"/>
      <c r="P16" s="374"/>
      <c r="Q16" s="10"/>
    </row>
    <row r="17" spans="2:18" ht="13.5" thickBot="1">
      <c r="B17" s="268"/>
      <c r="C17" s="289"/>
      <c r="D17" s="289"/>
      <c r="E17" s="289"/>
      <c r="F17" s="289"/>
      <c r="G17" s="289"/>
      <c r="H17" s="289"/>
      <c r="I17" s="289"/>
      <c r="J17" s="289"/>
      <c r="K17" s="289"/>
      <c r="L17" s="289"/>
      <c r="M17" s="289"/>
      <c r="N17" s="289"/>
      <c r="O17" s="290"/>
      <c r="P17" s="373"/>
      <c r="Q17" s="10"/>
    </row>
    <row r="18" spans="2:18" s="1" customFormat="1">
      <c r="B18" s="268"/>
      <c r="C18" s="220">
        <v>7</v>
      </c>
      <c r="D18" s="214"/>
      <c r="E18" s="248" t="s">
        <v>343</v>
      </c>
      <c r="F18" s="236" t="s">
        <v>344</v>
      </c>
      <c r="G18" s="248" t="s">
        <v>345</v>
      </c>
      <c r="H18" s="346"/>
      <c r="I18" s="346"/>
      <c r="J18" s="346"/>
      <c r="K18" s="346"/>
      <c r="L18" s="276" t="s">
        <v>151</v>
      </c>
      <c r="M18" s="276"/>
      <c r="N18" s="276"/>
      <c r="O18" s="213"/>
      <c r="P18" s="69"/>
      <c r="Q18" s="10"/>
      <c r="R18" s="23"/>
    </row>
    <row r="19" spans="2:18" s="1" customFormat="1" ht="15.75" customHeight="1">
      <c r="B19" s="268"/>
      <c r="C19" s="221">
        <v>8</v>
      </c>
      <c r="D19" s="2" t="s">
        <v>346</v>
      </c>
      <c r="E19" s="229" t="s">
        <v>491</v>
      </c>
      <c r="F19" s="229" t="s">
        <v>491</v>
      </c>
      <c r="G19" s="229" t="s">
        <v>492</v>
      </c>
      <c r="H19" s="256" t="s">
        <v>342</v>
      </c>
      <c r="I19" s="257"/>
      <c r="J19" s="257"/>
      <c r="K19" s="258"/>
      <c r="L19" s="279" t="s">
        <v>331</v>
      </c>
      <c r="M19" s="279"/>
      <c r="N19" s="279"/>
      <c r="O19" s="135"/>
      <c r="P19" s="69"/>
      <c r="Q19" s="10"/>
      <c r="R19" s="23"/>
    </row>
    <row r="20" spans="2:18" s="1" customFormat="1">
      <c r="B20" s="268"/>
      <c r="C20" s="221">
        <v>9</v>
      </c>
      <c r="D20" s="215"/>
      <c r="E20" s="143">
        <f>INDEX(Pomocnicza_Materiały_KRYZA!$C$3:$ED$8,1,MATCH(str.1!$E$19&amp;" - "&amp;$E$18,Pomocnicza_Materiały_KRYZA!$C$5:$EC$5,0))</f>
        <v>1</v>
      </c>
      <c r="F20" s="143">
        <f>INDEX(Pomocnicza_Materiały_KRYZA!$C$3:$AB$8,1,MATCH(str.1!$E$19&amp;" - "&amp;$E$18,Pomocnicza_Materiały_KRYZA!$C$5:$AB$5,0))</f>
        <v>1</v>
      </c>
      <c r="G20" s="143">
        <f>INDEX(Pomocnicza_Materiały_ŚRUBA!$C$3:$ED$8,1,MATCH(str.1!$G$19&amp;" - "&amp;$G$18,Pomocnicza_Materiały_ŚRUBA!$C$5:$EC$5,0))</f>
        <v>1</v>
      </c>
      <c r="H20" s="259"/>
      <c r="I20" s="260"/>
      <c r="J20" s="260"/>
      <c r="K20" s="261"/>
      <c r="L20" s="376" t="s">
        <v>332</v>
      </c>
      <c r="M20" s="377"/>
      <c r="N20" s="378"/>
      <c r="O20" s="135"/>
      <c r="P20" s="69"/>
      <c r="Q20" s="10"/>
      <c r="R20" s="23"/>
    </row>
    <row r="21" spans="2:18" s="1" customFormat="1" ht="15.75">
      <c r="B21" s="268"/>
      <c r="C21" s="221">
        <v>10</v>
      </c>
      <c r="D21" s="216" t="s">
        <v>9</v>
      </c>
      <c r="E21" s="227">
        <f>INDEX(Pomocnicza_Materiały_KRYZA!$C$5:$ED$8,3,MATCH(str.1!$E$19&amp;" - "&amp;$E$18,Pomocnicza_Materiały_KRYZA!$C$5:$EC$5,0))</f>
        <v>375</v>
      </c>
      <c r="F21" s="237">
        <f>INDEX(Pomocnicza_Materiały_KRYZA!$C$5:$ED$8,3,MATCH(str.1!$E$19&amp;" - "&amp;$E$18,Pomocnicza_Materiały_KRYZA!$C$5:$EC$5,0))</f>
        <v>375</v>
      </c>
      <c r="G21" s="216">
        <f>INDEX(Pomocnicza_Materiały_ŚRUBA!$C$5:$EE$8,3,MATCH(str.1!$G$19&amp;" - "&amp;$G$18,Pomocnicza_Materiały_ŚRUBA!$C$5:$ED$5,0))</f>
        <v>340</v>
      </c>
      <c r="H21" s="253" t="s">
        <v>432</v>
      </c>
      <c r="I21" s="254"/>
      <c r="J21" s="254"/>
      <c r="K21" s="255"/>
      <c r="L21" s="279" t="s">
        <v>333</v>
      </c>
      <c r="M21" s="279"/>
      <c r="N21" s="279"/>
      <c r="O21" s="135" t="s">
        <v>0</v>
      </c>
      <c r="P21" s="69"/>
      <c r="Q21" s="10"/>
      <c r="R21" s="23"/>
    </row>
    <row r="22" spans="2:18" ht="15.75">
      <c r="B22" s="268"/>
      <c r="C22" s="142">
        <v>11</v>
      </c>
      <c r="D22" s="126" t="s">
        <v>8</v>
      </c>
      <c r="E22" s="228">
        <f>INDEX(Pomocnicza_Materiały_KRYZA!$C$5:$ED$8,2,MATCH(str.1!$E$19&amp;" - "&amp;$E$18,Pomocnicza_Materiały_KRYZA!$C$5:$EC$5,0))</f>
        <v>510</v>
      </c>
      <c r="F22" s="239">
        <f>INDEX(Pomocnicza_Materiały_KRYZA!$C$5:$ED$8,2,MATCH(str.1!$E$19&amp;" - "&amp;$E$18,Pomocnicza_Materiały_KRYZA!$C$5:$EC$5,0))</f>
        <v>510</v>
      </c>
      <c r="G22" s="194">
        <f>INDEX(Pomocnicza_Materiały_ŚRUBA!$C$5:$EE$8,2,MATCH(str.1!$G$19&amp;" - "&amp;$G$18,Pomocnicza_Materiały_ŚRUBA!$C$5:$ED$5,0))</f>
        <v>560</v>
      </c>
      <c r="H22" s="283" t="s">
        <v>432</v>
      </c>
      <c r="I22" s="280"/>
      <c r="J22" s="280"/>
      <c r="K22" s="280"/>
      <c r="L22" s="279" t="s">
        <v>334</v>
      </c>
      <c r="M22" s="279"/>
      <c r="N22" s="279"/>
      <c r="O22" s="135" t="s">
        <v>0</v>
      </c>
      <c r="P22" s="67"/>
      <c r="Q22" s="13"/>
    </row>
    <row r="23" spans="2:18" ht="15.75">
      <c r="B23" s="268"/>
      <c r="C23" s="142">
        <v>12</v>
      </c>
      <c r="D23" s="144" t="s">
        <v>495</v>
      </c>
      <c r="E23" s="228">
        <f>INDEX(Pomocnicza_Materiały_KRYZA!$C$5:$ED$8,4,MATCH(str.1!$E$19&amp;" - "&amp;$E$18,Pomocnicza_Materiały_KRYZA!$C$5:$EC$5,0))</f>
        <v>334</v>
      </c>
      <c r="F23" s="239">
        <f>INDEX(Pomocnicza_Materiały_KRYZA!$C$5:$ED$8,4,MATCH(str.1!$E$19&amp;" - "&amp;$E$18,Pomocnicza_Materiały_KRYZA!$C$5:$EC$5,0))</f>
        <v>334</v>
      </c>
      <c r="G23" s="194">
        <f>INDEX(Pomocnicza_Materiały_ŚRUBA!$C$5:$EE$8,4,MATCH(str.1!$G$19&amp;" - "&amp;$G$18,Pomocnicza_Materiały_ŚRUBA!$C$5:$EE$5,0))</f>
        <v>330</v>
      </c>
      <c r="H23" s="283" t="s">
        <v>432</v>
      </c>
      <c r="I23" s="280"/>
      <c r="J23" s="280"/>
      <c r="K23" s="280"/>
      <c r="L23" s="279" t="s">
        <v>335</v>
      </c>
      <c r="M23" s="279"/>
      <c r="N23" s="279"/>
      <c r="O23" s="135" t="s">
        <v>0</v>
      </c>
      <c r="P23" s="67"/>
      <c r="Q23" s="13"/>
    </row>
    <row r="24" spans="2:18" ht="15.75">
      <c r="B24" s="268"/>
      <c r="C24" s="142">
        <v>13</v>
      </c>
      <c r="D24" s="126" t="s">
        <v>37</v>
      </c>
      <c r="E24" s="126"/>
      <c r="F24" s="126"/>
      <c r="G24" s="126"/>
      <c r="H24" s="284" t="s">
        <v>433</v>
      </c>
      <c r="I24" s="280"/>
      <c r="J24" s="280"/>
      <c r="K24" s="280"/>
      <c r="L24" s="279" t="s">
        <v>336</v>
      </c>
      <c r="M24" s="279"/>
      <c r="N24" s="279"/>
      <c r="O24" s="135" t="s">
        <v>0</v>
      </c>
      <c r="P24" s="67"/>
      <c r="Q24" s="13"/>
    </row>
    <row r="25" spans="2:18" ht="15.75">
      <c r="B25" s="268"/>
      <c r="C25" s="142">
        <v>14</v>
      </c>
      <c r="D25" s="126" t="s">
        <v>35</v>
      </c>
      <c r="E25" s="76">
        <f>IF(E20=1,E21/1.5,IF(E20=2,E21/1.2,IF(E20=3,E21/1.5,0)))</f>
        <v>250</v>
      </c>
      <c r="F25" s="76">
        <f>IF(F20=1,F21/1.5,IF(F20=2,F21/1.2,IF(F20=3,F21/1.5,0)))</f>
        <v>250</v>
      </c>
      <c r="G25" s="76">
        <f>G21/3</f>
        <v>113.33333333333333</v>
      </c>
      <c r="H25" s="280" t="s">
        <v>153</v>
      </c>
      <c r="I25" s="280"/>
      <c r="J25" s="280"/>
      <c r="K25" s="280"/>
      <c r="L25" s="279" t="s">
        <v>337</v>
      </c>
      <c r="M25" s="279"/>
      <c r="N25" s="279"/>
      <c r="O25" s="135" t="s">
        <v>0</v>
      </c>
      <c r="P25" s="67"/>
      <c r="Q25" s="13"/>
    </row>
    <row r="26" spans="2:18" ht="15.75">
      <c r="B26" s="268"/>
      <c r="C26" s="142">
        <v>15</v>
      </c>
      <c r="D26" s="126" t="s">
        <v>36</v>
      </c>
      <c r="E26" s="76">
        <f>IF(E20=1,E22/2.4,IF(E20=2,E22/3,IF(E20=3,E22/2.4,0)))</f>
        <v>212.5</v>
      </c>
      <c r="F26" s="76">
        <f>IF(F20=1,F22/2.4,IF(F20=2,F22/3,IF(F20=3,F22/2.4,0)))</f>
        <v>212.5</v>
      </c>
      <c r="G26" s="76">
        <f>G22/4</f>
        <v>140</v>
      </c>
      <c r="H26" s="280" t="s">
        <v>153</v>
      </c>
      <c r="I26" s="280"/>
      <c r="J26" s="280"/>
      <c r="K26" s="280"/>
      <c r="L26" s="279" t="s">
        <v>338</v>
      </c>
      <c r="M26" s="279"/>
      <c r="N26" s="279"/>
      <c r="O26" s="135" t="s">
        <v>0</v>
      </c>
      <c r="P26" s="67"/>
      <c r="Q26" s="13"/>
    </row>
    <row r="27" spans="2:18" ht="15.75">
      <c r="B27" s="268"/>
      <c r="C27" s="142">
        <v>16</v>
      </c>
      <c r="D27" s="126" t="s">
        <v>33</v>
      </c>
      <c r="E27" s="76">
        <f>IF(E20=1,E23/1.5,IF(E20=2,E23/1.2,IF(E20=3,E23/1.5,0)))</f>
        <v>222.66666666666666</v>
      </c>
      <c r="F27" s="76">
        <f>IF(F20=1,F23/1.5,IF(F20=2,F23/1.2,IF(F20=3,F23/1.5,0)))</f>
        <v>222.66666666666666</v>
      </c>
      <c r="G27" s="76">
        <f>G23/3</f>
        <v>110</v>
      </c>
      <c r="H27" s="280" t="s">
        <v>153</v>
      </c>
      <c r="I27" s="280"/>
      <c r="J27" s="280"/>
      <c r="K27" s="280"/>
      <c r="L27" s="279" t="s">
        <v>339</v>
      </c>
      <c r="M27" s="279"/>
      <c r="N27" s="279"/>
      <c r="O27" s="135" t="s">
        <v>0</v>
      </c>
      <c r="P27" s="67"/>
      <c r="Q27" s="13"/>
    </row>
    <row r="28" spans="2:18" ht="15.75">
      <c r="B28" s="268"/>
      <c r="C28" s="142">
        <v>17</v>
      </c>
      <c r="D28" s="126" t="s">
        <v>34</v>
      </c>
      <c r="E28" s="76">
        <f>IF(E20=1,E24/2.4,IF(E20=2,E24/3,IF(E20=3,E24/2.4,0)))</f>
        <v>0</v>
      </c>
      <c r="F28" s="76">
        <f>IF(F20=1,F24/2.4,IF(F20=2,F24/3,IF(F20=3,F24/2.4,0)))</f>
        <v>0</v>
      </c>
      <c r="G28" s="76">
        <f>G24/4</f>
        <v>0</v>
      </c>
      <c r="H28" s="280" t="s">
        <v>153</v>
      </c>
      <c r="I28" s="280"/>
      <c r="J28" s="280"/>
      <c r="K28" s="280"/>
      <c r="L28" s="279" t="s">
        <v>339</v>
      </c>
      <c r="M28" s="279"/>
      <c r="N28" s="279"/>
      <c r="O28" s="135" t="s">
        <v>0</v>
      </c>
      <c r="P28" s="67"/>
      <c r="Q28" s="13"/>
    </row>
    <row r="29" spans="2:18" ht="15.75">
      <c r="B29" s="268"/>
      <c r="C29" s="142">
        <v>18</v>
      </c>
      <c r="D29" s="145" t="s">
        <v>145</v>
      </c>
      <c r="E29" s="146">
        <f>MIN(E25:E26)</f>
        <v>212.5</v>
      </c>
      <c r="F29" s="146">
        <f>MIN(F25:F26)</f>
        <v>212.5</v>
      </c>
      <c r="G29" s="146">
        <f>MIN(G25:G26)</f>
        <v>113.33333333333333</v>
      </c>
      <c r="H29" s="126" t="s">
        <v>38</v>
      </c>
      <c r="I29" s="280" t="s">
        <v>153</v>
      </c>
      <c r="J29" s="280"/>
      <c r="K29" s="280"/>
      <c r="L29" s="281" t="s">
        <v>340</v>
      </c>
      <c r="M29" s="281"/>
      <c r="N29" s="281"/>
      <c r="O29" s="147" t="s">
        <v>0</v>
      </c>
      <c r="P29" s="67"/>
      <c r="Q29" s="13"/>
    </row>
    <row r="30" spans="2:18" ht="16.5" thickBot="1">
      <c r="B30" s="268"/>
      <c r="C30" s="142">
        <v>19</v>
      </c>
      <c r="D30" s="126" t="s">
        <v>146</v>
      </c>
      <c r="E30" s="76">
        <f>MIN(E27:E28)</f>
        <v>0</v>
      </c>
      <c r="F30" s="76">
        <f>MIN(F27:F28)</f>
        <v>0</v>
      </c>
      <c r="G30" s="76">
        <f>MIN(G26:G27)</f>
        <v>110</v>
      </c>
      <c r="H30" s="137" t="s">
        <v>39</v>
      </c>
      <c r="I30" s="282" t="s">
        <v>153</v>
      </c>
      <c r="J30" s="282"/>
      <c r="K30" s="282"/>
      <c r="L30" s="279" t="s">
        <v>341</v>
      </c>
      <c r="M30" s="279"/>
      <c r="N30" s="279"/>
      <c r="O30" s="135" t="s">
        <v>0</v>
      </c>
      <c r="P30" s="67"/>
      <c r="Q30" s="13"/>
    </row>
    <row r="31" spans="2:18">
      <c r="B31" s="268"/>
      <c r="C31" s="285" t="s">
        <v>347</v>
      </c>
      <c r="D31" s="286"/>
      <c r="E31" s="286"/>
      <c r="F31" s="286"/>
      <c r="G31" s="286"/>
      <c r="H31" s="286"/>
      <c r="I31" s="286"/>
      <c r="J31" s="286"/>
      <c r="K31" s="286"/>
      <c r="L31" s="286"/>
      <c r="M31" s="286"/>
      <c r="N31" s="286"/>
      <c r="O31" s="287"/>
      <c r="P31" s="72"/>
      <c r="Q31" s="10"/>
    </row>
    <row r="32" spans="2:18" ht="13.5" thickBot="1">
      <c r="B32" s="268"/>
      <c r="C32" s="288"/>
      <c r="D32" s="289"/>
      <c r="E32" s="289"/>
      <c r="F32" s="289"/>
      <c r="G32" s="289"/>
      <c r="H32" s="289"/>
      <c r="I32" s="289"/>
      <c r="J32" s="289"/>
      <c r="K32" s="289"/>
      <c r="L32" s="289"/>
      <c r="M32" s="289"/>
      <c r="N32" s="289"/>
      <c r="O32" s="290"/>
      <c r="P32" s="72"/>
      <c r="Q32" s="10"/>
    </row>
    <row r="33" spans="1:17">
      <c r="B33" s="268"/>
      <c r="C33" s="366">
        <v>20</v>
      </c>
      <c r="D33" s="276" t="s">
        <v>348</v>
      </c>
      <c r="E33" s="276"/>
      <c r="F33" s="276"/>
      <c r="G33" s="295" t="str">
        <f>F4</f>
        <v>KOŁNIERZ SZYJKOWY TYP 11 PN100-DN400, EN 1092-1</v>
      </c>
      <c r="H33" s="295"/>
      <c r="I33" s="295"/>
      <c r="J33" s="295"/>
      <c r="K33" s="295"/>
      <c r="L33" s="346" t="s">
        <v>54</v>
      </c>
      <c r="M33" s="346"/>
      <c r="N33" s="346"/>
      <c r="O33" s="262"/>
      <c r="P33" s="72"/>
      <c r="Q33" s="10"/>
    </row>
    <row r="34" spans="1:17">
      <c r="B34" s="268"/>
      <c r="C34" s="367"/>
      <c r="D34" s="277"/>
      <c r="E34" s="277"/>
      <c r="F34" s="277"/>
      <c r="G34" s="296"/>
      <c r="H34" s="296"/>
      <c r="I34" s="296"/>
      <c r="J34" s="296"/>
      <c r="K34" s="296"/>
      <c r="L34" s="278"/>
      <c r="M34" s="278"/>
      <c r="N34" s="278"/>
      <c r="O34" s="263"/>
      <c r="P34" s="72"/>
      <c r="Q34" s="10"/>
    </row>
    <row r="35" spans="1:17">
      <c r="B35" s="268"/>
      <c r="C35" s="148">
        <v>21</v>
      </c>
      <c r="D35" s="125" t="s">
        <v>40</v>
      </c>
      <c r="E35" s="278">
        <f>Pomocnicza_kołnierze!T2</f>
        <v>685.8</v>
      </c>
      <c r="F35" s="278"/>
      <c r="G35" s="278"/>
      <c r="H35" s="278"/>
      <c r="I35" s="278"/>
      <c r="J35" s="278"/>
      <c r="K35" s="278"/>
      <c r="L35" s="279" t="s">
        <v>349</v>
      </c>
      <c r="M35" s="279"/>
      <c r="N35" s="279"/>
      <c r="O35" s="135" t="s">
        <v>2</v>
      </c>
      <c r="P35" s="67"/>
      <c r="Q35" s="13"/>
    </row>
    <row r="36" spans="1:17" ht="15.75">
      <c r="B36" s="268"/>
      <c r="C36" s="148">
        <v>22</v>
      </c>
      <c r="D36" s="125" t="s">
        <v>44</v>
      </c>
      <c r="E36" s="297">
        <f>E39-2*E46</f>
        <v>406.4</v>
      </c>
      <c r="F36" s="297"/>
      <c r="G36" s="280" t="s">
        <v>149</v>
      </c>
      <c r="H36" s="280"/>
      <c r="I36" s="280"/>
      <c r="J36" s="280"/>
      <c r="K36" s="280"/>
      <c r="L36" s="279" t="s">
        <v>350</v>
      </c>
      <c r="M36" s="279"/>
      <c r="N36" s="279"/>
      <c r="O36" s="135" t="s">
        <v>2</v>
      </c>
      <c r="P36" s="67"/>
      <c r="Q36" s="13"/>
    </row>
    <row r="37" spans="1:17">
      <c r="B37" s="268"/>
      <c r="C37" s="148">
        <v>23</v>
      </c>
      <c r="D37" s="125" t="s">
        <v>11</v>
      </c>
      <c r="E37" s="278">
        <f>Pomocnicza_kołnierze!T4</f>
        <v>603.29999999999995</v>
      </c>
      <c r="F37" s="278"/>
      <c r="G37" s="278"/>
      <c r="H37" s="278"/>
      <c r="I37" s="278"/>
      <c r="J37" s="278"/>
      <c r="K37" s="278"/>
      <c r="L37" s="347" t="s">
        <v>351</v>
      </c>
      <c r="M37" s="347"/>
      <c r="N37" s="347"/>
      <c r="O37" s="135" t="s">
        <v>2</v>
      </c>
      <c r="P37" s="79" t="s">
        <v>164</v>
      </c>
      <c r="Q37" s="13"/>
    </row>
    <row r="38" spans="1:17" ht="15.75">
      <c r="B38" s="268"/>
      <c r="C38" s="148">
        <v>24</v>
      </c>
      <c r="D38" s="125" t="s">
        <v>30</v>
      </c>
      <c r="E38" s="278">
        <f>Pomocnicza_kołnierze!T5</f>
        <v>495.3</v>
      </c>
      <c r="F38" s="278"/>
      <c r="G38" s="278"/>
      <c r="H38" s="278"/>
      <c r="I38" s="278"/>
      <c r="J38" s="278"/>
      <c r="K38" s="278"/>
      <c r="L38" s="279" t="s">
        <v>352</v>
      </c>
      <c r="M38" s="279"/>
      <c r="N38" s="279"/>
      <c r="O38" s="135" t="s">
        <v>2</v>
      </c>
      <c r="P38" s="67"/>
      <c r="Q38" s="13"/>
    </row>
    <row r="39" spans="1:17" ht="15.75">
      <c r="B39" s="268"/>
      <c r="C39" s="148">
        <v>25</v>
      </c>
      <c r="D39" s="125" t="s">
        <v>14</v>
      </c>
      <c r="E39" s="278">
        <f>Pomocnicza_kołnierze!T6</f>
        <v>406.4</v>
      </c>
      <c r="F39" s="278"/>
      <c r="G39" s="278"/>
      <c r="H39" s="278"/>
      <c r="I39" s="278"/>
      <c r="J39" s="278"/>
      <c r="K39" s="278"/>
      <c r="L39" s="279" t="s">
        <v>353</v>
      </c>
      <c r="M39" s="279"/>
      <c r="N39" s="279"/>
      <c r="O39" s="135" t="s">
        <v>2</v>
      </c>
      <c r="P39" s="67"/>
      <c r="Q39" s="13"/>
    </row>
    <row r="40" spans="1:17" ht="15.75">
      <c r="B40" s="268"/>
      <c r="C40" s="148">
        <v>26</v>
      </c>
      <c r="D40" s="125" t="s">
        <v>16</v>
      </c>
      <c r="E40" s="278">
        <f>Pomocnicza_kołnierze!T7</f>
        <v>48</v>
      </c>
      <c r="F40" s="278"/>
      <c r="G40" s="278"/>
      <c r="H40" s="278"/>
      <c r="I40" s="278"/>
      <c r="J40" s="278"/>
      <c r="K40" s="278"/>
      <c r="L40" s="279" t="s">
        <v>354</v>
      </c>
      <c r="M40" s="279"/>
      <c r="N40" s="279"/>
      <c r="O40" s="135" t="s">
        <v>2</v>
      </c>
      <c r="P40" s="67"/>
      <c r="Q40" s="13"/>
    </row>
    <row r="41" spans="1:17" ht="15.75">
      <c r="B41" s="268"/>
      <c r="C41" s="148">
        <v>27</v>
      </c>
      <c r="D41" s="125" t="s">
        <v>47</v>
      </c>
      <c r="E41" s="280">
        <f>Pomocnicza_kołnierze!T8</f>
        <v>551.29999999999995</v>
      </c>
      <c r="F41" s="280"/>
      <c r="G41" s="280"/>
      <c r="H41" s="280"/>
      <c r="I41" s="280"/>
      <c r="J41" s="280"/>
      <c r="K41" s="280"/>
      <c r="L41" s="375" t="s">
        <v>355</v>
      </c>
      <c r="M41" s="279"/>
      <c r="N41" s="279"/>
      <c r="O41" s="135" t="s">
        <v>2</v>
      </c>
      <c r="P41" s="67"/>
      <c r="Q41" s="13"/>
    </row>
    <row r="42" spans="1:17" ht="15.75">
      <c r="B42" s="268"/>
      <c r="C42" s="148">
        <v>28</v>
      </c>
      <c r="D42" s="125" t="s">
        <v>48</v>
      </c>
      <c r="E42" s="280">
        <f>Pomocnicza_kołnierze!T9</f>
        <v>422</v>
      </c>
      <c r="F42" s="280"/>
      <c r="G42" s="280"/>
      <c r="H42" s="280"/>
      <c r="I42" s="280"/>
      <c r="J42" s="280"/>
      <c r="K42" s="280"/>
      <c r="L42" s="279" t="s">
        <v>356</v>
      </c>
      <c r="M42" s="279"/>
      <c r="N42" s="279"/>
      <c r="O42" s="135" t="s">
        <v>2</v>
      </c>
      <c r="P42" s="67"/>
      <c r="Q42" s="13"/>
    </row>
    <row r="43" spans="1:17" ht="15.75">
      <c r="B43" s="268"/>
      <c r="C43" s="148">
        <v>29</v>
      </c>
      <c r="D43" s="125" t="s">
        <v>49</v>
      </c>
      <c r="E43" s="280">
        <f>Pomocnicza_kołnierze!T10</f>
        <v>456</v>
      </c>
      <c r="F43" s="280"/>
      <c r="G43" s="280"/>
      <c r="H43" s="280"/>
      <c r="I43" s="280"/>
      <c r="J43" s="280"/>
      <c r="K43" s="280"/>
      <c r="L43" s="279" t="s">
        <v>357</v>
      </c>
      <c r="M43" s="279"/>
      <c r="N43" s="279"/>
      <c r="O43" s="135" t="s">
        <v>2</v>
      </c>
      <c r="P43" s="67"/>
      <c r="Q43" s="13"/>
    </row>
    <row r="44" spans="1:17">
      <c r="B44" s="268"/>
      <c r="C44" s="148">
        <v>30</v>
      </c>
      <c r="D44" s="125" t="s">
        <v>41</v>
      </c>
      <c r="E44" s="278">
        <f>Pomocnicza_kołnierze!T11</f>
        <v>78.599999999999994</v>
      </c>
      <c r="F44" s="278"/>
      <c r="G44" s="278"/>
      <c r="H44" s="278"/>
      <c r="I44" s="278"/>
      <c r="J44" s="278"/>
      <c r="K44" s="278"/>
      <c r="L44" s="279" t="s">
        <v>358</v>
      </c>
      <c r="M44" s="279"/>
      <c r="N44" s="279"/>
      <c r="O44" s="135" t="s">
        <v>2</v>
      </c>
      <c r="P44" s="67"/>
      <c r="Q44" s="13"/>
    </row>
    <row r="45" spans="1:17" ht="15.75">
      <c r="A45" s="35"/>
      <c r="B45" s="268"/>
      <c r="C45" s="148">
        <v>31</v>
      </c>
      <c r="D45" s="125" t="s">
        <v>28</v>
      </c>
      <c r="E45" s="278"/>
      <c r="F45" s="278"/>
      <c r="G45" s="278"/>
      <c r="H45" s="278"/>
      <c r="I45" s="278"/>
      <c r="J45" s="278"/>
      <c r="K45" s="278"/>
      <c r="L45" s="279" t="s">
        <v>359</v>
      </c>
      <c r="M45" s="279"/>
      <c r="N45" s="279"/>
      <c r="O45" s="135" t="s">
        <v>2</v>
      </c>
      <c r="P45" s="67"/>
      <c r="Q45" s="13"/>
    </row>
    <row r="46" spans="1:17" ht="15.75">
      <c r="A46" s="35"/>
      <c r="B46" s="268"/>
      <c r="C46" s="148">
        <v>32</v>
      </c>
      <c r="D46" s="125" t="s">
        <v>42</v>
      </c>
      <c r="E46" s="294">
        <f>E45*(1-E14/100)-E13-E15</f>
        <v>0</v>
      </c>
      <c r="F46" s="294"/>
      <c r="G46" s="278" t="s">
        <v>148</v>
      </c>
      <c r="H46" s="278"/>
      <c r="I46" s="278"/>
      <c r="J46" s="278"/>
      <c r="K46" s="278"/>
      <c r="L46" s="279" t="s">
        <v>360</v>
      </c>
      <c r="M46" s="279"/>
      <c r="N46" s="279"/>
      <c r="O46" s="135" t="s">
        <v>2</v>
      </c>
      <c r="P46" s="67"/>
      <c r="Q46" s="13"/>
    </row>
    <row r="47" spans="1:17" ht="15.75">
      <c r="A47" s="35"/>
      <c r="B47" s="268"/>
      <c r="C47" s="148">
        <v>33</v>
      </c>
      <c r="D47" s="125" t="s">
        <v>45</v>
      </c>
      <c r="E47" s="294">
        <f>(E38-E36)/2</f>
        <v>44.450000000000017</v>
      </c>
      <c r="F47" s="294"/>
      <c r="G47" s="278" t="s">
        <v>46</v>
      </c>
      <c r="H47" s="278"/>
      <c r="I47" s="278"/>
      <c r="J47" s="278"/>
      <c r="K47" s="278"/>
      <c r="L47" s="279" t="s">
        <v>361</v>
      </c>
      <c r="M47" s="279"/>
      <c r="N47" s="279"/>
      <c r="O47" s="135" t="s">
        <v>2</v>
      </c>
      <c r="P47" s="67"/>
      <c r="Q47" s="13"/>
    </row>
    <row r="48" spans="1:17" ht="15.75">
      <c r="A48" s="35"/>
      <c r="B48" s="269"/>
      <c r="C48" s="148">
        <v>34</v>
      </c>
      <c r="D48" s="125" t="s">
        <v>32</v>
      </c>
      <c r="E48" s="291">
        <v>4.5</v>
      </c>
      <c r="F48" s="292"/>
      <c r="G48" s="280"/>
      <c r="H48" s="280"/>
      <c r="I48" s="280"/>
      <c r="J48" s="280"/>
      <c r="K48" s="280"/>
      <c r="L48" s="279" t="s">
        <v>362</v>
      </c>
      <c r="M48" s="279"/>
      <c r="N48" s="279"/>
      <c r="O48" s="135" t="s">
        <v>2</v>
      </c>
      <c r="P48" s="67"/>
      <c r="Q48" s="13"/>
    </row>
    <row r="49" spans="1:17" ht="15" customHeight="1">
      <c r="B49" s="268"/>
      <c r="C49" s="148">
        <v>35</v>
      </c>
      <c r="D49" s="125" t="s">
        <v>13</v>
      </c>
      <c r="E49" s="278">
        <f>Pomocnicza_kołnierze!T16</f>
        <v>100.19999999999999</v>
      </c>
      <c r="F49" s="278"/>
      <c r="G49" s="278"/>
      <c r="H49" s="278"/>
      <c r="I49" s="278"/>
      <c r="J49" s="278"/>
      <c r="K49" s="278"/>
      <c r="L49" s="279" t="s">
        <v>363</v>
      </c>
      <c r="M49" s="279"/>
      <c r="N49" s="279"/>
      <c r="O49" s="135" t="s">
        <v>2</v>
      </c>
      <c r="P49" s="67"/>
      <c r="Q49" s="13"/>
    </row>
    <row r="50" spans="1:17" ht="16.5" thickBot="1">
      <c r="B50" s="268"/>
      <c r="C50" s="136">
        <v>36</v>
      </c>
      <c r="D50" s="128" t="s">
        <v>15</v>
      </c>
      <c r="E50" s="308">
        <f>Pomocnicza_kołnierze!T17</f>
        <v>20</v>
      </c>
      <c r="F50" s="308"/>
      <c r="G50" s="307"/>
      <c r="H50" s="307"/>
      <c r="I50" s="307"/>
      <c r="J50" s="307"/>
      <c r="K50" s="307"/>
      <c r="L50" s="293" t="s">
        <v>364</v>
      </c>
      <c r="M50" s="293"/>
      <c r="N50" s="293"/>
      <c r="O50" s="149"/>
      <c r="P50" s="67"/>
      <c r="Q50" s="13"/>
    </row>
    <row r="51" spans="1:17">
      <c r="B51" s="268"/>
      <c r="C51" s="150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150"/>
      <c r="O51" s="150"/>
      <c r="P51" s="67"/>
      <c r="Q51" s="13"/>
    </row>
    <row r="52" spans="1:17">
      <c r="B52" s="268"/>
      <c r="C52" s="150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150"/>
      <c r="O52" s="151"/>
      <c r="P52" s="369"/>
      <c r="Q52" s="10"/>
    </row>
    <row r="53" spans="1:17">
      <c r="A53" s="35"/>
      <c r="B53" s="268"/>
      <c r="C53" s="150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150"/>
      <c r="O53" s="150"/>
      <c r="P53" s="369"/>
      <c r="Q53" s="10"/>
    </row>
    <row r="54" spans="1:17">
      <c r="B54" s="268"/>
      <c r="C54" s="150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150"/>
      <c r="O54" s="151"/>
      <c r="P54" s="369"/>
      <c r="Q54" s="10"/>
    </row>
    <row r="55" spans="1:17">
      <c r="B55" s="268"/>
      <c r="C55" s="150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150"/>
      <c r="O55" s="150"/>
      <c r="P55" s="369"/>
      <c r="Q55" s="10"/>
    </row>
    <row r="56" spans="1:17">
      <c r="B56" s="268"/>
      <c r="C56" s="150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150"/>
      <c r="O56" s="151"/>
      <c r="P56" s="369"/>
      <c r="Q56" s="10"/>
    </row>
    <row r="57" spans="1:17">
      <c r="B57" s="268"/>
      <c r="C57" s="150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150"/>
      <c r="O57" s="150"/>
      <c r="P57" s="369"/>
      <c r="Q57" s="10"/>
    </row>
    <row r="58" spans="1:17">
      <c r="B58" s="268"/>
      <c r="C58" s="150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150"/>
      <c r="O58" s="150"/>
      <c r="P58" s="369"/>
      <c r="Q58" s="10"/>
    </row>
    <row r="59" spans="1:17">
      <c r="B59" s="268"/>
      <c r="C59" s="150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150"/>
      <c r="O59" s="151"/>
      <c r="P59" s="369"/>
      <c r="Q59" s="10"/>
    </row>
    <row r="60" spans="1:17">
      <c r="B60" s="268"/>
      <c r="C60" s="150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150"/>
      <c r="O60" s="151"/>
      <c r="P60" s="369"/>
      <c r="Q60" s="10"/>
    </row>
    <row r="61" spans="1:17">
      <c r="B61" s="268"/>
      <c r="C61" s="150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150"/>
      <c r="O61" s="151"/>
      <c r="P61" s="369"/>
      <c r="Q61" s="10"/>
    </row>
    <row r="62" spans="1:17">
      <c r="B62" s="268"/>
      <c r="C62" s="150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150"/>
      <c r="O62" s="151"/>
      <c r="P62" s="369"/>
      <c r="Q62" s="10"/>
    </row>
    <row r="63" spans="1:17">
      <c r="B63" s="268"/>
      <c r="C63" s="150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150"/>
      <c r="O63" s="151"/>
      <c r="P63" s="369"/>
      <c r="Q63" s="10"/>
    </row>
    <row r="64" spans="1:17">
      <c r="B64" s="268"/>
      <c r="C64" s="150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150"/>
      <c r="O64" s="151"/>
      <c r="P64" s="369"/>
      <c r="Q64" s="10"/>
    </row>
    <row r="65" spans="2:17">
      <c r="B65" s="268"/>
      <c r="C65" s="150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150"/>
      <c r="O65" s="151"/>
      <c r="P65" s="369"/>
      <c r="Q65" s="10"/>
    </row>
    <row r="66" spans="2:17">
      <c r="B66" s="268"/>
      <c r="C66" s="150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150"/>
      <c r="O66" s="151"/>
      <c r="P66" s="369"/>
      <c r="Q66" s="10"/>
    </row>
    <row r="67" spans="2:17">
      <c r="B67" s="268"/>
      <c r="C67" s="150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150"/>
      <c r="O67" s="151"/>
      <c r="P67" s="369"/>
      <c r="Q67" s="10"/>
    </row>
    <row r="68" spans="2:17">
      <c r="B68" s="268"/>
      <c r="C68" s="150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150"/>
      <c r="O68" s="151"/>
      <c r="P68" s="369"/>
      <c r="Q68" s="10"/>
    </row>
    <row r="69" spans="2:17">
      <c r="B69" s="268"/>
      <c r="C69" s="150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150"/>
      <c r="O69" s="151"/>
      <c r="P69" s="369"/>
      <c r="Q69" s="10"/>
    </row>
    <row r="70" spans="2:17">
      <c r="B70" s="268"/>
      <c r="C70" s="150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150"/>
      <c r="O70" s="151"/>
      <c r="P70" s="369"/>
      <c r="Q70" s="10"/>
    </row>
    <row r="71" spans="2:17">
      <c r="B71" s="268"/>
      <c r="C71" s="150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150"/>
      <c r="O71" s="151"/>
      <c r="P71" s="369"/>
      <c r="Q71" s="10"/>
    </row>
    <row r="72" spans="2:17">
      <c r="B72" s="268"/>
      <c r="C72" s="150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150"/>
      <c r="O72" s="151"/>
      <c r="P72" s="369"/>
      <c r="Q72" s="10"/>
    </row>
    <row r="73" spans="2:17">
      <c r="B73" s="268"/>
      <c r="C73" s="150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150"/>
      <c r="O73" s="151"/>
      <c r="P73" s="369"/>
      <c r="Q73" s="10"/>
    </row>
    <row r="74" spans="2:17">
      <c r="B74" s="268"/>
      <c r="C74" s="150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150"/>
      <c r="O74" s="151"/>
      <c r="P74" s="369"/>
      <c r="Q74" s="10"/>
    </row>
    <row r="75" spans="2:17">
      <c r="B75" s="268"/>
      <c r="C75" s="127"/>
      <c r="D75" s="152"/>
      <c r="E75" s="152"/>
      <c r="F75" s="152"/>
      <c r="G75" s="152"/>
      <c r="H75" s="152"/>
      <c r="I75" s="152"/>
      <c r="J75" s="152"/>
      <c r="K75" s="309"/>
      <c r="L75" s="254"/>
      <c r="M75" s="254"/>
      <c r="N75" s="254"/>
      <c r="O75" s="310"/>
      <c r="P75" s="67"/>
      <c r="Q75" s="13"/>
    </row>
    <row r="76" spans="2:17" ht="13.5" thickBot="1">
      <c r="B76" s="268"/>
      <c r="C76" s="153"/>
      <c r="D76" s="154"/>
      <c r="E76" s="154"/>
      <c r="F76" s="154"/>
      <c r="G76" s="154"/>
      <c r="H76" s="154"/>
      <c r="I76" s="154"/>
      <c r="J76" s="154"/>
      <c r="K76" s="311"/>
      <c r="L76" s="312"/>
      <c r="M76" s="312"/>
      <c r="N76" s="312"/>
      <c r="O76" s="302"/>
      <c r="P76" s="67"/>
      <c r="Q76" s="13"/>
    </row>
    <row r="77" spans="2:17">
      <c r="B77" s="268"/>
      <c r="C77" s="303" t="s">
        <v>321</v>
      </c>
      <c r="D77" s="305" t="s">
        <v>365</v>
      </c>
      <c r="E77" s="30" t="s">
        <v>366</v>
      </c>
      <c r="F77" s="28" t="s">
        <v>367</v>
      </c>
      <c r="G77" s="30" t="s">
        <v>366</v>
      </c>
      <c r="H77" s="28" t="s">
        <v>367</v>
      </c>
      <c r="I77" s="30" t="s">
        <v>366</v>
      </c>
      <c r="J77" s="28" t="s">
        <v>367</v>
      </c>
      <c r="K77" s="274" t="s">
        <v>368</v>
      </c>
      <c r="L77" s="274"/>
      <c r="M77" s="274"/>
      <c r="N77" s="274"/>
      <c r="O77" s="275"/>
      <c r="P77" s="225"/>
      <c r="Q77" s="13"/>
    </row>
    <row r="78" spans="2:17" ht="13.5" thickBot="1">
      <c r="B78" s="268"/>
      <c r="C78" s="304"/>
      <c r="D78" s="306"/>
      <c r="E78" s="271" t="s">
        <v>369</v>
      </c>
      <c r="F78" s="272"/>
      <c r="G78" s="271" t="s">
        <v>370</v>
      </c>
      <c r="H78" s="272"/>
      <c r="I78" s="271" t="s">
        <v>371</v>
      </c>
      <c r="J78" s="272"/>
      <c r="K78" s="273"/>
      <c r="L78" s="273"/>
      <c r="M78" s="273"/>
      <c r="N78" s="273"/>
      <c r="O78" s="272"/>
      <c r="P78" s="225"/>
      <c r="Q78" s="13"/>
    </row>
    <row r="79" spans="2:17" ht="13.5" thickBot="1">
      <c r="B79" s="268"/>
      <c r="C79" s="298" t="s">
        <v>375</v>
      </c>
      <c r="D79" s="298"/>
      <c r="E79" s="299" t="s">
        <v>268</v>
      </c>
      <c r="F79" s="300"/>
      <c r="G79" s="299" t="s">
        <v>269</v>
      </c>
      <c r="H79" s="300"/>
      <c r="I79" s="299" t="s">
        <v>270</v>
      </c>
      <c r="J79" s="300"/>
      <c r="K79" s="157"/>
      <c r="L79" s="29" t="s">
        <v>24</v>
      </c>
      <c r="M79" s="29" t="s">
        <v>372</v>
      </c>
      <c r="N79" s="241" t="s">
        <v>373</v>
      </c>
      <c r="O79" s="9" t="s">
        <v>374</v>
      </c>
      <c r="P79" s="225"/>
      <c r="Q79" s="13"/>
    </row>
    <row r="80" spans="2:17" ht="13.5" thickBot="1">
      <c r="B80" s="270"/>
      <c r="C80" s="273" t="s">
        <v>367</v>
      </c>
      <c r="D80" s="273"/>
      <c r="E80" s="301">
        <v>44300</v>
      </c>
      <c r="F80" s="302"/>
      <c r="G80" s="301">
        <f>E80</f>
        <v>44300</v>
      </c>
      <c r="H80" s="302"/>
      <c r="I80" s="301">
        <f>E80</f>
        <v>44300</v>
      </c>
      <c r="J80" s="302"/>
      <c r="K80" s="161"/>
      <c r="L80" s="160"/>
      <c r="M80" s="251"/>
      <c r="N80" s="251"/>
      <c r="O80" s="229" t="s">
        <v>488</v>
      </c>
      <c r="P80" s="226"/>
      <c r="Q80" s="13"/>
    </row>
    <row r="81" spans="1:20" s="13" customFormat="1">
      <c r="B81" s="31"/>
      <c r="C81" s="10"/>
      <c r="N81" s="10"/>
      <c r="O81" s="10"/>
      <c r="R81" s="24"/>
    </row>
    <row r="82" spans="1:20" s="13" customFormat="1">
      <c r="A82" s="22"/>
      <c r="B82" s="22"/>
      <c r="C82" s="23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3"/>
      <c r="O82" s="26"/>
      <c r="P82" s="22"/>
      <c r="Q82" s="22"/>
      <c r="R82" s="22"/>
    </row>
    <row r="83" spans="1:20" s="13" customFormat="1">
      <c r="C83" s="10"/>
      <c r="N83" s="10"/>
      <c r="O83" s="10"/>
      <c r="P83" s="33"/>
      <c r="Q83" s="33"/>
      <c r="R83" s="33"/>
    </row>
    <row r="84" spans="1:20" s="32" customFormat="1">
      <c r="P84" s="33"/>
      <c r="Q84" s="33"/>
      <c r="R84" s="33"/>
    </row>
    <row r="85" spans="1:20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4"/>
    </row>
    <row r="86" spans="1:20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4"/>
    </row>
    <row r="87" spans="1:20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4"/>
    </row>
    <row r="88" spans="1:20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4"/>
    </row>
    <row r="89" spans="1:20" s="13" customForma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</row>
    <row r="90" spans="1:20" s="13" customForma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</row>
    <row r="91" spans="1:20" s="13" customForma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</row>
    <row r="92" spans="1:20" s="13" customForma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</row>
    <row r="93" spans="1:20" s="13" customForma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</row>
    <row r="94" spans="1:20" s="13" customForma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</row>
    <row r="95" spans="1:20" s="13" customForma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</row>
    <row r="96" spans="1:20" s="13" customForma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</row>
    <row r="97" spans="1:20" s="13" customForma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</row>
    <row r="98" spans="1:20" s="13" customForma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</row>
    <row r="99" spans="1:20" s="13" customForma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</row>
    <row r="100" spans="1:20" s="13" customForma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</row>
    <row r="101" spans="1:20" s="13" customForma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</row>
    <row r="102" spans="1:20" s="13" customForma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</row>
    <row r="103" spans="1:20" s="13" customForma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</row>
    <row r="104" spans="1:20" s="13" customForma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</row>
    <row r="105" spans="1:20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4"/>
    </row>
    <row r="106" spans="1:20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4"/>
    </row>
    <row r="107" spans="1:20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4"/>
    </row>
    <row r="108" spans="1:20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4"/>
      <c r="T108" s="34"/>
    </row>
    <row r="109" spans="1:20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4"/>
      <c r="T109" s="34"/>
    </row>
    <row r="110" spans="1:20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4"/>
      <c r="T110" s="34"/>
    </row>
    <row r="111" spans="1:20" ht="27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4"/>
      <c r="T111" s="34"/>
    </row>
    <row r="112" spans="1:20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4"/>
      <c r="T112" s="34"/>
    </row>
    <row r="113" spans="1:20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4"/>
      <c r="T113" s="34"/>
    </row>
    <row r="114" spans="1:20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4"/>
      <c r="T114" s="34"/>
    </row>
    <row r="115" spans="1:20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4"/>
      <c r="T115" s="34"/>
    </row>
    <row r="116" spans="1:20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4"/>
      <c r="T116" s="34"/>
    </row>
    <row r="117" spans="1:20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4"/>
      <c r="T117" s="34"/>
    </row>
    <row r="118" spans="1:20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4"/>
      <c r="T118" s="34"/>
    </row>
    <row r="119" spans="1:20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4"/>
      <c r="T119" s="34"/>
    </row>
    <row r="120" spans="1:20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4"/>
      <c r="T120" s="34"/>
    </row>
    <row r="121" spans="1:20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4"/>
      <c r="T121" s="34"/>
    </row>
    <row r="122" spans="1:20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4"/>
      <c r="T122" s="34"/>
    </row>
    <row r="123" spans="1:20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4"/>
      <c r="T123" s="34"/>
    </row>
    <row r="124" spans="1:20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4"/>
      <c r="T124" s="34"/>
    </row>
    <row r="125" spans="1:20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4"/>
      <c r="T125" s="34"/>
    </row>
    <row r="126" spans="1:20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4"/>
      <c r="T126" s="34"/>
    </row>
    <row r="127" spans="1:20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4"/>
      <c r="T127" s="34"/>
    </row>
    <row r="128" spans="1:20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4"/>
      <c r="T128" s="34"/>
    </row>
    <row r="129" spans="1:20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4"/>
      <c r="T129" s="34"/>
    </row>
    <row r="130" spans="1:2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4"/>
      <c r="T130" s="34"/>
    </row>
    <row r="131" spans="1:20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4"/>
      <c r="T131" s="34"/>
    </row>
    <row r="132" spans="1:20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4"/>
      <c r="T132" s="34"/>
    </row>
    <row r="133" spans="1:20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4"/>
      <c r="T133" s="34"/>
    </row>
    <row r="134" spans="1:20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4"/>
      <c r="T134" s="34"/>
    </row>
    <row r="135" spans="1:20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4"/>
      <c r="T135" s="34"/>
    </row>
    <row r="136" spans="1:20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4"/>
      <c r="T136" s="34"/>
    </row>
    <row r="137" spans="1:20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4"/>
      <c r="T137" s="34"/>
    </row>
    <row r="138" spans="1:20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4"/>
      <c r="T138" s="34"/>
    </row>
    <row r="139" spans="1:20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4"/>
      <c r="T139" s="34"/>
    </row>
    <row r="140" spans="1:2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4"/>
      <c r="T140" s="34"/>
    </row>
    <row r="141" spans="1:20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4"/>
      <c r="T141" s="34"/>
    </row>
    <row r="142" spans="1:20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4"/>
      <c r="T142" s="34"/>
    </row>
    <row r="143" spans="1:20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4"/>
      <c r="T143" s="34"/>
    </row>
    <row r="144" spans="1:20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4"/>
      <c r="T144" s="34"/>
    </row>
    <row r="145" spans="1:20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4"/>
      <c r="T145" s="34"/>
    </row>
    <row r="146" spans="1:20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4"/>
      <c r="T146" s="34"/>
    </row>
    <row r="147" spans="1:20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4"/>
      <c r="T147" s="34"/>
    </row>
    <row r="148" spans="1:20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4"/>
      <c r="T148" s="34"/>
    </row>
    <row r="149" spans="1:20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4"/>
      <c r="T149" s="34"/>
    </row>
    <row r="150" spans="1:2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4"/>
      <c r="T150" s="34"/>
    </row>
    <row r="151" spans="1:20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4"/>
      <c r="T151" s="34"/>
    </row>
    <row r="152" spans="1:20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4"/>
      <c r="T152" s="34"/>
    </row>
    <row r="153" spans="1:20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4"/>
      <c r="T153" s="34"/>
    </row>
    <row r="154" spans="1:20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4"/>
      <c r="T154" s="34"/>
    </row>
    <row r="155" spans="1:20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4"/>
      <c r="T155" s="34"/>
    </row>
    <row r="156" spans="1:20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4"/>
      <c r="T156" s="34"/>
    </row>
    <row r="157" spans="1:20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4"/>
      <c r="T157" s="34"/>
    </row>
    <row r="158" spans="1:20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4"/>
      <c r="T158" s="34"/>
    </row>
    <row r="159" spans="1:20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4"/>
      <c r="T159" s="34"/>
    </row>
    <row r="160" spans="1:2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4"/>
      <c r="T160" s="34"/>
    </row>
    <row r="161" spans="1:20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4"/>
      <c r="T161" s="34"/>
    </row>
    <row r="162" spans="1:20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4"/>
      <c r="T162" s="34"/>
    </row>
    <row r="163" spans="1:20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4"/>
      <c r="T163" s="34"/>
    </row>
    <row r="164" spans="1:20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4"/>
      <c r="T164" s="34"/>
    </row>
    <row r="165" spans="1:20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4"/>
      <c r="T165" s="34"/>
    </row>
    <row r="166" spans="1:20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4"/>
      <c r="T166" s="34"/>
    </row>
    <row r="167" spans="1:20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4"/>
      <c r="T167" s="34"/>
    </row>
    <row r="168" spans="1:20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4"/>
      <c r="T168" s="34"/>
    </row>
    <row r="169" spans="1:20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4"/>
      <c r="T169" s="34"/>
    </row>
    <row r="170" spans="1:2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4"/>
      <c r="T170" s="34"/>
    </row>
    <row r="171" spans="1:20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4"/>
      <c r="T171" s="34"/>
    </row>
    <row r="172" spans="1:20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4"/>
      <c r="T172" s="34"/>
    </row>
    <row r="173" spans="1:20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4"/>
      <c r="T173" s="34"/>
    </row>
    <row r="174" spans="1:20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4"/>
      <c r="T174" s="34"/>
    </row>
    <row r="175" spans="1:20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4"/>
      <c r="T175" s="34"/>
    </row>
    <row r="176" spans="1:20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4"/>
      <c r="T176" s="34"/>
    </row>
    <row r="177" spans="1:20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4"/>
      <c r="T177" s="34"/>
    </row>
    <row r="178" spans="1:20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4"/>
      <c r="T178" s="34"/>
    </row>
    <row r="179" spans="1:20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4"/>
      <c r="T179" s="34"/>
    </row>
    <row r="180" spans="1:2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4"/>
      <c r="T180" s="34"/>
    </row>
    <row r="181" spans="1:20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4"/>
      <c r="T181" s="34"/>
    </row>
    <row r="182" spans="1:20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4"/>
      <c r="T182" s="34"/>
    </row>
    <row r="183" spans="1:20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4"/>
      <c r="T183" s="34"/>
    </row>
    <row r="184" spans="1:20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4"/>
      <c r="T184" s="34"/>
    </row>
    <row r="185" spans="1:20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4"/>
      <c r="T185" s="34"/>
    </row>
    <row r="186" spans="1:20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4"/>
      <c r="T186" s="34"/>
    </row>
    <row r="187" spans="1:20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4"/>
      <c r="T187" s="34"/>
    </row>
    <row r="188" spans="1:20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4"/>
      <c r="T188" s="34"/>
    </row>
    <row r="189" spans="1:20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4"/>
      <c r="T189" s="34"/>
    </row>
    <row r="190" spans="1:2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4"/>
      <c r="T190" s="34"/>
    </row>
    <row r="191" spans="1:20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4"/>
      <c r="T191" s="34"/>
    </row>
    <row r="192" spans="1:20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4"/>
      <c r="T192" s="34"/>
    </row>
    <row r="193" spans="1:20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4"/>
      <c r="T193" s="34"/>
    </row>
    <row r="194" spans="1:20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4"/>
      <c r="T194" s="34"/>
    </row>
    <row r="195" spans="1:20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4"/>
      <c r="T195" s="34"/>
    </row>
    <row r="196" spans="1:20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4"/>
      <c r="T196" s="34"/>
    </row>
    <row r="197" spans="1:20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4"/>
      <c r="T197" s="34"/>
    </row>
    <row r="198" spans="1:20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4"/>
      <c r="T198" s="34"/>
    </row>
    <row r="199" spans="1:20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4"/>
      <c r="T199" s="34"/>
    </row>
    <row r="200" spans="1:2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4"/>
      <c r="T200" s="34"/>
    </row>
    <row r="201" spans="1:20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4"/>
      <c r="T201" s="34"/>
    </row>
    <row r="202" spans="1:20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4"/>
      <c r="T202" s="34"/>
    </row>
    <row r="203" spans="1:20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4"/>
      <c r="T203" s="34"/>
    </row>
    <row r="204" spans="1:20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4"/>
      <c r="T204" s="34"/>
    </row>
    <row r="205" spans="1:20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4"/>
      <c r="T205" s="34"/>
    </row>
    <row r="206" spans="1:20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4"/>
      <c r="T206" s="34"/>
    </row>
    <row r="207" spans="1:20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4"/>
      <c r="T207" s="34"/>
    </row>
    <row r="208" spans="1:20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4"/>
      <c r="T208" s="34"/>
    </row>
    <row r="209" spans="1:20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4"/>
      <c r="T209" s="34"/>
    </row>
    <row r="210" spans="1:2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4"/>
      <c r="T210" s="34"/>
    </row>
    <row r="211" spans="1:20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4"/>
      <c r="T211" s="34"/>
    </row>
    <row r="212" spans="1:20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4"/>
      <c r="T212" s="34"/>
    </row>
    <row r="213" spans="1:20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4"/>
      <c r="T213" s="34"/>
    </row>
    <row r="214" spans="1:20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4"/>
      <c r="T214" s="34"/>
    </row>
    <row r="215" spans="1:20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4"/>
      <c r="T215" s="34"/>
    </row>
    <row r="216" spans="1:20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4"/>
      <c r="T216" s="34"/>
    </row>
    <row r="217" spans="1:20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4"/>
      <c r="T217" s="34"/>
    </row>
    <row r="218" spans="1:20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4"/>
      <c r="T218" s="34"/>
    </row>
    <row r="219" spans="1:20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4"/>
      <c r="T219" s="34"/>
    </row>
    <row r="220" spans="1: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4"/>
      <c r="T220" s="34"/>
    </row>
    <row r="221" spans="1:20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4"/>
      <c r="T221" s="34"/>
    </row>
    <row r="222" spans="1:20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4"/>
      <c r="T222" s="34"/>
    </row>
    <row r="223" spans="1:20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4"/>
      <c r="T223" s="34"/>
    </row>
    <row r="224" spans="1:20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4"/>
      <c r="T224" s="34"/>
    </row>
    <row r="225" spans="1:20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4"/>
      <c r="T225" s="34"/>
    </row>
    <row r="226" spans="1:20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4"/>
      <c r="T226" s="34"/>
    </row>
    <row r="227" spans="1:20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4"/>
      <c r="T227" s="34"/>
    </row>
    <row r="228" spans="1:20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4"/>
      <c r="T228" s="34"/>
    </row>
    <row r="229" spans="1:20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4"/>
      <c r="T229" s="34"/>
    </row>
    <row r="230" spans="1:2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4"/>
      <c r="T230" s="34"/>
    </row>
    <row r="231" spans="1:20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4"/>
      <c r="T231" s="34"/>
    </row>
    <row r="232" spans="1:20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4"/>
      <c r="T232" s="34"/>
    </row>
    <row r="233" spans="1:20" ht="44.2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4"/>
      <c r="T233" s="34"/>
    </row>
    <row r="234" spans="1:20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4"/>
      <c r="T234" s="34"/>
    </row>
    <row r="235" spans="1:20" ht="28.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4"/>
      <c r="T235" s="34"/>
    </row>
    <row r="236" spans="1:20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4"/>
      <c r="T236" s="34"/>
    </row>
    <row r="237" spans="1:20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4"/>
      <c r="T237" s="34"/>
    </row>
    <row r="238" spans="1:20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4"/>
      <c r="T238" s="34"/>
    </row>
    <row r="239" spans="1:20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4"/>
      <c r="T239" s="34"/>
    </row>
    <row r="240" spans="1:2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4"/>
      <c r="T240" s="34"/>
    </row>
    <row r="241" spans="1:20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4"/>
      <c r="T241" s="34"/>
    </row>
    <row r="242" spans="1:20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4"/>
      <c r="T242" s="34"/>
    </row>
    <row r="243" spans="1:20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4"/>
      <c r="T243" s="34"/>
    </row>
    <row r="244" spans="1:20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4"/>
      <c r="T244" s="34"/>
    </row>
    <row r="245" spans="1:20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4"/>
      <c r="T245" s="34"/>
    </row>
    <row r="246" spans="1:20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4"/>
      <c r="T246" s="34"/>
    </row>
    <row r="247" spans="1:20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4"/>
      <c r="T247" s="34"/>
    </row>
    <row r="248" spans="1:20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4"/>
      <c r="T248" s="34"/>
    </row>
    <row r="249" spans="1:20" ht="30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4"/>
      <c r="T249" s="34"/>
    </row>
    <row r="250" spans="1:2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4"/>
      <c r="T250" s="34"/>
    </row>
    <row r="251" spans="1:20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4"/>
      <c r="T251" s="34"/>
    </row>
    <row r="252" spans="1:20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4"/>
      <c r="T252" s="34"/>
    </row>
    <row r="253" spans="1:20" ht="30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4"/>
      <c r="T253" s="34"/>
    </row>
    <row r="254" spans="1:20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4"/>
      <c r="T254" s="34"/>
    </row>
    <row r="255" spans="1:20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4"/>
      <c r="Q255" s="34"/>
      <c r="R255" s="34"/>
      <c r="S255" s="34"/>
      <c r="T255" s="34"/>
    </row>
    <row r="256" spans="1:20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4"/>
      <c r="Q256" s="34"/>
      <c r="R256" s="34"/>
      <c r="S256" s="34"/>
      <c r="T256" s="34"/>
    </row>
    <row r="257" spans="1:20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</row>
    <row r="258" spans="1:20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</row>
    <row r="259" spans="1:20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</row>
    <row r="260" spans="1:2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</row>
    <row r="261" spans="1:20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</row>
    <row r="262" spans="1:20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</row>
    <row r="263" spans="1:20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S263" s="34"/>
      <c r="T263" s="34"/>
    </row>
    <row r="264" spans="1:20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S264" s="34"/>
      <c r="T264" s="34"/>
    </row>
  </sheetData>
  <mergeCells count="136">
    <mergeCell ref="P52:P74"/>
    <mergeCell ref="P6:P7"/>
    <mergeCell ref="P8:P9"/>
    <mergeCell ref="P16:P17"/>
    <mergeCell ref="L18:N18"/>
    <mergeCell ref="L26:N26"/>
    <mergeCell ref="L19:N19"/>
    <mergeCell ref="L25:N25"/>
    <mergeCell ref="L21:N21"/>
    <mergeCell ref="L22:N22"/>
    <mergeCell ref="L48:N48"/>
    <mergeCell ref="L41:N41"/>
    <mergeCell ref="L42:N42"/>
    <mergeCell ref="L23:N23"/>
    <mergeCell ref="L20:N20"/>
    <mergeCell ref="O6:O7"/>
    <mergeCell ref="G35:K35"/>
    <mergeCell ref="G37:K37"/>
    <mergeCell ref="L33:N34"/>
    <mergeCell ref="L40:N40"/>
    <mergeCell ref="L35:N35"/>
    <mergeCell ref="L37:N37"/>
    <mergeCell ref="M2:O2"/>
    <mergeCell ref="M3:O3"/>
    <mergeCell ref="M4:O4"/>
    <mergeCell ref="C8:O9"/>
    <mergeCell ref="E11:F11"/>
    <mergeCell ref="E6:F7"/>
    <mergeCell ref="G6:K7"/>
    <mergeCell ref="G10:K10"/>
    <mergeCell ref="E10:F10"/>
    <mergeCell ref="E14:F14"/>
    <mergeCell ref="L39:N39"/>
    <mergeCell ref="L36:N36"/>
    <mergeCell ref="L38:N38"/>
    <mergeCell ref="I29:K29"/>
    <mergeCell ref="C33:C34"/>
    <mergeCell ref="H18:K18"/>
    <mergeCell ref="C6:C7"/>
    <mergeCell ref="D6:D7"/>
    <mergeCell ref="M5:O5"/>
    <mergeCell ref="F5:L5"/>
    <mergeCell ref="C2:E5"/>
    <mergeCell ref="F2:L3"/>
    <mergeCell ref="C16:O17"/>
    <mergeCell ref="G14:K14"/>
    <mergeCell ref="E15:F15"/>
    <mergeCell ref="G15:K15"/>
    <mergeCell ref="L15:N15"/>
    <mergeCell ref="F4:L4"/>
    <mergeCell ref="L12:N12"/>
    <mergeCell ref="L14:N14"/>
    <mergeCell ref="E12:F12"/>
    <mergeCell ref="E13:F13"/>
    <mergeCell ref="G12:K12"/>
    <mergeCell ref="G13:K13"/>
    <mergeCell ref="L13:N13"/>
    <mergeCell ref="G11:K11"/>
    <mergeCell ref="L6:N7"/>
    <mergeCell ref="L10:N10"/>
    <mergeCell ref="L11:N11"/>
    <mergeCell ref="G45:K45"/>
    <mergeCell ref="G44:K44"/>
    <mergeCell ref="G40:K40"/>
    <mergeCell ref="E39:F39"/>
    <mergeCell ref="I80:J80"/>
    <mergeCell ref="G79:H79"/>
    <mergeCell ref="G80:H80"/>
    <mergeCell ref="I79:J79"/>
    <mergeCell ref="G41:K41"/>
    <mergeCell ref="K75:O75"/>
    <mergeCell ref="K76:O76"/>
    <mergeCell ref="L46:N46"/>
    <mergeCell ref="L45:N45"/>
    <mergeCell ref="G48:K48"/>
    <mergeCell ref="E40:F40"/>
    <mergeCell ref="E44:F44"/>
    <mergeCell ref="C80:D80"/>
    <mergeCell ref="C79:D79"/>
    <mergeCell ref="E79:F79"/>
    <mergeCell ref="E80:F80"/>
    <mergeCell ref="C77:C78"/>
    <mergeCell ref="D77:D78"/>
    <mergeCell ref="E78:F78"/>
    <mergeCell ref="G49:K49"/>
    <mergeCell ref="G50:K50"/>
    <mergeCell ref="G78:H78"/>
    <mergeCell ref="E50:F50"/>
    <mergeCell ref="H25:K25"/>
    <mergeCell ref="G38:K38"/>
    <mergeCell ref="C31:O32"/>
    <mergeCell ref="E48:F48"/>
    <mergeCell ref="E49:F49"/>
    <mergeCell ref="L50:N50"/>
    <mergeCell ref="L44:N44"/>
    <mergeCell ref="L49:N49"/>
    <mergeCell ref="L43:N43"/>
    <mergeCell ref="E42:F42"/>
    <mergeCell ref="E43:F43"/>
    <mergeCell ref="G42:K42"/>
    <mergeCell ref="G43:K43"/>
    <mergeCell ref="E47:F47"/>
    <mergeCell ref="G33:K34"/>
    <mergeCell ref="G36:K36"/>
    <mergeCell ref="G39:K39"/>
    <mergeCell ref="E35:F35"/>
    <mergeCell ref="E37:F37"/>
    <mergeCell ref="E36:F36"/>
    <mergeCell ref="E46:F46"/>
    <mergeCell ref="E45:F45"/>
    <mergeCell ref="E41:F41"/>
    <mergeCell ref="G46:K46"/>
    <mergeCell ref="H21:K21"/>
    <mergeCell ref="H19:K20"/>
    <mergeCell ref="O33:O34"/>
    <mergeCell ref="B2:B7"/>
    <mergeCell ref="B8:B80"/>
    <mergeCell ref="I78:J78"/>
    <mergeCell ref="K78:O78"/>
    <mergeCell ref="K77:O77"/>
    <mergeCell ref="D33:F34"/>
    <mergeCell ref="E38:F38"/>
    <mergeCell ref="L27:N27"/>
    <mergeCell ref="L24:N24"/>
    <mergeCell ref="H26:K26"/>
    <mergeCell ref="H27:K27"/>
    <mergeCell ref="H28:K28"/>
    <mergeCell ref="L29:N29"/>
    <mergeCell ref="L30:N30"/>
    <mergeCell ref="L28:N28"/>
    <mergeCell ref="L47:N47"/>
    <mergeCell ref="G47:K47"/>
    <mergeCell ref="I30:K30"/>
    <mergeCell ref="H22:K22"/>
    <mergeCell ref="H23:K23"/>
    <mergeCell ref="H24:K24"/>
  </mergeCells>
  <phoneticPr fontId="3" type="noConversion"/>
  <pageMargins left="0.74803149606299213" right="0" top="0" bottom="0" header="0.19685039370078741" footer="0.19685039370078741"/>
  <pageSetup paperSize="9" scale="72" orientation="portrait" r:id="rId1"/>
  <headerFooter alignWithMargins="0"/>
  <rowBreaks count="1" manualBreakCount="1">
    <brk id="81" max="19" man="1"/>
  </rowBreaks>
  <drawing r:id="rId2"/>
  <legacyDrawing r:id="rId3"/>
  <oleObjects>
    <mc:AlternateContent xmlns:mc="http://schemas.openxmlformats.org/markup-compatibility/2006">
      <mc:Choice Requires="x14">
        <oleObject progId="AutoCAD.Drawing.16" shapeId="1041" r:id="rId4">
          <objectPr defaultSize="0" autoPict="0" r:id="rId5">
            <anchor moveWithCells="1">
              <from>
                <xdr:col>3</xdr:col>
                <xdr:colOff>123825</xdr:colOff>
                <xdr:row>51</xdr:row>
                <xdr:rowOff>19050</xdr:rowOff>
              </from>
              <to>
                <xdr:col>13</xdr:col>
                <xdr:colOff>609600</xdr:colOff>
                <xdr:row>73</xdr:row>
                <xdr:rowOff>114300</xdr:rowOff>
              </to>
            </anchor>
          </objectPr>
        </oleObject>
      </mc:Choice>
      <mc:Fallback>
        <oleObject progId="AutoCAD.Drawing.16" shapeId="1041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259"/>
  <sheetViews>
    <sheetView view="pageBreakPreview" zoomScaleNormal="150" zoomScaleSheetLayoutView="160" workbookViewId="0">
      <selection activeCell="V71" sqref="V71"/>
    </sheetView>
  </sheetViews>
  <sheetFormatPr defaultRowHeight="12.75"/>
  <cols>
    <col min="1" max="1" width="2.42578125" customWidth="1"/>
    <col min="2" max="2" width="2.7109375" customWidth="1"/>
    <col min="3" max="3" width="6.140625" style="1" customWidth="1"/>
    <col min="4" max="4" width="8.85546875" bestFit="1" customWidth="1"/>
    <col min="5" max="5" width="8.140625" customWidth="1"/>
    <col min="6" max="6" width="7.7109375" customWidth="1"/>
    <col min="7" max="8" width="11.42578125" customWidth="1"/>
    <col min="9" max="10" width="11" customWidth="1"/>
    <col min="11" max="11" width="5.5703125" customWidth="1"/>
    <col min="12" max="12" width="11" customWidth="1"/>
    <col min="13" max="13" width="9.28515625" customWidth="1"/>
    <col min="14" max="14" width="9.5703125" style="1" customWidth="1"/>
    <col min="15" max="15" width="7.5703125" style="1" bestFit="1" customWidth="1"/>
    <col min="16" max="16" width="5.5703125" customWidth="1"/>
    <col min="17" max="17" width="2.42578125" customWidth="1"/>
    <col min="18" max="18" width="2.7109375" style="22" customWidth="1"/>
  </cols>
  <sheetData>
    <row r="1" spans="2:18" ht="13.5" thickBot="1"/>
    <row r="2" spans="2:18" ht="19.5" customHeight="1">
      <c r="B2" s="264"/>
      <c r="C2" s="326"/>
      <c r="D2" s="327"/>
      <c r="E2" s="328"/>
      <c r="F2" s="326" t="str">
        <f>str.1!F2</f>
        <v>SPRAWDZENIE WYTRZYMAŁOŚCI KOŁNIERZA WG EN-13480/3.</v>
      </c>
      <c r="G2" s="327"/>
      <c r="H2" s="327"/>
      <c r="I2" s="327"/>
      <c r="J2" s="327"/>
      <c r="K2" s="327"/>
      <c r="L2" s="328"/>
      <c r="M2" s="348" t="s">
        <v>327</v>
      </c>
      <c r="N2" s="298"/>
      <c r="O2" s="349"/>
      <c r="P2" s="68"/>
      <c r="Q2" s="13"/>
    </row>
    <row r="3" spans="2:18" s="1" customFormat="1" ht="20.25" customHeight="1" thickBot="1">
      <c r="B3" s="265"/>
      <c r="C3" s="329"/>
      <c r="D3" s="400"/>
      <c r="E3" s="331"/>
      <c r="F3" s="329"/>
      <c r="G3" s="400"/>
      <c r="H3" s="400"/>
      <c r="I3" s="400"/>
      <c r="J3" s="400"/>
      <c r="K3" s="400"/>
      <c r="L3" s="331"/>
      <c r="M3" s="396" t="str">
        <f>str.1!M3</f>
        <v>SCV 200015</v>
      </c>
      <c r="N3" s="397"/>
      <c r="O3" s="398"/>
      <c r="P3" s="69"/>
      <c r="Q3" s="10"/>
      <c r="R3" s="23"/>
    </row>
    <row r="4" spans="2:18" s="1" customFormat="1" ht="18.75" customHeight="1" thickBot="1">
      <c r="B4" s="265"/>
      <c r="C4" s="329"/>
      <c r="D4" s="400"/>
      <c r="E4" s="331"/>
      <c r="F4" s="401" t="str">
        <f>str.1!F4</f>
        <v>KOŁNIERZ SZYJKOWY TYP 11 PN100-DN400, EN 1092-1</v>
      </c>
      <c r="G4" s="402"/>
      <c r="H4" s="402"/>
      <c r="I4" s="402"/>
      <c r="J4" s="402"/>
      <c r="K4" s="402"/>
      <c r="L4" s="403"/>
      <c r="M4" s="353" t="s">
        <v>328</v>
      </c>
      <c r="N4" s="354"/>
      <c r="O4" s="355"/>
      <c r="P4" s="69"/>
      <c r="Q4" s="10"/>
      <c r="R4" s="23"/>
    </row>
    <row r="5" spans="2:18" s="1" customFormat="1" ht="19.5" customHeight="1" thickBot="1">
      <c r="B5" s="265"/>
      <c r="C5" s="404"/>
      <c r="D5" s="405"/>
      <c r="E5" s="406"/>
      <c r="F5" s="404" t="str">
        <f>str.1!F5</f>
        <v>USZCZELKA SPIRALNA PN100-DN400, PN-EN 1514-2</v>
      </c>
      <c r="G5" s="405"/>
      <c r="H5" s="405"/>
      <c r="I5" s="405"/>
      <c r="J5" s="405"/>
      <c r="K5" s="405"/>
      <c r="L5" s="406"/>
      <c r="M5" s="410" t="str">
        <f>str.1!M5</f>
        <v>NG-52-00130_5</v>
      </c>
      <c r="N5" s="411"/>
      <c r="O5" s="412"/>
      <c r="P5" s="70"/>
      <c r="Q5" s="10"/>
      <c r="R5" s="23"/>
    </row>
    <row r="6" spans="2:18" ht="13.5" thickBot="1">
      <c r="B6" s="265"/>
      <c r="C6" s="368" t="s">
        <v>324</v>
      </c>
      <c r="D6" s="368" t="s">
        <v>322</v>
      </c>
      <c r="E6" s="285" t="s">
        <v>323</v>
      </c>
      <c r="F6" s="287"/>
      <c r="G6" s="285" t="s">
        <v>318</v>
      </c>
      <c r="H6" s="286"/>
      <c r="I6" s="286"/>
      <c r="J6" s="286"/>
      <c r="K6" s="286"/>
      <c r="L6" s="285" t="s">
        <v>319</v>
      </c>
      <c r="M6" s="286"/>
      <c r="N6" s="287"/>
      <c r="O6" s="368" t="s">
        <v>320</v>
      </c>
      <c r="P6" s="370" t="s">
        <v>321</v>
      </c>
      <c r="Q6" s="12"/>
    </row>
    <row r="7" spans="2:18" ht="13.5" thickBot="1">
      <c r="B7" s="266"/>
      <c r="C7" s="368"/>
      <c r="D7" s="368"/>
      <c r="E7" s="288"/>
      <c r="F7" s="290"/>
      <c r="G7" s="288"/>
      <c r="H7" s="289"/>
      <c r="I7" s="289"/>
      <c r="J7" s="289"/>
      <c r="K7" s="289"/>
      <c r="L7" s="288"/>
      <c r="M7" s="289"/>
      <c r="N7" s="290"/>
      <c r="O7" s="368"/>
      <c r="P7" s="371"/>
      <c r="Q7" s="12"/>
    </row>
    <row r="8" spans="2:18" s="1" customFormat="1">
      <c r="B8" s="267" t="s">
        <v>25</v>
      </c>
      <c r="C8" s="356" t="s">
        <v>378</v>
      </c>
      <c r="D8" s="276"/>
      <c r="E8" s="276"/>
      <c r="F8" s="276"/>
      <c r="G8" s="276"/>
      <c r="H8" s="276"/>
      <c r="I8" s="276"/>
      <c r="J8" s="276"/>
      <c r="K8" s="276"/>
      <c r="L8" s="276"/>
      <c r="M8" s="276"/>
      <c r="N8" s="276"/>
      <c r="O8" s="357"/>
      <c r="P8" s="372"/>
      <c r="Q8" s="10"/>
      <c r="R8" s="23"/>
    </row>
    <row r="9" spans="2:18" ht="13.5" thickBot="1">
      <c r="B9" s="268"/>
      <c r="C9" s="358"/>
      <c r="D9" s="359"/>
      <c r="E9" s="359"/>
      <c r="F9" s="359"/>
      <c r="G9" s="359"/>
      <c r="H9" s="359"/>
      <c r="I9" s="359"/>
      <c r="J9" s="359"/>
      <c r="K9" s="359"/>
      <c r="L9" s="359"/>
      <c r="M9" s="359"/>
      <c r="N9" s="359"/>
      <c r="O9" s="360"/>
      <c r="P9" s="373"/>
      <c r="Q9" s="10"/>
    </row>
    <row r="10" spans="2:18">
      <c r="B10" s="268"/>
      <c r="C10" s="139">
        <v>37</v>
      </c>
      <c r="D10" s="390" t="s">
        <v>376</v>
      </c>
      <c r="E10" s="390"/>
      <c r="F10" s="390"/>
      <c r="G10" s="407" t="str">
        <f>Pomocnicza_kołnierze!T20</f>
        <v>M39</v>
      </c>
      <c r="H10" s="408"/>
      <c r="I10" s="408"/>
      <c r="J10" s="408"/>
      <c r="K10" s="408"/>
      <c r="L10" s="395"/>
      <c r="M10" s="395"/>
      <c r="N10" s="395"/>
      <c r="O10" s="156"/>
      <c r="P10" s="67"/>
      <c r="Q10" s="13"/>
    </row>
    <row r="11" spans="2:18" ht="12.75" customHeight="1">
      <c r="B11" s="268"/>
      <c r="C11" s="142">
        <v>38</v>
      </c>
      <c r="D11" s="279" t="s">
        <v>377</v>
      </c>
      <c r="E11" s="279"/>
      <c r="F11" s="279"/>
      <c r="G11" s="416" t="str">
        <f>str.1!G19</f>
        <v>1.1191</v>
      </c>
      <c r="H11" s="417"/>
      <c r="I11" s="417"/>
      <c r="J11" s="417"/>
      <c r="K11" s="417"/>
      <c r="L11" s="280"/>
      <c r="M11" s="280"/>
      <c r="N11" s="280"/>
      <c r="O11" s="135"/>
      <c r="P11" s="67"/>
      <c r="Q11" s="13"/>
    </row>
    <row r="12" spans="2:18" ht="15.75">
      <c r="B12" s="268"/>
      <c r="C12" s="142">
        <v>39</v>
      </c>
      <c r="D12" s="125" t="s">
        <v>50</v>
      </c>
      <c r="E12" s="278">
        <f>INDEX(Pomonicza_sruby!$B$2:$F$30,MATCH(str.2!$G$10,Pomonicza_sruby!$A$2:$A$30,0),2)</f>
        <v>39</v>
      </c>
      <c r="F12" s="278"/>
      <c r="G12" s="399"/>
      <c r="H12" s="399"/>
      <c r="I12" s="399"/>
      <c r="J12" s="399"/>
      <c r="K12" s="399"/>
      <c r="L12" s="279" t="s">
        <v>379</v>
      </c>
      <c r="M12" s="279"/>
      <c r="N12" s="279"/>
      <c r="O12" s="135" t="s">
        <v>2</v>
      </c>
      <c r="P12" s="67"/>
      <c r="Q12" s="13"/>
    </row>
    <row r="13" spans="2:18" ht="15.75">
      <c r="B13" s="268"/>
      <c r="C13" s="142">
        <v>40</v>
      </c>
      <c r="D13" s="125" t="s">
        <v>51</v>
      </c>
      <c r="E13" s="294">
        <f>INDEX(Pomonicza_sruby!$B$2:$F$30,MATCH(str.2!$G$10,Pomonicza_sruby!$A$2:$A$30,0),3)</f>
        <v>36.4</v>
      </c>
      <c r="F13" s="294"/>
      <c r="G13" s="278"/>
      <c r="H13" s="278"/>
      <c r="I13" s="278"/>
      <c r="J13" s="278"/>
      <c r="K13" s="278"/>
      <c r="L13" s="279" t="s">
        <v>380</v>
      </c>
      <c r="M13" s="279"/>
      <c r="N13" s="279"/>
      <c r="O13" s="135" t="s">
        <v>2</v>
      </c>
      <c r="P13" s="67"/>
      <c r="Q13" s="13"/>
    </row>
    <row r="14" spans="2:18" ht="15.75">
      <c r="B14" s="268"/>
      <c r="C14" s="142">
        <v>41</v>
      </c>
      <c r="D14" s="125" t="s">
        <v>52</v>
      </c>
      <c r="E14" s="278">
        <f>INDEX(Pomonicza_sruby!$B$2:$F$30,MATCH(str.2!$G$10,Pomonicza_sruby!$A$2:$A$30,0),4)</f>
        <v>4</v>
      </c>
      <c r="F14" s="278"/>
      <c r="G14" s="278"/>
      <c r="H14" s="278"/>
      <c r="I14" s="278"/>
      <c r="J14" s="278"/>
      <c r="K14" s="278"/>
      <c r="L14" s="279" t="s">
        <v>381</v>
      </c>
      <c r="M14" s="279"/>
      <c r="N14" s="279"/>
      <c r="O14" s="135" t="s">
        <v>2</v>
      </c>
      <c r="P14" s="67"/>
      <c r="Q14" s="13"/>
    </row>
    <row r="15" spans="2:18" ht="16.5" thickBot="1">
      <c r="B15" s="268"/>
      <c r="C15" s="142">
        <v>42</v>
      </c>
      <c r="D15" s="128" t="s">
        <v>53</v>
      </c>
      <c r="E15" s="393">
        <f>INDEX(Pomonicza_sruby!$B$2:$F$30,MATCH(str.2!$G$10,Pomonicza_sruby!$A$2:$A$30,0),5)</f>
        <v>35.25</v>
      </c>
      <c r="F15" s="393"/>
      <c r="G15" s="393"/>
      <c r="H15" s="393"/>
      <c r="I15" s="393"/>
      <c r="J15" s="393"/>
      <c r="K15" s="393"/>
      <c r="L15" s="415" t="s">
        <v>382</v>
      </c>
      <c r="M15" s="415"/>
      <c r="N15" s="415"/>
      <c r="O15" s="149" t="s">
        <v>2</v>
      </c>
      <c r="P15" s="67"/>
      <c r="Q15" s="13"/>
    </row>
    <row r="16" spans="2:18">
      <c r="B16" s="268"/>
      <c r="C16" s="131"/>
      <c r="D16" s="132"/>
      <c r="E16" s="132"/>
      <c r="F16" s="132"/>
      <c r="G16" s="132"/>
      <c r="H16" s="132"/>
      <c r="I16" s="132"/>
      <c r="J16" s="132"/>
      <c r="K16" s="132"/>
      <c r="L16" s="159"/>
      <c r="M16" s="159"/>
      <c r="N16" s="159"/>
      <c r="O16" s="162"/>
      <c r="P16" s="72"/>
      <c r="Q16" s="10"/>
    </row>
    <row r="17" spans="2:18">
      <c r="B17" s="268"/>
      <c r="C17" s="163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5"/>
      <c r="P17" s="72"/>
      <c r="Q17" s="10"/>
    </row>
    <row r="18" spans="2:18" s="1" customFormat="1">
      <c r="B18" s="268"/>
      <c r="C18" s="163"/>
      <c r="D18" s="164"/>
      <c r="E18" s="166"/>
      <c r="F18" s="166"/>
      <c r="G18" s="164"/>
      <c r="H18" s="164"/>
      <c r="I18" s="164"/>
      <c r="J18" s="164"/>
      <c r="K18" s="167"/>
      <c r="L18" s="166"/>
      <c r="M18" s="166"/>
      <c r="N18" s="166"/>
      <c r="O18" s="165"/>
      <c r="P18" s="69"/>
      <c r="Q18" s="10"/>
      <c r="R18" s="23"/>
    </row>
    <row r="19" spans="2:18">
      <c r="B19" s="268"/>
      <c r="C19" s="163"/>
      <c r="D19" s="167"/>
      <c r="E19" s="168"/>
      <c r="F19" s="168"/>
      <c r="G19" s="167"/>
      <c r="H19" s="167"/>
      <c r="I19" s="167"/>
      <c r="J19" s="167"/>
      <c r="K19" s="167"/>
      <c r="L19" s="168"/>
      <c r="M19" s="168"/>
      <c r="N19" s="168"/>
      <c r="O19" s="151"/>
      <c r="P19" s="69"/>
      <c r="Q19" s="10"/>
      <c r="R19" s="23"/>
    </row>
    <row r="20" spans="2:18">
      <c r="B20" s="268"/>
      <c r="C20" s="163"/>
      <c r="D20" s="167"/>
      <c r="E20" s="168"/>
      <c r="F20" s="168"/>
      <c r="G20" s="167"/>
      <c r="H20" s="167"/>
      <c r="I20" s="167"/>
      <c r="J20" s="167"/>
      <c r="K20" s="167"/>
      <c r="L20" s="168"/>
      <c r="M20" s="168"/>
      <c r="N20" s="168"/>
      <c r="O20" s="151"/>
      <c r="P20" s="67"/>
      <c r="Q20" s="13"/>
    </row>
    <row r="21" spans="2:18">
      <c r="B21" s="268"/>
      <c r="C21" s="163"/>
      <c r="D21" s="167"/>
      <c r="E21" s="168"/>
      <c r="F21" s="168"/>
      <c r="G21" s="167"/>
      <c r="H21" s="167"/>
      <c r="I21" s="167"/>
      <c r="J21" s="167"/>
      <c r="K21" s="167"/>
      <c r="L21" s="168"/>
      <c r="M21" s="168"/>
      <c r="N21" s="168"/>
      <c r="O21" s="151"/>
      <c r="P21" s="67"/>
      <c r="Q21" s="13"/>
    </row>
    <row r="22" spans="2:18">
      <c r="B22" s="268"/>
      <c r="C22" s="163"/>
      <c r="D22" s="167"/>
      <c r="E22" s="168"/>
      <c r="F22" s="168"/>
      <c r="G22" s="167"/>
      <c r="H22" s="167"/>
      <c r="I22" s="167"/>
      <c r="J22" s="167"/>
      <c r="K22" s="167"/>
      <c r="L22" s="168"/>
      <c r="M22" s="168"/>
      <c r="N22" s="168"/>
      <c r="O22" s="151"/>
      <c r="P22" s="67"/>
      <c r="Q22" s="13"/>
    </row>
    <row r="23" spans="2:18">
      <c r="B23" s="268"/>
      <c r="C23" s="163"/>
      <c r="D23" s="167"/>
      <c r="E23" s="168"/>
      <c r="F23" s="168"/>
      <c r="G23" s="167"/>
      <c r="H23" s="167"/>
      <c r="I23" s="167"/>
      <c r="J23" s="167"/>
      <c r="K23" s="167"/>
      <c r="L23" s="168"/>
      <c r="M23" s="168"/>
      <c r="N23" s="168"/>
      <c r="O23" s="151"/>
      <c r="P23" s="67"/>
      <c r="Q23" s="13"/>
    </row>
    <row r="24" spans="2:18">
      <c r="B24" s="268"/>
      <c r="C24" s="163"/>
      <c r="D24" s="167"/>
      <c r="E24" s="168"/>
      <c r="F24" s="168"/>
      <c r="G24" s="167"/>
      <c r="H24" s="167"/>
      <c r="I24" s="167"/>
      <c r="J24" s="167"/>
      <c r="K24" s="167"/>
      <c r="L24" s="168"/>
      <c r="M24" s="168"/>
      <c r="N24" s="168"/>
      <c r="O24" s="151"/>
      <c r="P24" s="67"/>
      <c r="Q24" s="13"/>
    </row>
    <row r="25" spans="2:18" ht="13.5" thickBot="1">
      <c r="B25" s="268"/>
      <c r="C25" s="133"/>
      <c r="D25" s="169"/>
      <c r="E25" s="170"/>
      <c r="F25" s="170"/>
      <c r="G25" s="171"/>
      <c r="H25" s="171"/>
      <c r="I25" s="171"/>
      <c r="J25" s="171"/>
      <c r="K25" s="171"/>
      <c r="L25" s="170"/>
      <c r="M25" s="170"/>
      <c r="N25" s="170"/>
      <c r="O25" s="172"/>
      <c r="P25" s="67"/>
      <c r="Q25" s="13"/>
    </row>
    <row r="26" spans="2:18">
      <c r="B26" s="268"/>
      <c r="C26" s="285" t="s">
        <v>414</v>
      </c>
      <c r="D26" s="286"/>
      <c r="E26" s="286"/>
      <c r="F26" s="286"/>
      <c r="G26" s="286"/>
      <c r="H26" s="286"/>
      <c r="I26" s="286"/>
      <c r="J26" s="286"/>
      <c r="K26" s="286"/>
      <c r="L26" s="286"/>
      <c r="M26" s="286"/>
      <c r="N26" s="286"/>
      <c r="O26" s="287"/>
      <c r="P26" s="67"/>
      <c r="Q26" s="13"/>
    </row>
    <row r="27" spans="2:18" ht="13.5" thickBot="1">
      <c r="B27" s="268"/>
      <c r="C27" s="288"/>
      <c r="D27" s="289"/>
      <c r="E27" s="289"/>
      <c r="F27" s="289"/>
      <c r="G27" s="289"/>
      <c r="H27" s="289"/>
      <c r="I27" s="289"/>
      <c r="J27" s="289"/>
      <c r="K27" s="289"/>
      <c r="L27" s="289"/>
      <c r="M27" s="289"/>
      <c r="N27" s="289"/>
      <c r="O27" s="290"/>
      <c r="P27" s="67"/>
      <c r="Q27" s="13"/>
    </row>
    <row r="28" spans="2:18" ht="15.75">
      <c r="B28" s="268"/>
      <c r="C28" s="139">
        <v>43</v>
      </c>
      <c r="D28" s="140" t="s">
        <v>55</v>
      </c>
      <c r="E28" s="346">
        <f>(str.1!E43-str.1!E42)/2</f>
        <v>17</v>
      </c>
      <c r="F28" s="346"/>
      <c r="G28" s="346" t="s">
        <v>56</v>
      </c>
      <c r="H28" s="346"/>
      <c r="I28" s="346"/>
      <c r="J28" s="346"/>
      <c r="K28" s="346"/>
      <c r="L28" s="276" t="s">
        <v>383</v>
      </c>
      <c r="M28" s="276"/>
      <c r="N28" s="276"/>
      <c r="O28" s="141" t="s">
        <v>2</v>
      </c>
      <c r="P28" s="69"/>
      <c r="Q28" s="10"/>
    </row>
    <row r="29" spans="2:18" ht="15.75">
      <c r="B29" s="268"/>
      <c r="C29" s="142">
        <v>44</v>
      </c>
      <c r="D29" s="125" t="s">
        <v>57</v>
      </c>
      <c r="E29" s="278">
        <f>E28/2</f>
        <v>8.5</v>
      </c>
      <c r="F29" s="278"/>
      <c r="G29" s="278" t="s">
        <v>58</v>
      </c>
      <c r="H29" s="278"/>
      <c r="I29" s="278"/>
      <c r="J29" s="278"/>
      <c r="K29" s="278"/>
      <c r="L29" s="277" t="s">
        <v>384</v>
      </c>
      <c r="M29" s="277"/>
      <c r="N29" s="277"/>
      <c r="O29" s="77" t="s">
        <v>2</v>
      </c>
      <c r="P29" s="69"/>
      <c r="Q29" s="10"/>
    </row>
    <row r="30" spans="2:18" ht="15.75">
      <c r="B30" s="268"/>
      <c r="C30" s="142">
        <v>45</v>
      </c>
      <c r="D30" s="125" t="s">
        <v>10</v>
      </c>
      <c r="E30" s="384">
        <f>IF(E29&lt;=6.3,E29,2.52*SQRT(E29))</f>
        <v>7.346999387505079</v>
      </c>
      <c r="F30" s="385"/>
      <c r="G30" s="391" t="s">
        <v>271</v>
      </c>
      <c r="H30" s="392"/>
      <c r="I30" s="392"/>
      <c r="J30" s="392"/>
      <c r="K30" s="292"/>
      <c r="L30" s="386" t="s">
        <v>385</v>
      </c>
      <c r="M30" s="387"/>
      <c r="N30" s="388"/>
      <c r="O30" s="77" t="s">
        <v>2</v>
      </c>
      <c r="P30" s="69"/>
      <c r="Q30" s="10"/>
    </row>
    <row r="31" spans="2:18" ht="15.75">
      <c r="B31" s="268"/>
      <c r="C31" s="142">
        <v>46</v>
      </c>
      <c r="D31" s="125" t="s">
        <v>43</v>
      </c>
      <c r="E31" s="341">
        <f>IF(E29&lt;=6.3,(str.1!E42+str.1!E43)/2,str.1!E43-2*str.2!E30)</f>
        <v>441.30600122498981</v>
      </c>
      <c r="F31" s="342"/>
      <c r="G31" s="340" t="s">
        <v>272</v>
      </c>
      <c r="H31" s="254"/>
      <c r="I31" s="254"/>
      <c r="J31" s="254"/>
      <c r="K31" s="255"/>
      <c r="L31" s="376" t="s">
        <v>386</v>
      </c>
      <c r="M31" s="377"/>
      <c r="N31" s="378"/>
      <c r="O31" s="135" t="s">
        <v>2</v>
      </c>
      <c r="P31" s="67"/>
      <c r="Q31" s="13"/>
    </row>
    <row r="32" spans="2:18" ht="14.25">
      <c r="B32" s="268"/>
      <c r="C32" s="142">
        <v>47</v>
      </c>
      <c r="D32" s="125" t="s">
        <v>59</v>
      </c>
      <c r="E32" s="384">
        <f>(PI()/4)*E31*E31*str.1!E11</f>
        <v>1453092.139231463</v>
      </c>
      <c r="F32" s="385"/>
      <c r="G32" s="291" t="s">
        <v>60</v>
      </c>
      <c r="H32" s="392"/>
      <c r="I32" s="392"/>
      <c r="J32" s="392"/>
      <c r="K32" s="292"/>
      <c r="L32" s="386" t="s">
        <v>387</v>
      </c>
      <c r="M32" s="387"/>
      <c r="N32" s="388"/>
      <c r="O32" s="77" t="s">
        <v>3</v>
      </c>
      <c r="P32" s="67"/>
      <c r="Q32" s="13"/>
    </row>
    <row r="33" spans="1:17" ht="15.75">
      <c r="B33" s="268"/>
      <c r="C33" s="142">
        <v>48</v>
      </c>
      <c r="D33" s="125" t="s">
        <v>61</v>
      </c>
      <c r="E33" s="384">
        <f>(PI()/4)*E31*E31*str.1!E12</f>
        <v>2078686.5444374299</v>
      </c>
      <c r="F33" s="385"/>
      <c r="G33" s="291" t="s">
        <v>62</v>
      </c>
      <c r="H33" s="392"/>
      <c r="I33" s="392"/>
      <c r="J33" s="392"/>
      <c r="K33" s="292"/>
      <c r="L33" s="386" t="s">
        <v>388</v>
      </c>
      <c r="M33" s="387"/>
      <c r="N33" s="388"/>
      <c r="O33" s="77" t="s">
        <v>3</v>
      </c>
      <c r="P33" s="67"/>
      <c r="Q33" s="13"/>
    </row>
    <row r="34" spans="1:17">
      <c r="B34" s="268"/>
      <c r="C34" s="142">
        <v>49</v>
      </c>
      <c r="D34" s="125" t="s">
        <v>63</v>
      </c>
      <c r="E34" s="291">
        <v>2.5</v>
      </c>
      <c r="F34" s="292"/>
      <c r="G34" s="391" t="s">
        <v>273</v>
      </c>
      <c r="H34" s="392"/>
      <c r="I34" s="392"/>
      <c r="J34" s="392"/>
      <c r="K34" s="292"/>
      <c r="L34" s="386" t="s">
        <v>389</v>
      </c>
      <c r="M34" s="387"/>
      <c r="N34" s="388"/>
      <c r="O34" s="77"/>
      <c r="P34" s="67"/>
      <c r="Q34" s="13"/>
    </row>
    <row r="35" spans="1:17" ht="15.75">
      <c r="B35" s="268"/>
      <c r="C35" s="142">
        <v>50</v>
      </c>
      <c r="D35" s="125" t="s">
        <v>66</v>
      </c>
      <c r="E35" s="341">
        <f>2*PI()*str.1!E11*str.2!E31*str.2!E34</f>
        <v>65854.175343092022</v>
      </c>
      <c r="F35" s="342"/>
      <c r="G35" s="280" t="s">
        <v>70</v>
      </c>
      <c r="H35" s="280"/>
      <c r="I35" s="280"/>
      <c r="J35" s="280"/>
      <c r="K35" s="280"/>
      <c r="L35" s="279" t="s">
        <v>390</v>
      </c>
      <c r="M35" s="279"/>
      <c r="N35" s="279"/>
      <c r="O35" s="135" t="s">
        <v>3</v>
      </c>
      <c r="P35" s="67"/>
      <c r="Q35" s="13"/>
    </row>
    <row r="36" spans="1:17" ht="24.95" customHeight="1">
      <c r="B36" s="268"/>
      <c r="C36" s="142">
        <v>51</v>
      </c>
      <c r="D36" s="125" t="s">
        <v>67</v>
      </c>
      <c r="E36" s="379">
        <f>2*PI()*str.1!E12*str.2!E31*str.2!E34</f>
        <v>94206.130832907424</v>
      </c>
      <c r="F36" s="379"/>
      <c r="G36" s="280" t="s">
        <v>71</v>
      </c>
      <c r="H36" s="280"/>
      <c r="I36" s="280"/>
      <c r="J36" s="280"/>
      <c r="K36" s="280"/>
      <c r="L36" s="279" t="s">
        <v>391</v>
      </c>
      <c r="M36" s="279"/>
      <c r="N36" s="279"/>
      <c r="O36" s="188" t="s">
        <v>3</v>
      </c>
      <c r="P36" s="67"/>
      <c r="Q36" s="13"/>
    </row>
    <row r="37" spans="1:17">
      <c r="B37" s="268"/>
      <c r="C37" s="142">
        <v>52</v>
      </c>
      <c r="D37" s="125" t="s">
        <v>18</v>
      </c>
      <c r="E37" s="280">
        <v>40</v>
      </c>
      <c r="F37" s="280"/>
      <c r="G37" s="391" t="s">
        <v>273</v>
      </c>
      <c r="H37" s="392"/>
      <c r="I37" s="392"/>
      <c r="J37" s="392"/>
      <c r="K37" s="292"/>
      <c r="L37" s="277" t="s">
        <v>389</v>
      </c>
      <c r="M37" s="277"/>
      <c r="N37" s="277"/>
      <c r="O37" s="135" t="s">
        <v>0</v>
      </c>
      <c r="P37" s="67"/>
      <c r="Q37" s="13"/>
    </row>
    <row r="38" spans="1:17" ht="15.75">
      <c r="B38" s="268"/>
      <c r="C38" s="142">
        <v>53</v>
      </c>
      <c r="D38" s="125" t="s">
        <v>68</v>
      </c>
      <c r="E38" s="379">
        <f>PI()*E30*E31*E37</f>
        <v>407436.282871873</v>
      </c>
      <c r="F38" s="379"/>
      <c r="G38" s="389" t="s">
        <v>69</v>
      </c>
      <c r="H38" s="280"/>
      <c r="I38" s="280"/>
      <c r="J38" s="280"/>
      <c r="K38" s="280"/>
      <c r="L38" s="279" t="s">
        <v>392</v>
      </c>
      <c r="M38" s="279"/>
      <c r="N38" s="279"/>
      <c r="O38" s="135" t="s">
        <v>3</v>
      </c>
      <c r="P38" s="67"/>
      <c r="Q38" s="13"/>
    </row>
    <row r="39" spans="1:17" ht="15.75">
      <c r="A39" s="35"/>
      <c r="B39" s="268"/>
      <c r="C39" s="142">
        <v>54</v>
      </c>
      <c r="D39" s="125" t="s">
        <v>72</v>
      </c>
      <c r="E39" s="379">
        <f>E32+E35</f>
        <v>1518946.314574555</v>
      </c>
      <c r="F39" s="280"/>
      <c r="G39" s="280" t="s">
        <v>74</v>
      </c>
      <c r="H39" s="280"/>
      <c r="I39" s="280"/>
      <c r="J39" s="280"/>
      <c r="K39" s="280"/>
      <c r="L39" s="279" t="s">
        <v>393</v>
      </c>
      <c r="M39" s="279"/>
      <c r="N39" s="279"/>
      <c r="O39" s="135" t="s">
        <v>3</v>
      </c>
      <c r="P39" s="67"/>
      <c r="Q39" s="13"/>
    </row>
    <row r="40" spans="1:17" ht="15.75">
      <c r="A40" s="35"/>
      <c r="B40" s="268"/>
      <c r="C40" s="142">
        <v>55</v>
      </c>
      <c r="D40" s="125" t="s">
        <v>73</v>
      </c>
      <c r="E40" s="379">
        <f>E32+E36</f>
        <v>1547298.2700643705</v>
      </c>
      <c r="F40" s="280"/>
      <c r="G40" s="280" t="s">
        <v>75</v>
      </c>
      <c r="H40" s="280"/>
      <c r="I40" s="280"/>
      <c r="J40" s="280"/>
      <c r="K40" s="280"/>
      <c r="L40" s="279" t="s">
        <v>394</v>
      </c>
      <c r="M40" s="279"/>
      <c r="N40" s="279"/>
      <c r="O40" s="135" t="s">
        <v>3</v>
      </c>
      <c r="P40" s="67"/>
      <c r="Q40" s="13"/>
    </row>
    <row r="41" spans="1:17" ht="15.75">
      <c r="A41" s="13"/>
      <c r="B41" s="268"/>
      <c r="C41" s="142">
        <v>56</v>
      </c>
      <c r="D41" s="125" t="s">
        <v>79</v>
      </c>
      <c r="E41" s="379">
        <f>E38/str.1!G29</f>
        <v>3595.0260253400561</v>
      </c>
      <c r="F41" s="379"/>
      <c r="G41" s="280" t="s">
        <v>84</v>
      </c>
      <c r="H41" s="280"/>
      <c r="I41" s="280"/>
      <c r="J41" s="280"/>
      <c r="K41" s="280"/>
      <c r="L41" s="279" t="s">
        <v>395</v>
      </c>
      <c r="M41" s="279"/>
      <c r="N41" s="279"/>
      <c r="O41" s="77" t="s">
        <v>29</v>
      </c>
      <c r="P41" s="67"/>
      <c r="Q41" s="13"/>
    </row>
    <row r="42" spans="1:17" ht="15.75">
      <c r="B42" s="268"/>
      <c r="C42" s="142">
        <v>57</v>
      </c>
      <c r="D42" s="125" t="s">
        <v>78</v>
      </c>
      <c r="E42" s="379">
        <f>E39/str.1!G30</f>
        <v>13808.602859768682</v>
      </c>
      <c r="F42" s="379"/>
      <c r="G42" s="280" t="s">
        <v>83</v>
      </c>
      <c r="H42" s="280"/>
      <c r="I42" s="280"/>
      <c r="J42" s="280"/>
      <c r="K42" s="280"/>
      <c r="L42" s="279" t="s">
        <v>395</v>
      </c>
      <c r="M42" s="279"/>
      <c r="N42" s="279"/>
      <c r="O42" s="77" t="s">
        <v>29</v>
      </c>
      <c r="P42" s="67"/>
      <c r="Q42" s="13"/>
    </row>
    <row r="43" spans="1:17" ht="15.75">
      <c r="B43" s="268"/>
      <c r="C43" s="142">
        <v>58</v>
      </c>
      <c r="D43" s="126" t="s">
        <v>77</v>
      </c>
      <c r="E43" s="379">
        <f>E40/str.1!G29</f>
        <v>13652.631794685622</v>
      </c>
      <c r="F43" s="379"/>
      <c r="G43" s="280" t="s">
        <v>82</v>
      </c>
      <c r="H43" s="280"/>
      <c r="I43" s="280"/>
      <c r="J43" s="280"/>
      <c r="K43" s="280"/>
      <c r="L43" s="279" t="s">
        <v>395</v>
      </c>
      <c r="M43" s="279"/>
      <c r="N43" s="279"/>
      <c r="O43" s="77" t="s">
        <v>29</v>
      </c>
      <c r="P43" s="67"/>
      <c r="Q43" s="13"/>
    </row>
    <row r="44" spans="1:17" ht="15.75">
      <c r="B44" s="268"/>
      <c r="C44" s="142">
        <v>59</v>
      </c>
      <c r="D44" s="126" t="s">
        <v>76</v>
      </c>
      <c r="E44" s="379">
        <f>MAX(E41:F43)</f>
        <v>13808.602859768682</v>
      </c>
      <c r="F44" s="280"/>
      <c r="G44" s="280" t="s">
        <v>81</v>
      </c>
      <c r="H44" s="280"/>
      <c r="I44" s="280"/>
      <c r="J44" s="280"/>
      <c r="K44" s="280"/>
      <c r="L44" s="279" t="s">
        <v>395</v>
      </c>
      <c r="M44" s="279"/>
      <c r="N44" s="279"/>
      <c r="O44" s="77" t="s">
        <v>29</v>
      </c>
      <c r="P44" s="67"/>
      <c r="Q44" s="13"/>
    </row>
    <row r="45" spans="1:17" ht="15.75">
      <c r="B45" s="268"/>
      <c r="C45" s="142">
        <v>60</v>
      </c>
      <c r="D45" s="74" t="s">
        <v>98</v>
      </c>
      <c r="E45" s="380">
        <f>PI()*E15*E15*str.1!E50/4</f>
        <v>19518.126108130833</v>
      </c>
      <c r="F45" s="380"/>
      <c r="G45" s="381" t="s">
        <v>80</v>
      </c>
      <c r="H45" s="381"/>
      <c r="I45" s="381"/>
      <c r="J45" s="381"/>
      <c r="K45" s="381"/>
      <c r="L45" s="382" t="s">
        <v>396</v>
      </c>
      <c r="M45" s="382"/>
      <c r="N45" s="382"/>
      <c r="O45" s="173" t="s">
        <v>29</v>
      </c>
      <c r="P45" s="67"/>
      <c r="Q45" s="13"/>
    </row>
    <row r="46" spans="1:17" ht="13.5" thickBot="1">
      <c r="B46" s="268"/>
      <c r="C46" s="142">
        <v>61</v>
      </c>
      <c r="D46" s="137"/>
      <c r="E46" s="282"/>
      <c r="F46" s="282"/>
      <c r="G46" s="282"/>
      <c r="H46" s="282"/>
      <c r="I46" s="282"/>
      <c r="J46" s="282"/>
      <c r="K46" s="282"/>
      <c r="L46" s="282"/>
      <c r="M46" s="282"/>
      <c r="N46" s="282"/>
      <c r="O46" s="138"/>
      <c r="P46" s="72"/>
      <c r="Q46" s="10"/>
    </row>
    <row r="47" spans="1:17">
      <c r="B47" s="268"/>
      <c r="C47" s="285" t="s">
        <v>413</v>
      </c>
      <c r="D47" s="286"/>
      <c r="E47" s="286"/>
      <c r="F47" s="286"/>
      <c r="G47" s="286"/>
      <c r="H47" s="286"/>
      <c r="I47" s="286"/>
      <c r="J47" s="286"/>
      <c r="K47" s="286"/>
      <c r="L47" s="286"/>
      <c r="M47" s="286"/>
      <c r="N47" s="286"/>
      <c r="O47" s="287"/>
      <c r="P47" s="72"/>
      <c r="Q47" s="10"/>
    </row>
    <row r="48" spans="1:17" ht="13.5" thickBot="1">
      <c r="B48" s="268"/>
      <c r="C48" s="288"/>
      <c r="D48" s="289"/>
      <c r="E48" s="289"/>
      <c r="F48" s="289"/>
      <c r="G48" s="289"/>
      <c r="H48" s="289"/>
      <c r="I48" s="289"/>
      <c r="J48" s="289"/>
      <c r="K48" s="289"/>
      <c r="L48" s="289"/>
      <c r="M48" s="289"/>
      <c r="N48" s="289"/>
      <c r="O48" s="290"/>
      <c r="P48" s="72"/>
      <c r="Q48" s="10"/>
    </row>
    <row r="49" spans="2:17" ht="15.75">
      <c r="B49" s="268"/>
      <c r="C49" s="139">
        <v>62</v>
      </c>
      <c r="D49" s="174" t="s">
        <v>85</v>
      </c>
      <c r="E49" s="395">
        <f>PI()*str.1!E36*str.1!E36*str.1!E11/4</f>
        <v>1232312.5891651143</v>
      </c>
      <c r="F49" s="395"/>
      <c r="G49" s="409" t="s">
        <v>87</v>
      </c>
      <c r="H49" s="409"/>
      <c r="I49" s="409"/>
      <c r="J49" s="409"/>
      <c r="K49" s="409"/>
      <c r="L49" s="390" t="s">
        <v>397</v>
      </c>
      <c r="M49" s="390"/>
      <c r="N49" s="390"/>
      <c r="O49" s="141" t="s">
        <v>3</v>
      </c>
      <c r="P49" s="72"/>
      <c r="Q49" s="10"/>
    </row>
    <row r="50" spans="2:17" ht="24.95" customHeight="1">
      <c r="B50" s="268"/>
      <c r="C50" s="142">
        <v>63</v>
      </c>
      <c r="D50" s="144" t="s">
        <v>86</v>
      </c>
      <c r="E50" s="379">
        <f>PI()*str.1!E36*str.1!E36*str.1!E12/4</f>
        <v>1762855.5880793585</v>
      </c>
      <c r="F50" s="379"/>
      <c r="G50" s="280" t="s">
        <v>90</v>
      </c>
      <c r="H50" s="280"/>
      <c r="I50" s="280"/>
      <c r="J50" s="280"/>
      <c r="K50" s="280"/>
      <c r="L50" s="279" t="s">
        <v>398</v>
      </c>
      <c r="M50" s="279"/>
      <c r="N50" s="279"/>
      <c r="O50" s="77" t="s">
        <v>3</v>
      </c>
      <c r="P50" s="72"/>
      <c r="Q50" s="32"/>
    </row>
    <row r="51" spans="2:17" ht="15.75">
      <c r="B51" s="268"/>
      <c r="C51" s="142">
        <v>64</v>
      </c>
      <c r="D51" s="126" t="s">
        <v>89</v>
      </c>
      <c r="E51" s="379">
        <f>E32-E49</f>
        <v>220779.55006634863</v>
      </c>
      <c r="F51" s="379"/>
      <c r="G51" s="280" t="s">
        <v>91</v>
      </c>
      <c r="H51" s="280"/>
      <c r="I51" s="280"/>
      <c r="J51" s="280"/>
      <c r="K51" s="280"/>
      <c r="L51" s="383" t="s">
        <v>399</v>
      </c>
      <c r="M51" s="383"/>
      <c r="N51" s="383"/>
      <c r="O51" s="77" t="s">
        <v>3</v>
      </c>
      <c r="P51" s="72"/>
      <c r="Q51" s="10"/>
    </row>
    <row r="52" spans="2:17" ht="24.95" customHeight="1">
      <c r="B52" s="268"/>
      <c r="C52" s="142">
        <v>65</v>
      </c>
      <c r="D52" s="126" t="s">
        <v>88</v>
      </c>
      <c r="E52" s="379">
        <f>E33-E50</f>
        <v>315830.95635807142</v>
      </c>
      <c r="F52" s="379"/>
      <c r="G52" s="280" t="s">
        <v>92</v>
      </c>
      <c r="H52" s="280"/>
      <c r="I52" s="280"/>
      <c r="J52" s="280"/>
      <c r="K52" s="280"/>
      <c r="L52" s="347" t="s">
        <v>400</v>
      </c>
      <c r="M52" s="347"/>
      <c r="N52" s="347"/>
      <c r="O52" s="175" t="s">
        <v>3</v>
      </c>
      <c r="P52" s="72"/>
      <c r="Q52" s="10"/>
    </row>
    <row r="53" spans="2:17" ht="15.75">
      <c r="B53" s="268"/>
      <c r="C53" s="142">
        <v>66</v>
      </c>
      <c r="D53" s="126" t="s">
        <v>93</v>
      </c>
      <c r="E53" s="379">
        <f>(str.1!E37-str.1!E36-str.1!E47)/2</f>
        <v>76.22499999999998</v>
      </c>
      <c r="F53" s="379"/>
      <c r="G53" s="280" t="s">
        <v>155</v>
      </c>
      <c r="H53" s="280"/>
      <c r="I53" s="280"/>
      <c r="J53" s="280"/>
      <c r="K53" s="280"/>
      <c r="L53" s="347" t="s">
        <v>401</v>
      </c>
      <c r="M53" s="347"/>
      <c r="N53" s="347"/>
      <c r="O53" s="175" t="s">
        <v>2</v>
      </c>
      <c r="P53" s="72"/>
      <c r="Q53" s="32"/>
    </row>
    <row r="54" spans="2:17" ht="15.75">
      <c r="B54" s="268"/>
      <c r="C54" s="142">
        <v>67</v>
      </c>
      <c r="D54" s="126" t="s">
        <v>94</v>
      </c>
      <c r="E54" s="379">
        <f>(str.1!E37-E31)/2</f>
        <v>80.99699938750507</v>
      </c>
      <c r="F54" s="379"/>
      <c r="G54" s="280" t="s">
        <v>95</v>
      </c>
      <c r="H54" s="280"/>
      <c r="I54" s="280"/>
      <c r="J54" s="280"/>
      <c r="K54" s="280"/>
      <c r="L54" s="347" t="s">
        <v>402</v>
      </c>
      <c r="M54" s="347"/>
      <c r="N54" s="347"/>
      <c r="O54" s="175" t="s">
        <v>2</v>
      </c>
      <c r="P54" s="72"/>
      <c r="Q54" s="10"/>
    </row>
    <row r="55" spans="2:17" ht="15.75">
      <c r="B55" s="268"/>
      <c r="C55" s="142">
        <v>68</v>
      </c>
      <c r="D55" s="126" t="s">
        <v>96</v>
      </c>
      <c r="E55" s="379">
        <f>(2*str.1!E37-str.1!E36-str.2!E31)/4</f>
        <v>89.72349969375253</v>
      </c>
      <c r="F55" s="379"/>
      <c r="G55" s="280" t="s">
        <v>161</v>
      </c>
      <c r="H55" s="280"/>
      <c r="I55" s="280"/>
      <c r="J55" s="280"/>
      <c r="K55" s="280"/>
      <c r="L55" s="347" t="s">
        <v>403</v>
      </c>
      <c r="M55" s="347"/>
      <c r="N55" s="347"/>
      <c r="O55" s="175" t="s">
        <v>2</v>
      </c>
      <c r="P55" s="72"/>
      <c r="Q55" s="32"/>
    </row>
    <row r="56" spans="2:17" ht="15.75">
      <c r="B56" s="268"/>
      <c r="C56" s="142">
        <v>69</v>
      </c>
      <c r="D56" s="129" t="s">
        <v>97</v>
      </c>
      <c r="E56" s="379">
        <f>0.5*(E44+E45)*str.1!G29</f>
        <v>1888514.6415143057</v>
      </c>
      <c r="F56" s="379"/>
      <c r="G56" s="284" t="s">
        <v>154</v>
      </c>
      <c r="H56" s="389"/>
      <c r="I56" s="389"/>
      <c r="J56" s="389"/>
      <c r="K56" s="389"/>
      <c r="L56" s="347" t="s">
        <v>404</v>
      </c>
      <c r="M56" s="347"/>
      <c r="N56" s="347"/>
      <c r="O56" s="175" t="s">
        <v>3</v>
      </c>
      <c r="P56" s="72"/>
      <c r="Q56" s="10"/>
    </row>
    <row r="57" spans="2:17" ht="15.75">
      <c r="B57" s="268"/>
      <c r="C57" s="142">
        <v>70</v>
      </c>
      <c r="D57" s="129" t="s">
        <v>100</v>
      </c>
      <c r="E57" s="379">
        <f>E56*E54</f>
        <v>152964019.26202857</v>
      </c>
      <c r="F57" s="379"/>
      <c r="G57" s="284" t="s">
        <v>99</v>
      </c>
      <c r="H57" s="389"/>
      <c r="I57" s="389"/>
      <c r="J57" s="389"/>
      <c r="K57" s="389"/>
      <c r="L57" s="347" t="s">
        <v>405</v>
      </c>
      <c r="M57" s="347"/>
      <c r="N57" s="347"/>
      <c r="O57" s="175" t="s">
        <v>12</v>
      </c>
      <c r="P57" s="72"/>
      <c r="Q57" s="32"/>
    </row>
    <row r="58" spans="2:17" ht="15.75">
      <c r="B58" s="268"/>
      <c r="C58" s="142">
        <v>71</v>
      </c>
      <c r="D58" s="129" t="s">
        <v>101</v>
      </c>
      <c r="E58" s="379">
        <f>E49*E53+E51*E55+E35*E54</f>
        <v>119076131.60180475</v>
      </c>
      <c r="F58" s="379"/>
      <c r="G58" s="284" t="s">
        <v>102</v>
      </c>
      <c r="H58" s="389"/>
      <c r="I58" s="389"/>
      <c r="J58" s="389"/>
      <c r="K58" s="389"/>
      <c r="L58" s="347" t="s">
        <v>406</v>
      </c>
      <c r="M58" s="347"/>
      <c r="N58" s="347"/>
      <c r="O58" s="175" t="s">
        <v>12</v>
      </c>
      <c r="P58" s="72"/>
      <c r="Q58" s="10"/>
    </row>
    <row r="59" spans="2:17" ht="16.5" thickBot="1">
      <c r="B59" s="268"/>
      <c r="C59" s="142">
        <v>72</v>
      </c>
      <c r="D59" s="130" t="s">
        <v>103</v>
      </c>
      <c r="E59" s="335">
        <f>E50*E53+E52*E55+E36*E54</f>
        <v>170341539.83879226</v>
      </c>
      <c r="F59" s="335"/>
      <c r="G59" s="336" t="s">
        <v>104</v>
      </c>
      <c r="H59" s="394"/>
      <c r="I59" s="394"/>
      <c r="J59" s="394"/>
      <c r="K59" s="394"/>
      <c r="L59" s="413" t="s">
        <v>407</v>
      </c>
      <c r="M59" s="413"/>
      <c r="N59" s="413"/>
      <c r="O59" s="149" t="s">
        <v>12</v>
      </c>
      <c r="P59" s="72"/>
      <c r="Q59" s="10"/>
    </row>
    <row r="60" spans="2:17">
      <c r="B60" s="268"/>
      <c r="C60" s="285" t="s">
        <v>412</v>
      </c>
      <c r="D60" s="286"/>
      <c r="E60" s="286"/>
      <c r="F60" s="286"/>
      <c r="G60" s="286"/>
      <c r="H60" s="286"/>
      <c r="I60" s="286"/>
      <c r="J60" s="286"/>
      <c r="K60" s="286"/>
      <c r="L60" s="286"/>
      <c r="M60" s="286"/>
      <c r="N60" s="286"/>
      <c r="O60" s="287"/>
      <c r="P60" s="72"/>
      <c r="Q60" s="10"/>
    </row>
    <row r="61" spans="2:17" ht="13.5" thickBot="1">
      <c r="B61" s="268"/>
      <c r="C61" s="288"/>
      <c r="D61" s="289"/>
      <c r="E61" s="289"/>
      <c r="F61" s="289"/>
      <c r="G61" s="289"/>
      <c r="H61" s="289"/>
      <c r="I61" s="289"/>
      <c r="J61" s="289"/>
      <c r="K61" s="289"/>
      <c r="L61" s="289"/>
      <c r="M61" s="289"/>
      <c r="N61" s="289"/>
      <c r="O61" s="290"/>
      <c r="P61" s="72"/>
      <c r="Q61" s="10"/>
    </row>
    <row r="62" spans="2:17" ht="15.75">
      <c r="B62" s="268"/>
      <c r="C62" s="155">
        <v>69</v>
      </c>
      <c r="D62" s="176" t="s">
        <v>50</v>
      </c>
      <c r="E62" s="395">
        <f>PI()*str.1!E37/str.1!E50</f>
        <v>94.766142395536093</v>
      </c>
      <c r="F62" s="395"/>
      <c r="G62" s="409" t="s">
        <v>105</v>
      </c>
      <c r="H62" s="409"/>
      <c r="I62" s="409"/>
      <c r="J62" s="409"/>
      <c r="K62" s="409"/>
      <c r="L62" s="414" t="s">
        <v>408</v>
      </c>
      <c r="M62" s="414"/>
      <c r="N62" s="414"/>
      <c r="O62" s="177" t="s">
        <v>2</v>
      </c>
      <c r="P62" s="72"/>
      <c r="Q62" s="10"/>
    </row>
    <row r="63" spans="2:17" ht="15.75">
      <c r="B63" s="268"/>
      <c r="C63" s="148">
        <v>70</v>
      </c>
      <c r="D63" s="129" t="s">
        <v>106</v>
      </c>
      <c r="E63" s="379">
        <f>(E62/(2*E12+(6*str.1!E44/(str.2!E34+0.5))))^0.5</f>
        <v>0.63475764831143577</v>
      </c>
      <c r="F63" s="379"/>
      <c r="G63" s="280" t="s">
        <v>110</v>
      </c>
      <c r="H63" s="280"/>
      <c r="I63" s="280"/>
      <c r="J63" s="280"/>
      <c r="K63" s="280"/>
      <c r="L63" s="347" t="s">
        <v>409</v>
      </c>
      <c r="M63" s="347"/>
      <c r="N63" s="347"/>
      <c r="O63" s="175"/>
      <c r="P63" s="72"/>
      <c r="Q63" s="10"/>
    </row>
    <row r="64" spans="2:17" ht="15.75">
      <c r="B64" s="268"/>
      <c r="C64" s="148">
        <v>71</v>
      </c>
      <c r="D64" s="129" t="s">
        <v>107</v>
      </c>
      <c r="E64" s="379">
        <v>1</v>
      </c>
      <c r="F64" s="379"/>
      <c r="G64" s="280" t="s">
        <v>111</v>
      </c>
      <c r="H64" s="280"/>
      <c r="I64" s="280"/>
      <c r="J64" s="280"/>
      <c r="K64" s="280"/>
      <c r="L64" s="347" t="s">
        <v>409</v>
      </c>
      <c r="M64" s="347"/>
      <c r="N64" s="347"/>
      <c r="O64" s="175"/>
      <c r="P64" s="72"/>
      <c r="Q64" s="10"/>
    </row>
    <row r="65" spans="1:18" ht="15.75">
      <c r="B65" s="268"/>
      <c r="C65" s="148">
        <v>72</v>
      </c>
      <c r="D65" s="129" t="s">
        <v>108</v>
      </c>
      <c r="E65" s="379">
        <f>MAX(E63:F64)</f>
        <v>1</v>
      </c>
      <c r="F65" s="379"/>
      <c r="G65" s="280" t="s">
        <v>162</v>
      </c>
      <c r="H65" s="280"/>
      <c r="I65" s="280"/>
      <c r="J65" s="280"/>
      <c r="K65" s="280"/>
      <c r="L65" s="347" t="s">
        <v>409</v>
      </c>
      <c r="M65" s="347"/>
      <c r="N65" s="347"/>
      <c r="O65" s="175"/>
      <c r="P65" s="72"/>
      <c r="Q65" s="10"/>
    </row>
    <row r="66" spans="1:18">
      <c r="B66" s="268"/>
      <c r="C66" s="148">
        <v>73</v>
      </c>
      <c r="D66" s="126" t="s">
        <v>109</v>
      </c>
      <c r="E66" s="379">
        <f>str.1!E35/str.1!E36</f>
        <v>1.6875</v>
      </c>
      <c r="F66" s="379"/>
      <c r="G66" s="280" t="s">
        <v>112</v>
      </c>
      <c r="H66" s="280"/>
      <c r="I66" s="280"/>
      <c r="J66" s="280"/>
      <c r="K66" s="280"/>
      <c r="L66" s="279" t="s">
        <v>410</v>
      </c>
      <c r="M66" s="279"/>
      <c r="N66" s="279"/>
      <c r="O66" s="135"/>
      <c r="P66" s="72"/>
      <c r="Q66" s="10"/>
    </row>
    <row r="67" spans="1:18" ht="15.75">
      <c r="B67" s="268"/>
      <c r="C67" s="148">
        <v>74</v>
      </c>
      <c r="D67" s="126" t="s">
        <v>114</v>
      </c>
      <c r="E67" s="379">
        <f>SQRT(str.1!E36*str.1!E46)</f>
        <v>0</v>
      </c>
      <c r="F67" s="379"/>
      <c r="G67" s="280" t="s">
        <v>113</v>
      </c>
      <c r="H67" s="280"/>
      <c r="I67" s="280"/>
      <c r="J67" s="280"/>
      <c r="K67" s="280"/>
      <c r="L67" s="279" t="s">
        <v>411</v>
      </c>
      <c r="M67" s="279"/>
      <c r="N67" s="279"/>
      <c r="O67" s="135" t="s">
        <v>2</v>
      </c>
      <c r="P67" s="72"/>
      <c r="Q67" s="10"/>
    </row>
    <row r="68" spans="1:18" ht="15.75">
      <c r="B68" s="268"/>
      <c r="C68" s="148">
        <v>75</v>
      </c>
      <c r="D68" s="178" t="s">
        <v>115</v>
      </c>
      <c r="E68" s="379">
        <f>(E66*E66*(1+8.55246*LOG(E66))-1)/((1.0472+1.9448*E66*E66)*(E66-1))</f>
        <v>1.6305258887200924</v>
      </c>
      <c r="F68" s="379"/>
      <c r="G68" s="280" t="s">
        <v>116</v>
      </c>
      <c r="H68" s="280"/>
      <c r="I68" s="280"/>
      <c r="J68" s="280"/>
      <c r="K68" s="280"/>
      <c r="L68" s="383" t="s">
        <v>410</v>
      </c>
      <c r="M68" s="383"/>
      <c r="N68" s="383"/>
      <c r="O68" s="175"/>
      <c r="P68" s="72"/>
      <c r="Q68" s="10"/>
    </row>
    <row r="69" spans="1:18" ht="15.75">
      <c r="B69" s="268"/>
      <c r="C69" s="148">
        <v>76</v>
      </c>
      <c r="D69" s="178" t="s">
        <v>117</v>
      </c>
      <c r="E69" s="379">
        <f>(E66*E66*(1+8.55246*LOG(E66))-1)/(1.36136*(E66*E66-1)*(E66-1))</f>
        <v>4.2688465580899848</v>
      </c>
      <c r="F69" s="379"/>
      <c r="G69" s="280" t="s">
        <v>118</v>
      </c>
      <c r="H69" s="280"/>
      <c r="I69" s="280"/>
      <c r="J69" s="280"/>
      <c r="K69" s="280"/>
      <c r="L69" s="383" t="s">
        <v>410</v>
      </c>
      <c r="M69" s="383"/>
      <c r="N69" s="383"/>
      <c r="O69" s="175"/>
      <c r="P69" s="72"/>
      <c r="Q69" s="10"/>
    </row>
    <row r="70" spans="1:18" ht="16.5" thickBot="1">
      <c r="B70" s="268"/>
      <c r="C70" s="148">
        <v>77</v>
      </c>
      <c r="D70" s="179" t="s">
        <v>119</v>
      </c>
      <c r="E70" s="335">
        <f>(1/(E66-1))*(0.66845+5.7169*(E66*E66*LOG(E66))/(E66*E66-1))</f>
        <v>3.8846591624591098</v>
      </c>
      <c r="F70" s="335"/>
      <c r="G70" s="282" t="s">
        <v>156</v>
      </c>
      <c r="H70" s="282"/>
      <c r="I70" s="282"/>
      <c r="J70" s="282"/>
      <c r="K70" s="282"/>
      <c r="L70" s="293" t="s">
        <v>410</v>
      </c>
      <c r="M70" s="293"/>
      <c r="N70" s="293"/>
      <c r="O70" s="149"/>
      <c r="P70" s="72"/>
      <c r="Q70" s="10"/>
    </row>
    <row r="71" spans="1:18">
      <c r="B71" s="268"/>
      <c r="C71" s="131"/>
      <c r="D71" s="180"/>
      <c r="E71" s="78"/>
      <c r="F71" s="78"/>
      <c r="G71" s="181"/>
      <c r="H71" s="181"/>
      <c r="I71" s="181"/>
      <c r="J71" s="181"/>
      <c r="K71" s="181"/>
      <c r="L71" s="182"/>
      <c r="M71" s="182"/>
      <c r="N71" s="182"/>
      <c r="O71" s="162"/>
      <c r="P71" s="72"/>
      <c r="Q71" s="32"/>
    </row>
    <row r="72" spans="1:18">
      <c r="B72" s="268"/>
      <c r="C72" s="183"/>
      <c r="D72" s="73"/>
      <c r="E72" s="73"/>
      <c r="F72" s="73"/>
      <c r="G72" s="73"/>
      <c r="H72" s="73"/>
      <c r="I72" s="73"/>
      <c r="J72" s="73"/>
      <c r="K72" s="168"/>
      <c r="L72" s="168"/>
      <c r="M72" s="168"/>
      <c r="N72" s="168"/>
      <c r="O72" s="184"/>
      <c r="P72" s="72"/>
      <c r="Q72" s="10"/>
    </row>
    <row r="73" spans="1:18" ht="13.5" thickBot="1">
      <c r="B73" s="268"/>
      <c r="C73" s="185"/>
      <c r="D73" s="186"/>
      <c r="E73" s="186"/>
      <c r="F73" s="186"/>
      <c r="G73" s="186"/>
      <c r="H73" s="186"/>
      <c r="I73" s="186"/>
      <c r="J73" s="186"/>
      <c r="K73" s="170"/>
      <c r="L73" s="170"/>
      <c r="M73" s="170"/>
      <c r="N73" s="170"/>
      <c r="O73" s="187"/>
      <c r="P73" s="67"/>
      <c r="Q73" s="13"/>
    </row>
    <row r="74" spans="1:18">
      <c r="B74" s="268"/>
      <c r="C74" s="303" t="s">
        <v>321</v>
      </c>
      <c r="D74" s="305" t="s">
        <v>365</v>
      </c>
      <c r="E74" s="30" t="s">
        <v>366</v>
      </c>
      <c r="F74" s="28" t="s">
        <v>367</v>
      </c>
      <c r="G74" s="30" t="s">
        <v>366</v>
      </c>
      <c r="H74" s="28" t="s">
        <v>367</v>
      </c>
      <c r="I74" s="30" t="s">
        <v>366</v>
      </c>
      <c r="J74" s="28" t="s">
        <v>367</v>
      </c>
      <c r="K74" s="274" t="s">
        <v>368</v>
      </c>
      <c r="L74" s="274"/>
      <c r="M74" s="274"/>
      <c r="N74" s="274"/>
      <c r="O74" s="275"/>
      <c r="P74" s="67"/>
      <c r="Q74" s="13"/>
    </row>
    <row r="75" spans="1:18" ht="13.5" thickBot="1">
      <c r="B75" s="268"/>
      <c r="C75" s="304"/>
      <c r="D75" s="306"/>
      <c r="E75" s="271" t="s">
        <v>369</v>
      </c>
      <c r="F75" s="272"/>
      <c r="G75" s="271" t="s">
        <v>370</v>
      </c>
      <c r="H75" s="272"/>
      <c r="I75" s="271" t="s">
        <v>371</v>
      </c>
      <c r="J75" s="272"/>
      <c r="K75" s="273"/>
      <c r="L75" s="273"/>
      <c r="M75" s="273"/>
      <c r="N75" s="273"/>
      <c r="O75" s="272"/>
      <c r="P75" s="67"/>
      <c r="Q75" s="13"/>
    </row>
    <row r="76" spans="1:18" ht="13.5" thickBot="1">
      <c r="B76" s="268"/>
      <c r="C76" s="298" t="s">
        <v>375</v>
      </c>
      <c r="D76" s="298"/>
      <c r="E76" s="299" t="str">
        <f>str.1!E79</f>
        <v>M.U.</v>
      </c>
      <c r="F76" s="300"/>
      <c r="G76" s="299" t="str">
        <f>str.1!G79</f>
        <v>R.F.</v>
      </c>
      <c r="H76" s="300"/>
      <c r="I76" s="299" t="str">
        <f>str.1!I79</f>
        <v>J.S.</v>
      </c>
      <c r="J76" s="300"/>
      <c r="K76" s="157"/>
      <c r="L76" s="29" t="s">
        <v>24</v>
      </c>
      <c r="M76" s="29" t="s">
        <v>372</v>
      </c>
      <c r="N76" s="241" t="s">
        <v>373</v>
      </c>
      <c r="O76" s="9" t="s">
        <v>374</v>
      </c>
      <c r="P76" s="67"/>
      <c r="Q76" s="13"/>
    </row>
    <row r="77" spans="1:18" ht="13.5" thickBot="1">
      <c r="B77" s="270"/>
      <c r="C77" s="273" t="s">
        <v>367</v>
      </c>
      <c r="D77" s="273"/>
      <c r="E77" s="301">
        <f>str.1!E80</f>
        <v>44300</v>
      </c>
      <c r="F77" s="302"/>
      <c r="G77" s="301">
        <f>str.1!G80</f>
        <v>44300</v>
      </c>
      <c r="H77" s="302"/>
      <c r="I77" s="301">
        <f>str.1!I80</f>
        <v>44300</v>
      </c>
      <c r="J77" s="302"/>
      <c r="K77" s="161"/>
      <c r="L77" s="158"/>
      <c r="M77" s="160">
        <f>str.1!$M$80+1</f>
        <v>1</v>
      </c>
      <c r="N77" s="160">
        <f>str.1!N80</f>
        <v>0</v>
      </c>
      <c r="O77" s="160" t="str">
        <f>str.1!O80</f>
        <v>00</v>
      </c>
      <c r="P77" s="71"/>
      <c r="Q77" s="13"/>
    </row>
    <row r="78" spans="1:18" s="13" customFormat="1">
      <c r="B78" s="31"/>
      <c r="C78" s="10"/>
      <c r="N78" s="10"/>
      <c r="O78" s="10"/>
      <c r="P78" s="59"/>
      <c r="R78" s="22"/>
    </row>
    <row r="79" spans="1:18">
      <c r="A79" s="22"/>
      <c r="B79" s="22"/>
      <c r="C79" s="23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3"/>
      <c r="O79" s="23"/>
      <c r="P79" s="22"/>
      <c r="Q79" s="22"/>
    </row>
    <row r="80" spans="1:18">
      <c r="P80" s="33"/>
      <c r="Q80" s="33"/>
      <c r="R80" s="33"/>
    </row>
    <row r="81" spans="16:18">
      <c r="P81" s="33"/>
      <c r="Q81" s="33"/>
      <c r="R81" s="33"/>
    </row>
    <row r="82" spans="16:18">
      <c r="P82" s="33"/>
      <c r="Q82" s="33"/>
      <c r="R82" s="33"/>
    </row>
    <row r="83" spans="16:18">
      <c r="P83" s="33"/>
      <c r="Q83" s="33"/>
      <c r="R83" s="33"/>
    </row>
    <row r="84" spans="16:18">
      <c r="P84" s="33"/>
      <c r="Q84" s="33"/>
      <c r="R84" s="33"/>
    </row>
    <row r="85" spans="16:18">
      <c r="P85" s="33"/>
      <c r="Q85" s="33"/>
      <c r="R85" s="33"/>
    </row>
    <row r="86" spans="16:18">
      <c r="P86" s="33"/>
      <c r="Q86" s="33"/>
      <c r="R86" s="33"/>
    </row>
    <row r="87" spans="16:18">
      <c r="P87" s="33"/>
      <c r="Q87" s="33"/>
      <c r="R87" s="33"/>
    </row>
    <row r="88" spans="16:18">
      <c r="P88" s="33"/>
      <c r="Q88" s="33"/>
      <c r="R88" s="33"/>
    </row>
    <row r="89" spans="16:18">
      <c r="P89" s="33"/>
      <c r="Q89" s="33"/>
      <c r="R89" s="33"/>
    </row>
    <row r="90" spans="16:18">
      <c r="P90" s="33"/>
      <c r="Q90" s="33"/>
      <c r="R90" s="33"/>
    </row>
    <row r="91" spans="16:18">
      <c r="P91" s="33"/>
      <c r="Q91" s="33"/>
      <c r="R91" s="33"/>
    </row>
    <row r="92" spans="16:18">
      <c r="P92" s="33"/>
      <c r="Q92" s="33"/>
      <c r="R92" s="33"/>
    </row>
    <row r="93" spans="16:18">
      <c r="P93" s="33"/>
      <c r="Q93" s="33"/>
      <c r="R93" s="33"/>
    </row>
    <row r="94" spans="16:18">
      <c r="P94" s="33"/>
      <c r="Q94" s="33"/>
      <c r="R94" s="33"/>
    </row>
    <row r="95" spans="16:18">
      <c r="P95" s="33"/>
      <c r="Q95" s="33"/>
      <c r="R95" s="33"/>
    </row>
    <row r="96" spans="16:18">
      <c r="P96" s="33"/>
      <c r="Q96" s="33"/>
      <c r="R96" s="33"/>
    </row>
    <row r="97" spans="16:18">
      <c r="P97" s="33"/>
      <c r="Q97" s="33"/>
      <c r="R97" s="33"/>
    </row>
    <row r="98" spans="16:18">
      <c r="P98" s="33"/>
      <c r="Q98" s="33"/>
      <c r="R98" s="33"/>
    </row>
    <row r="99" spans="16:18">
      <c r="P99" s="33"/>
      <c r="Q99" s="33"/>
      <c r="R99" s="33"/>
    </row>
    <row r="100" spans="16:18">
      <c r="P100" s="33"/>
      <c r="Q100" s="33"/>
      <c r="R100" s="33"/>
    </row>
    <row r="101" spans="16:18">
      <c r="P101" s="33"/>
      <c r="Q101" s="33"/>
      <c r="R101" s="33"/>
    </row>
    <row r="102" spans="16:18">
      <c r="P102" s="33"/>
      <c r="Q102" s="33"/>
      <c r="R102" s="33"/>
    </row>
    <row r="103" spans="16:18">
      <c r="P103" s="33"/>
      <c r="Q103" s="33"/>
      <c r="R103" s="33"/>
    </row>
    <row r="104" spans="16:18">
      <c r="P104" s="33"/>
      <c r="Q104" s="33"/>
      <c r="R104" s="33"/>
    </row>
    <row r="105" spans="16:18">
      <c r="P105" s="33"/>
      <c r="Q105" s="33"/>
      <c r="R105" s="33"/>
    </row>
    <row r="106" spans="16:18">
      <c r="P106" s="33"/>
      <c r="Q106" s="33"/>
      <c r="R106" s="33"/>
    </row>
    <row r="107" spans="16:18">
      <c r="P107" s="33"/>
      <c r="Q107" s="33"/>
      <c r="R107" s="33"/>
    </row>
    <row r="108" spans="16:18">
      <c r="P108" s="33"/>
      <c r="Q108" s="33"/>
      <c r="R108" s="33"/>
    </row>
    <row r="109" spans="16:18">
      <c r="P109" s="33"/>
      <c r="Q109" s="33"/>
      <c r="R109" s="33"/>
    </row>
    <row r="110" spans="16:18">
      <c r="P110" s="33"/>
      <c r="Q110" s="33"/>
      <c r="R110" s="33"/>
    </row>
    <row r="111" spans="16:18">
      <c r="P111" s="33"/>
      <c r="Q111" s="33"/>
      <c r="R111" s="33"/>
    </row>
    <row r="112" spans="16:18">
      <c r="P112" s="33"/>
      <c r="Q112" s="33"/>
      <c r="R112" s="33"/>
    </row>
    <row r="113" spans="16:18">
      <c r="P113" s="33"/>
      <c r="Q113" s="33"/>
      <c r="R113" s="33"/>
    </row>
    <row r="114" spans="16:18">
      <c r="P114" s="33"/>
      <c r="Q114" s="33"/>
      <c r="R114" s="33"/>
    </row>
    <row r="115" spans="16:18">
      <c r="P115" s="33"/>
      <c r="Q115" s="33"/>
      <c r="R115" s="33"/>
    </row>
    <row r="116" spans="16:18">
      <c r="P116" s="33"/>
      <c r="Q116" s="33"/>
      <c r="R116" s="33"/>
    </row>
    <row r="117" spans="16:18">
      <c r="P117" s="33"/>
      <c r="Q117" s="33"/>
      <c r="R117" s="33"/>
    </row>
    <row r="118" spans="16:18">
      <c r="P118" s="33"/>
      <c r="Q118" s="33"/>
      <c r="R118" s="33"/>
    </row>
    <row r="119" spans="16:18">
      <c r="P119" s="33"/>
      <c r="Q119" s="33"/>
      <c r="R119" s="33"/>
    </row>
    <row r="120" spans="16:18">
      <c r="P120" s="33"/>
      <c r="Q120" s="33"/>
      <c r="R120" s="33"/>
    </row>
    <row r="121" spans="16:18">
      <c r="P121" s="33"/>
      <c r="Q121" s="33"/>
      <c r="R121" s="33"/>
    </row>
    <row r="122" spans="16:18">
      <c r="P122" s="33"/>
      <c r="Q122" s="33"/>
      <c r="R122" s="33"/>
    </row>
    <row r="123" spans="16:18">
      <c r="P123" s="33"/>
      <c r="Q123" s="33"/>
      <c r="R123" s="33"/>
    </row>
    <row r="124" spans="16:18">
      <c r="P124" s="33"/>
      <c r="Q124" s="33"/>
      <c r="R124" s="33"/>
    </row>
    <row r="125" spans="16:18">
      <c r="P125" s="33"/>
      <c r="Q125" s="33"/>
      <c r="R125" s="33"/>
    </row>
    <row r="126" spans="16:18">
      <c r="P126" s="33"/>
      <c r="Q126" s="33"/>
      <c r="R126" s="33"/>
    </row>
    <row r="127" spans="16:18">
      <c r="P127" s="33"/>
      <c r="Q127" s="33"/>
      <c r="R127" s="33"/>
    </row>
    <row r="128" spans="16:18">
      <c r="P128" s="33"/>
      <c r="Q128" s="33"/>
      <c r="R128" s="33"/>
    </row>
    <row r="129" spans="16:18">
      <c r="P129" s="33"/>
      <c r="Q129" s="33"/>
      <c r="R129" s="33"/>
    </row>
    <row r="130" spans="16:18">
      <c r="P130" s="33"/>
      <c r="Q130" s="33"/>
      <c r="R130" s="33"/>
    </row>
    <row r="131" spans="16:18">
      <c r="P131" s="33"/>
      <c r="Q131" s="33"/>
      <c r="R131" s="33"/>
    </row>
    <row r="132" spans="16:18">
      <c r="P132" s="33"/>
      <c r="Q132" s="33"/>
      <c r="R132" s="33"/>
    </row>
    <row r="133" spans="16:18">
      <c r="P133" s="33"/>
      <c r="Q133" s="33"/>
      <c r="R133" s="33"/>
    </row>
    <row r="134" spans="16:18">
      <c r="P134" s="33"/>
      <c r="Q134" s="33"/>
      <c r="R134" s="33"/>
    </row>
    <row r="135" spans="16:18">
      <c r="P135" s="33"/>
      <c r="Q135" s="33"/>
      <c r="R135" s="33"/>
    </row>
    <row r="136" spans="16:18">
      <c r="P136" s="33"/>
      <c r="Q136" s="33"/>
      <c r="R136" s="33"/>
    </row>
    <row r="137" spans="16:18">
      <c r="P137" s="33"/>
      <c r="Q137" s="33"/>
      <c r="R137" s="33"/>
    </row>
    <row r="138" spans="16:18">
      <c r="P138" s="33"/>
      <c r="Q138" s="33"/>
      <c r="R138" s="33"/>
    </row>
    <row r="139" spans="16:18">
      <c r="P139" s="33"/>
      <c r="Q139" s="33"/>
      <c r="R139" s="33"/>
    </row>
    <row r="140" spans="16:18">
      <c r="P140" s="33"/>
      <c r="Q140" s="33"/>
      <c r="R140" s="33"/>
    </row>
    <row r="141" spans="16:18">
      <c r="P141" s="33"/>
      <c r="Q141" s="33"/>
      <c r="R141" s="33"/>
    </row>
    <row r="142" spans="16:18">
      <c r="P142" s="33"/>
      <c r="Q142" s="33"/>
      <c r="R142" s="33"/>
    </row>
    <row r="143" spans="16:18">
      <c r="P143" s="33"/>
      <c r="Q143" s="33"/>
      <c r="R143" s="33"/>
    </row>
    <row r="144" spans="16:18">
      <c r="P144" s="33"/>
      <c r="Q144" s="33"/>
      <c r="R144" s="33"/>
    </row>
    <row r="145" spans="16:18">
      <c r="P145" s="33"/>
      <c r="Q145" s="33"/>
      <c r="R145" s="33"/>
    </row>
    <row r="146" spans="16:18">
      <c r="P146" s="33"/>
      <c r="Q146" s="33"/>
      <c r="R146" s="33"/>
    </row>
    <row r="147" spans="16:18">
      <c r="P147" s="33"/>
      <c r="Q147" s="33"/>
      <c r="R147" s="33"/>
    </row>
    <row r="148" spans="16:18">
      <c r="P148" s="33"/>
      <c r="Q148" s="33"/>
      <c r="R148" s="33"/>
    </row>
    <row r="149" spans="16:18">
      <c r="P149" s="33"/>
      <c r="Q149" s="33"/>
      <c r="R149" s="33"/>
    </row>
    <row r="150" spans="16:18">
      <c r="P150" s="33"/>
      <c r="Q150" s="33"/>
      <c r="R150" s="33"/>
    </row>
    <row r="151" spans="16:18">
      <c r="P151" s="33"/>
      <c r="Q151" s="33"/>
      <c r="R151" s="33"/>
    </row>
    <row r="152" spans="16:18">
      <c r="P152" s="33"/>
      <c r="Q152" s="33"/>
      <c r="R152" s="33"/>
    </row>
    <row r="153" spans="16:18">
      <c r="P153" s="33"/>
      <c r="Q153" s="33"/>
      <c r="R153" s="33"/>
    </row>
    <row r="154" spans="16:18">
      <c r="P154" s="33"/>
      <c r="Q154" s="33"/>
      <c r="R154" s="33"/>
    </row>
    <row r="155" spans="16:18">
      <c r="P155" s="33"/>
      <c r="Q155" s="33"/>
      <c r="R155" s="33"/>
    </row>
    <row r="156" spans="16:18">
      <c r="P156" s="33"/>
      <c r="Q156" s="33"/>
      <c r="R156" s="33"/>
    </row>
    <row r="157" spans="16:18">
      <c r="P157" s="33"/>
      <c r="Q157" s="33"/>
      <c r="R157" s="33"/>
    </row>
    <row r="158" spans="16:18">
      <c r="P158" s="33"/>
      <c r="Q158" s="33"/>
      <c r="R158" s="33"/>
    </row>
    <row r="159" spans="16:18">
      <c r="P159" s="33"/>
      <c r="Q159" s="33"/>
      <c r="R159" s="33"/>
    </row>
    <row r="160" spans="16:18">
      <c r="P160" s="33"/>
      <c r="Q160" s="33"/>
      <c r="R160" s="33"/>
    </row>
    <row r="161" spans="16:18">
      <c r="P161" s="33"/>
      <c r="Q161" s="33"/>
      <c r="R161" s="33"/>
    </row>
    <row r="162" spans="16:18">
      <c r="P162" s="33"/>
      <c r="Q162" s="33"/>
      <c r="R162" s="33"/>
    </row>
    <row r="163" spans="16:18">
      <c r="P163" s="33"/>
      <c r="Q163" s="33"/>
      <c r="R163" s="33"/>
    </row>
    <row r="164" spans="16:18">
      <c r="P164" s="33"/>
      <c r="Q164" s="33"/>
      <c r="R164" s="33"/>
    </row>
    <row r="165" spans="16:18">
      <c r="P165" s="33"/>
      <c r="Q165" s="33"/>
      <c r="R165" s="33"/>
    </row>
    <row r="166" spans="16:18">
      <c r="P166" s="33"/>
      <c r="Q166" s="33"/>
      <c r="R166" s="33"/>
    </row>
    <row r="167" spans="16:18">
      <c r="P167" s="33"/>
      <c r="Q167" s="33"/>
      <c r="R167" s="33"/>
    </row>
    <row r="168" spans="16:18">
      <c r="P168" s="33"/>
      <c r="Q168" s="33"/>
      <c r="R168" s="33"/>
    </row>
    <row r="169" spans="16:18">
      <c r="P169" s="33"/>
      <c r="Q169" s="33"/>
      <c r="R169" s="33"/>
    </row>
    <row r="170" spans="16:18">
      <c r="P170" s="33"/>
      <c r="Q170" s="33"/>
      <c r="R170" s="33"/>
    </row>
    <row r="171" spans="16:18">
      <c r="P171" s="33"/>
      <c r="Q171" s="33"/>
      <c r="R171" s="33"/>
    </row>
    <row r="172" spans="16:18">
      <c r="P172" s="33"/>
      <c r="Q172" s="33"/>
      <c r="R172" s="33"/>
    </row>
    <row r="173" spans="16:18">
      <c r="P173" s="33"/>
      <c r="Q173" s="33"/>
      <c r="R173" s="33"/>
    </row>
    <row r="174" spans="16:18">
      <c r="P174" s="33"/>
      <c r="Q174" s="33"/>
      <c r="R174" s="33"/>
    </row>
    <row r="175" spans="16:18">
      <c r="P175" s="33"/>
      <c r="Q175" s="33"/>
      <c r="R175" s="33"/>
    </row>
    <row r="176" spans="16:18">
      <c r="P176" s="33"/>
      <c r="Q176" s="33"/>
      <c r="R176" s="33"/>
    </row>
    <row r="177" spans="16:18">
      <c r="P177" s="33"/>
      <c r="Q177" s="33"/>
      <c r="R177" s="33"/>
    </row>
    <row r="178" spans="16:18">
      <c r="P178" s="33"/>
      <c r="Q178" s="33"/>
      <c r="R178" s="33"/>
    </row>
    <row r="179" spans="16:18">
      <c r="P179" s="33"/>
      <c r="Q179" s="33"/>
      <c r="R179" s="33"/>
    </row>
    <row r="180" spans="16:18">
      <c r="P180" s="33"/>
      <c r="Q180" s="33"/>
      <c r="R180" s="33"/>
    </row>
    <row r="181" spans="16:18">
      <c r="P181" s="33"/>
      <c r="Q181" s="33"/>
      <c r="R181" s="33"/>
    </row>
    <row r="182" spans="16:18">
      <c r="P182" s="33"/>
      <c r="Q182" s="33"/>
      <c r="R182" s="33"/>
    </row>
    <row r="183" spans="16:18">
      <c r="P183" s="33"/>
      <c r="Q183" s="33"/>
      <c r="R183" s="33"/>
    </row>
    <row r="184" spans="16:18">
      <c r="P184" s="33"/>
      <c r="Q184" s="33"/>
      <c r="R184" s="33"/>
    </row>
    <row r="185" spans="16:18">
      <c r="P185" s="33"/>
      <c r="Q185" s="33"/>
      <c r="R185" s="33"/>
    </row>
    <row r="186" spans="16:18">
      <c r="P186" s="33"/>
      <c r="Q186" s="33"/>
      <c r="R186" s="33"/>
    </row>
    <row r="187" spans="16:18">
      <c r="P187" s="33"/>
      <c r="Q187" s="33"/>
      <c r="R187" s="33"/>
    </row>
    <row r="188" spans="16:18">
      <c r="P188" s="33"/>
      <c r="Q188" s="33"/>
      <c r="R188" s="33"/>
    </row>
    <row r="189" spans="16:18">
      <c r="P189" s="33"/>
      <c r="Q189" s="33"/>
      <c r="R189" s="33"/>
    </row>
    <row r="190" spans="16:18">
      <c r="P190" s="33"/>
      <c r="Q190" s="33"/>
      <c r="R190" s="33"/>
    </row>
    <row r="191" spans="16:18">
      <c r="P191" s="33"/>
      <c r="Q191" s="33"/>
      <c r="R191" s="33"/>
    </row>
    <row r="192" spans="16:18">
      <c r="P192" s="33"/>
      <c r="Q192" s="33"/>
      <c r="R192" s="33"/>
    </row>
    <row r="193" spans="16:18">
      <c r="P193" s="33"/>
      <c r="Q193" s="33"/>
      <c r="R193" s="33"/>
    </row>
    <row r="194" spans="16:18">
      <c r="P194" s="33"/>
      <c r="Q194" s="33"/>
      <c r="R194" s="33"/>
    </row>
    <row r="195" spans="16:18">
      <c r="P195" s="33"/>
      <c r="Q195" s="33"/>
      <c r="R195" s="33"/>
    </row>
    <row r="196" spans="16:18">
      <c r="P196" s="33"/>
      <c r="Q196" s="33"/>
      <c r="R196" s="33"/>
    </row>
    <row r="197" spans="16:18">
      <c r="P197" s="33"/>
      <c r="Q197" s="33"/>
      <c r="R197" s="33"/>
    </row>
    <row r="198" spans="16:18">
      <c r="P198" s="33"/>
      <c r="Q198" s="33"/>
      <c r="R198" s="33"/>
    </row>
    <row r="199" spans="16:18">
      <c r="P199" s="33"/>
      <c r="Q199" s="33"/>
      <c r="R199" s="33"/>
    </row>
    <row r="200" spans="16:18">
      <c r="P200" s="33"/>
      <c r="Q200" s="33"/>
      <c r="R200" s="33"/>
    </row>
    <row r="201" spans="16:18">
      <c r="P201" s="33"/>
      <c r="Q201" s="33"/>
      <c r="R201" s="33"/>
    </row>
    <row r="202" spans="16:18">
      <c r="P202" s="33"/>
      <c r="Q202" s="33"/>
      <c r="R202" s="33"/>
    </row>
    <row r="203" spans="16:18">
      <c r="P203" s="33"/>
      <c r="Q203" s="33"/>
      <c r="R203" s="33"/>
    </row>
    <row r="204" spans="16:18">
      <c r="P204" s="33"/>
      <c r="Q204" s="33"/>
      <c r="R204" s="33"/>
    </row>
    <row r="205" spans="16:18">
      <c r="P205" s="33"/>
      <c r="Q205" s="33"/>
      <c r="R205" s="33"/>
    </row>
    <row r="206" spans="16:18">
      <c r="P206" s="33"/>
      <c r="Q206" s="33"/>
      <c r="R206" s="33"/>
    </row>
    <row r="207" spans="16:18">
      <c r="P207" s="33"/>
      <c r="Q207" s="33"/>
      <c r="R207" s="33"/>
    </row>
    <row r="208" spans="16:18">
      <c r="P208" s="33"/>
      <c r="Q208" s="33"/>
      <c r="R208" s="33"/>
    </row>
    <row r="209" spans="16:18">
      <c r="P209" s="33"/>
      <c r="Q209" s="33"/>
      <c r="R209" s="33"/>
    </row>
    <row r="210" spans="16:18">
      <c r="P210" s="33"/>
      <c r="Q210" s="33"/>
      <c r="R210" s="33"/>
    </row>
    <row r="211" spans="16:18">
      <c r="P211" s="33"/>
      <c r="Q211" s="33"/>
      <c r="R211" s="33"/>
    </row>
    <row r="212" spans="16:18">
      <c r="P212" s="33"/>
      <c r="Q212" s="33"/>
      <c r="R212" s="33"/>
    </row>
    <row r="213" spans="16:18">
      <c r="P213" s="33"/>
      <c r="Q213" s="33"/>
      <c r="R213" s="33"/>
    </row>
    <row r="214" spans="16:18">
      <c r="P214" s="33"/>
      <c r="Q214" s="33"/>
      <c r="R214" s="33"/>
    </row>
    <row r="215" spans="16:18">
      <c r="P215" s="33"/>
      <c r="Q215" s="33"/>
      <c r="R215" s="33"/>
    </row>
    <row r="216" spans="16:18">
      <c r="P216" s="33"/>
      <c r="Q216" s="33"/>
      <c r="R216" s="33"/>
    </row>
    <row r="217" spans="16:18">
      <c r="P217" s="33"/>
      <c r="Q217" s="33"/>
      <c r="R217" s="33"/>
    </row>
    <row r="218" spans="16:18">
      <c r="P218" s="33"/>
      <c r="Q218" s="33"/>
      <c r="R218" s="33"/>
    </row>
    <row r="219" spans="16:18">
      <c r="P219" s="33"/>
      <c r="Q219" s="33"/>
      <c r="R219" s="33"/>
    </row>
    <row r="220" spans="16:18">
      <c r="P220" s="33"/>
      <c r="Q220" s="33"/>
      <c r="R220" s="33"/>
    </row>
    <row r="221" spans="16:18">
      <c r="P221" s="33"/>
      <c r="Q221" s="33"/>
      <c r="R221" s="33"/>
    </row>
    <row r="222" spans="16:18">
      <c r="P222" s="33"/>
      <c r="Q222" s="33"/>
      <c r="R222" s="33"/>
    </row>
    <row r="223" spans="16:18">
      <c r="P223" s="33"/>
      <c r="Q223" s="33"/>
      <c r="R223" s="33"/>
    </row>
    <row r="224" spans="16:18">
      <c r="P224" s="33"/>
      <c r="Q224" s="33"/>
      <c r="R224" s="33"/>
    </row>
    <row r="225" spans="16:18">
      <c r="P225" s="33"/>
      <c r="Q225" s="33"/>
      <c r="R225" s="33"/>
    </row>
    <row r="226" spans="16:18">
      <c r="P226" s="33"/>
      <c r="Q226" s="33"/>
      <c r="R226" s="33"/>
    </row>
    <row r="227" spans="16:18">
      <c r="P227" s="33"/>
      <c r="Q227" s="33"/>
      <c r="R227" s="33"/>
    </row>
    <row r="228" spans="16:18">
      <c r="P228" s="33"/>
      <c r="Q228" s="33"/>
      <c r="R228" s="33"/>
    </row>
    <row r="229" spans="16:18">
      <c r="P229" s="33"/>
      <c r="Q229" s="33"/>
      <c r="R229" s="33"/>
    </row>
    <row r="230" spans="16:18">
      <c r="P230" s="33"/>
      <c r="Q230" s="33"/>
      <c r="R230" s="33"/>
    </row>
    <row r="231" spans="16:18">
      <c r="P231" s="33"/>
      <c r="Q231" s="33"/>
      <c r="R231" s="33"/>
    </row>
    <row r="232" spans="16:18">
      <c r="P232" s="33"/>
      <c r="Q232" s="33"/>
      <c r="R232" s="33"/>
    </row>
    <row r="233" spans="16:18">
      <c r="P233" s="33"/>
      <c r="Q233" s="33"/>
      <c r="R233" s="33"/>
    </row>
    <row r="234" spans="16:18">
      <c r="P234" s="33"/>
      <c r="Q234" s="33"/>
      <c r="R234" s="33"/>
    </row>
    <row r="235" spans="16:18">
      <c r="P235" s="33"/>
      <c r="Q235" s="33"/>
      <c r="R235" s="33"/>
    </row>
    <row r="236" spans="16:18">
      <c r="P236" s="33"/>
      <c r="Q236" s="33"/>
      <c r="R236" s="33"/>
    </row>
    <row r="237" spans="16:18">
      <c r="P237" s="33"/>
      <c r="Q237" s="33"/>
      <c r="R237" s="33"/>
    </row>
    <row r="238" spans="16:18">
      <c r="P238" s="33"/>
      <c r="Q238" s="33"/>
      <c r="R238" s="33"/>
    </row>
    <row r="239" spans="16:18">
      <c r="P239" s="33"/>
      <c r="Q239" s="33"/>
      <c r="R239" s="33"/>
    </row>
    <row r="240" spans="16:18">
      <c r="P240" s="33"/>
      <c r="Q240" s="33"/>
      <c r="R240" s="33"/>
    </row>
    <row r="241" spans="16:18">
      <c r="P241" s="33"/>
      <c r="Q241" s="33"/>
      <c r="R241" s="33"/>
    </row>
    <row r="242" spans="16:18">
      <c r="P242" s="33"/>
      <c r="Q242" s="33"/>
      <c r="R242" s="33"/>
    </row>
    <row r="243" spans="16:18">
      <c r="P243" s="33"/>
      <c r="Q243" s="33"/>
      <c r="R243" s="33"/>
    </row>
    <row r="244" spans="16:18">
      <c r="P244" s="33"/>
      <c r="Q244" s="33"/>
      <c r="R244" s="33"/>
    </row>
    <row r="245" spans="16:18">
      <c r="P245" s="33"/>
      <c r="Q245" s="33"/>
      <c r="R245" s="33"/>
    </row>
    <row r="246" spans="16:18">
      <c r="P246" s="33"/>
      <c r="Q246" s="33"/>
      <c r="R246" s="33"/>
    </row>
    <row r="247" spans="16:18">
      <c r="P247" s="33"/>
      <c r="Q247" s="33"/>
      <c r="R247" s="33"/>
    </row>
    <row r="248" spans="16:18">
      <c r="P248" s="33"/>
      <c r="Q248" s="33"/>
      <c r="R248" s="33"/>
    </row>
    <row r="249" spans="16:18">
      <c r="P249" s="33"/>
      <c r="Q249" s="33"/>
      <c r="R249" s="33"/>
    </row>
    <row r="250" spans="16:18">
      <c r="P250" s="33"/>
      <c r="Q250" s="33"/>
      <c r="R250" s="33"/>
    </row>
    <row r="251" spans="16:18">
      <c r="P251" s="33"/>
      <c r="Q251" s="33"/>
      <c r="R251" s="33"/>
    </row>
    <row r="252" spans="16:18">
      <c r="P252" s="34"/>
      <c r="Q252" s="34"/>
      <c r="R252" s="34"/>
    </row>
    <row r="253" spans="16:18">
      <c r="P253" s="34"/>
      <c r="Q253" s="34"/>
      <c r="R253" s="34"/>
    </row>
    <row r="254" spans="16:18">
      <c r="P254" s="34"/>
      <c r="Q254" s="34"/>
      <c r="R254" s="34"/>
    </row>
    <row r="255" spans="16:18">
      <c r="P255" s="34"/>
      <c r="Q255" s="34"/>
      <c r="R255" s="34"/>
    </row>
    <row r="256" spans="16:18">
      <c r="P256" s="34"/>
      <c r="Q256" s="34"/>
      <c r="R256" s="34"/>
    </row>
    <row r="257" spans="16:18">
      <c r="P257" s="34"/>
      <c r="Q257" s="34"/>
      <c r="R257" s="34"/>
    </row>
    <row r="258" spans="16:18">
      <c r="P258" s="34"/>
      <c r="Q258" s="34"/>
      <c r="R258" s="34"/>
    </row>
    <row r="259" spans="16:18">
      <c r="P259" s="34"/>
      <c r="Q259" s="34"/>
      <c r="R259" s="34"/>
    </row>
  </sheetData>
  <mergeCells count="172">
    <mergeCell ref="P6:P7"/>
    <mergeCell ref="P8:P9"/>
    <mergeCell ref="G33:K33"/>
    <mergeCell ref="L33:N33"/>
    <mergeCell ref="G30:K30"/>
    <mergeCell ref="L14:N14"/>
    <mergeCell ref="L15:N15"/>
    <mergeCell ref="G11:K11"/>
    <mergeCell ref="L10:N10"/>
    <mergeCell ref="L11:N11"/>
    <mergeCell ref="B2:B7"/>
    <mergeCell ref="B8:B77"/>
    <mergeCell ref="K75:O75"/>
    <mergeCell ref="K74:O74"/>
    <mergeCell ref="C77:D77"/>
    <mergeCell ref="C76:D76"/>
    <mergeCell ref="E76:F76"/>
    <mergeCell ref="E77:F77"/>
    <mergeCell ref="L13:N13"/>
    <mergeCell ref="L12:N12"/>
    <mergeCell ref="G76:H76"/>
    <mergeCell ref="G77:H77"/>
    <mergeCell ref="L56:N56"/>
    <mergeCell ref="G15:K15"/>
    <mergeCell ref="L49:N49"/>
    <mergeCell ref="G49:K49"/>
    <mergeCell ref="L51:N51"/>
    <mergeCell ref="G34:K34"/>
    <mergeCell ref="L55:N55"/>
    <mergeCell ref="G32:K32"/>
    <mergeCell ref="L32:N32"/>
    <mergeCell ref="G36:K36"/>
    <mergeCell ref="L36:N36"/>
    <mergeCell ref="L35:N35"/>
    <mergeCell ref="I77:J77"/>
    <mergeCell ref="M5:O5"/>
    <mergeCell ref="L6:N7"/>
    <mergeCell ref="L63:N63"/>
    <mergeCell ref="L58:N58"/>
    <mergeCell ref="L59:N59"/>
    <mergeCell ref="G13:K13"/>
    <mergeCell ref="G65:K65"/>
    <mergeCell ref="G58:K58"/>
    <mergeCell ref="G56:K56"/>
    <mergeCell ref="G35:K35"/>
    <mergeCell ref="L34:N34"/>
    <mergeCell ref="L54:N54"/>
    <mergeCell ref="G53:K53"/>
    <mergeCell ref="C26:O27"/>
    <mergeCell ref="E28:F28"/>
    <mergeCell ref="E29:F29"/>
    <mergeCell ref="G28:K28"/>
    <mergeCell ref="I76:J76"/>
    <mergeCell ref="L62:N62"/>
    <mergeCell ref="G68:K68"/>
    <mergeCell ref="G69:K69"/>
    <mergeCell ref="G75:H75"/>
    <mergeCell ref="G63:K63"/>
    <mergeCell ref="G66:K66"/>
    <mergeCell ref="G67:K67"/>
    <mergeCell ref="L70:N70"/>
    <mergeCell ref="L66:N66"/>
    <mergeCell ref="G70:K70"/>
    <mergeCell ref="M3:O3"/>
    <mergeCell ref="M4:O4"/>
    <mergeCell ref="G12:K12"/>
    <mergeCell ref="C8:O9"/>
    <mergeCell ref="O6:O7"/>
    <mergeCell ref="E12:F12"/>
    <mergeCell ref="F2:L3"/>
    <mergeCell ref="F4:L4"/>
    <mergeCell ref="F5:L5"/>
    <mergeCell ref="G6:K7"/>
    <mergeCell ref="C2:E5"/>
    <mergeCell ref="E6:F7"/>
    <mergeCell ref="M2:O2"/>
    <mergeCell ref="C6:C7"/>
    <mergeCell ref="D6:D7"/>
    <mergeCell ref="G10:K10"/>
    <mergeCell ref="E62:F62"/>
    <mergeCell ref="G62:K62"/>
    <mergeCell ref="E57:F57"/>
    <mergeCell ref="C74:C75"/>
    <mergeCell ref="I75:J75"/>
    <mergeCell ref="D74:D75"/>
    <mergeCell ref="E75:F75"/>
    <mergeCell ref="G57:K57"/>
    <mergeCell ref="E35:F35"/>
    <mergeCell ref="E46:F46"/>
    <mergeCell ref="E53:F53"/>
    <mergeCell ref="E63:F63"/>
    <mergeCell ref="E69:F69"/>
    <mergeCell ref="C60:O61"/>
    <mergeCell ref="E65:F65"/>
    <mergeCell ref="E66:F66"/>
    <mergeCell ref="E58:F58"/>
    <mergeCell ref="E70:F70"/>
    <mergeCell ref="G59:K59"/>
    <mergeCell ref="E36:F36"/>
    <mergeCell ref="E59:F59"/>
    <mergeCell ref="E49:F49"/>
    <mergeCell ref="E54:F54"/>
    <mergeCell ref="E56:F56"/>
    <mergeCell ref="E51:F51"/>
    <mergeCell ref="E52:F52"/>
    <mergeCell ref="E55:F55"/>
    <mergeCell ref="E41:F41"/>
    <mergeCell ref="E13:F13"/>
    <mergeCell ref="C47:O48"/>
    <mergeCell ref="E14:F14"/>
    <mergeCell ref="D10:F10"/>
    <mergeCell ref="D11:F11"/>
    <mergeCell ref="G14:K14"/>
    <mergeCell ref="G54:K54"/>
    <mergeCell ref="G51:K51"/>
    <mergeCell ref="E37:F37"/>
    <mergeCell ref="G37:K37"/>
    <mergeCell ref="E39:F39"/>
    <mergeCell ref="G39:K39"/>
    <mergeCell ref="E50:F50"/>
    <mergeCell ref="E32:F32"/>
    <mergeCell ref="E33:F33"/>
    <mergeCell ref="E34:F34"/>
    <mergeCell ref="E15:F15"/>
    <mergeCell ref="L43:N43"/>
    <mergeCell ref="E44:F44"/>
    <mergeCell ref="G44:K44"/>
    <mergeCell ref="L44:N44"/>
    <mergeCell ref="G41:K41"/>
    <mergeCell ref="L41:N41"/>
    <mergeCell ref="L68:N68"/>
    <mergeCell ref="L69:N69"/>
    <mergeCell ref="E67:F67"/>
    <mergeCell ref="E68:F68"/>
    <mergeCell ref="L67:N67"/>
    <mergeCell ref="L28:N28"/>
    <mergeCell ref="G29:K29"/>
    <mergeCell ref="L29:N29"/>
    <mergeCell ref="G31:K31"/>
    <mergeCell ref="L31:N31"/>
    <mergeCell ref="E30:F30"/>
    <mergeCell ref="E31:F31"/>
    <mergeCell ref="L30:N30"/>
    <mergeCell ref="L65:N65"/>
    <mergeCell ref="L37:N37"/>
    <mergeCell ref="E38:F38"/>
    <mergeCell ref="G38:K38"/>
    <mergeCell ref="L38:N38"/>
    <mergeCell ref="L39:N39"/>
    <mergeCell ref="E40:F40"/>
    <mergeCell ref="G40:K40"/>
    <mergeCell ref="L40:N40"/>
    <mergeCell ref="E43:F43"/>
    <mergeCell ref="G43:K43"/>
    <mergeCell ref="E42:F42"/>
    <mergeCell ref="G42:K42"/>
    <mergeCell ref="L42:N42"/>
    <mergeCell ref="E64:F64"/>
    <mergeCell ref="G64:K64"/>
    <mergeCell ref="L64:N64"/>
    <mergeCell ref="E45:F45"/>
    <mergeCell ref="G45:K45"/>
    <mergeCell ref="L45:N45"/>
    <mergeCell ref="G46:K46"/>
    <mergeCell ref="L46:N46"/>
    <mergeCell ref="L57:N57"/>
    <mergeCell ref="G55:K55"/>
    <mergeCell ref="L53:N53"/>
    <mergeCell ref="G50:K50"/>
    <mergeCell ref="G52:K52"/>
    <mergeCell ref="L52:N52"/>
    <mergeCell ref="L50:N50"/>
  </mergeCells>
  <phoneticPr fontId="3" type="noConversion"/>
  <pageMargins left="0.74803149606299213" right="0" top="0" bottom="0" header="0.19685039370078741" footer="0.19685039370078741"/>
  <pageSetup paperSize="9" scale="72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AutoCAD.Drawing.16" shapeId="4111" r:id="rId4">
          <objectPr defaultSize="0" autoPict="0" r:id="rId5">
            <anchor moveWithCells="1">
              <from>
                <xdr:col>5</xdr:col>
                <xdr:colOff>152400</xdr:colOff>
                <xdr:row>15</xdr:row>
                <xdr:rowOff>57150</xdr:rowOff>
              </from>
              <to>
                <xdr:col>11</xdr:col>
                <xdr:colOff>171450</xdr:colOff>
                <xdr:row>23</xdr:row>
                <xdr:rowOff>152400</xdr:rowOff>
              </to>
            </anchor>
          </objectPr>
        </oleObject>
      </mc:Choice>
      <mc:Fallback>
        <oleObject progId="AutoCAD.Drawing.16" shapeId="4111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Y265"/>
  <sheetViews>
    <sheetView view="pageBreakPreview" topLeftCell="A40" zoomScaleNormal="150" zoomScaleSheetLayoutView="100" workbookViewId="0">
      <selection activeCell="V54" sqref="V54"/>
    </sheetView>
  </sheetViews>
  <sheetFormatPr defaultRowHeight="12.75"/>
  <cols>
    <col min="1" max="1" width="2.42578125" customWidth="1"/>
    <col min="2" max="2" width="2.7109375" customWidth="1"/>
    <col min="3" max="3" width="6.140625" style="1" customWidth="1"/>
    <col min="4" max="4" width="7.7109375" customWidth="1"/>
    <col min="5" max="5" width="8.140625" customWidth="1"/>
    <col min="6" max="6" width="7.7109375" customWidth="1"/>
    <col min="7" max="8" width="11.42578125" customWidth="1"/>
    <col min="9" max="10" width="11" customWidth="1"/>
    <col min="11" max="11" width="6" customWidth="1"/>
    <col min="12" max="12" width="11" customWidth="1"/>
    <col min="13" max="13" width="9.28515625" customWidth="1"/>
    <col min="14" max="14" width="8.5703125" style="1" customWidth="1"/>
    <col min="15" max="15" width="7.5703125" style="1" bestFit="1" customWidth="1"/>
    <col min="16" max="16" width="5.5703125" customWidth="1"/>
    <col min="17" max="17" width="2.5703125" customWidth="1"/>
    <col min="18" max="18" width="2.7109375" style="22" customWidth="1"/>
    <col min="22" max="22" width="15.7109375" bestFit="1" customWidth="1"/>
  </cols>
  <sheetData>
    <row r="1" spans="2:25" ht="13.5" thickBot="1"/>
    <row r="2" spans="2:25" ht="18.75" customHeight="1">
      <c r="B2" s="264"/>
      <c r="C2" s="326"/>
      <c r="D2" s="327"/>
      <c r="E2" s="328"/>
      <c r="F2" s="326" t="str">
        <f>str.1!F2</f>
        <v>SPRAWDZENIE WYTRZYMAŁOŚCI KOŁNIERZA WG EN-13480/3.</v>
      </c>
      <c r="G2" s="327"/>
      <c r="H2" s="327"/>
      <c r="I2" s="327"/>
      <c r="J2" s="327"/>
      <c r="K2" s="327"/>
      <c r="L2" s="328"/>
      <c r="M2" s="348" t="s">
        <v>327</v>
      </c>
      <c r="N2" s="298"/>
      <c r="O2" s="349"/>
      <c r="P2" s="68"/>
      <c r="Q2" s="13"/>
    </row>
    <row r="3" spans="2:25" s="1" customFormat="1" ht="21" customHeight="1" thickBot="1">
      <c r="B3" s="265"/>
      <c r="C3" s="329"/>
      <c r="D3" s="400"/>
      <c r="E3" s="331"/>
      <c r="F3" s="329"/>
      <c r="G3" s="400"/>
      <c r="H3" s="400"/>
      <c r="I3" s="400"/>
      <c r="J3" s="400"/>
      <c r="K3" s="400"/>
      <c r="L3" s="331"/>
      <c r="M3" s="396" t="str">
        <f>str.1!M3</f>
        <v>SCV 200015</v>
      </c>
      <c r="N3" s="397"/>
      <c r="O3" s="398"/>
      <c r="P3" s="69"/>
      <c r="Q3" s="10"/>
      <c r="R3" s="23"/>
    </row>
    <row r="4" spans="2:25" s="1" customFormat="1" ht="18.75" customHeight="1" thickBot="1">
      <c r="B4" s="265"/>
      <c r="C4" s="329"/>
      <c r="D4" s="400"/>
      <c r="E4" s="331"/>
      <c r="F4" s="401" t="str">
        <f>str.1!F4</f>
        <v>KOŁNIERZ SZYJKOWY TYP 11 PN100-DN400, EN 1092-1</v>
      </c>
      <c r="G4" s="402"/>
      <c r="H4" s="402"/>
      <c r="I4" s="402"/>
      <c r="J4" s="402"/>
      <c r="K4" s="402"/>
      <c r="L4" s="403"/>
      <c r="M4" s="353" t="s">
        <v>328</v>
      </c>
      <c r="N4" s="354"/>
      <c r="O4" s="355"/>
      <c r="P4" s="69"/>
      <c r="Q4" s="10"/>
      <c r="R4" s="23"/>
    </row>
    <row r="5" spans="2:25" s="1" customFormat="1" ht="19.5" customHeight="1" thickBot="1">
      <c r="B5" s="265"/>
      <c r="C5" s="404"/>
      <c r="D5" s="405"/>
      <c r="E5" s="406"/>
      <c r="F5" s="404" t="str">
        <f>str.1!F5</f>
        <v>USZCZELKA SPIRALNA PN100-DN400, PN-EN 1514-2</v>
      </c>
      <c r="G5" s="405"/>
      <c r="H5" s="405"/>
      <c r="I5" s="405"/>
      <c r="J5" s="405"/>
      <c r="K5" s="405"/>
      <c r="L5" s="406"/>
      <c r="M5" s="410" t="str">
        <f>str.1!M5</f>
        <v>NG-52-00130_5</v>
      </c>
      <c r="N5" s="411"/>
      <c r="O5" s="412"/>
      <c r="P5" s="70"/>
      <c r="Q5" s="10"/>
      <c r="R5" s="23"/>
    </row>
    <row r="6" spans="2:25" ht="13.5" thickBot="1">
      <c r="B6" s="265"/>
      <c r="C6" s="368" t="s">
        <v>324</v>
      </c>
      <c r="D6" s="368" t="s">
        <v>322</v>
      </c>
      <c r="E6" s="285" t="s">
        <v>323</v>
      </c>
      <c r="F6" s="287"/>
      <c r="G6" s="285" t="s">
        <v>318</v>
      </c>
      <c r="H6" s="286"/>
      <c r="I6" s="286"/>
      <c r="J6" s="286"/>
      <c r="K6" s="286"/>
      <c r="L6" s="285" t="s">
        <v>319</v>
      </c>
      <c r="M6" s="286"/>
      <c r="N6" s="287"/>
      <c r="O6" s="368" t="s">
        <v>320</v>
      </c>
      <c r="P6" s="370" t="s">
        <v>321</v>
      </c>
      <c r="Q6" s="12"/>
    </row>
    <row r="7" spans="2:25" ht="13.5" thickBot="1">
      <c r="B7" s="266"/>
      <c r="C7" s="368"/>
      <c r="D7" s="368"/>
      <c r="E7" s="288"/>
      <c r="F7" s="290"/>
      <c r="G7" s="288"/>
      <c r="H7" s="289"/>
      <c r="I7" s="289"/>
      <c r="J7" s="289"/>
      <c r="K7" s="289"/>
      <c r="L7" s="288"/>
      <c r="M7" s="289"/>
      <c r="N7" s="290"/>
      <c r="O7" s="368"/>
      <c r="P7" s="371"/>
      <c r="Q7" s="12"/>
    </row>
    <row r="8" spans="2:25" s="1" customFormat="1" ht="15.75" customHeight="1">
      <c r="B8" s="267" t="s">
        <v>25</v>
      </c>
      <c r="C8" s="30">
        <v>78</v>
      </c>
      <c r="D8" s="27" t="s">
        <v>120</v>
      </c>
      <c r="E8" s="408">
        <f>str.2!E57*str.2!E65/str.1!E36</f>
        <v>376387.84267231444</v>
      </c>
      <c r="F8" s="408"/>
      <c r="G8" s="456" t="s">
        <v>132</v>
      </c>
      <c r="H8" s="456"/>
      <c r="I8" s="456"/>
      <c r="J8" s="456"/>
      <c r="K8" s="456"/>
      <c r="L8" s="456" t="s">
        <v>415</v>
      </c>
      <c r="M8" s="456"/>
      <c r="N8" s="456"/>
      <c r="O8" s="28" t="s">
        <v>150</v>
      </c>
      <c r="P8" s="75"/>
      <c r="Q8" s="10"/>
      <c r="R8" s="23"/>
    </row>
    <row r="9" spans="2:25" ht="24.95" customHeight="1" thickBot="1">
      <c r="B9" s="268"/>
      <c r="C9" s="5">
        <v>79</v>
      </c>
      <c r="D9" s="3" t="s">
        <v>121</v>
      </c>
      <c r="E9" s="383">
        <f>str.2!E58*str.2!E65/str.1!E36</f>
        <v>293002.2923272755</v>
      </c>
      <c r="F9" s="383"/>
      <c r="G9" s="431" t="s">
        <v>143</v>
      </c>
      <c r="H9" s="431"/>
      <c r="I9" s="431"/>
      <c r="J9" s="431"/>
      <c r="K9" s="431"/>
      <c r="L9" s="431" t="s">
        <v>416</v>
      </c>
      <c r="M9" s="431"/>
      <c r="N9" s="431"/>
      <c r="O9" s="6" t="s">
        <v>150</v>
      </c>
      <c r="P9" s="72"/>
      <c r="Q9" s="10"/>
    </row>
    <row r="10" spans="2:25" ht="16.5" customHeight="1" thickBot="1">
      <c r="B10" s="268"/>
      <c r="C10" s="5">
        <v>80</v>
      </c>
      <c r="D10" s="3" t="s">
        <v>122</v>
      </c>
      <c r="E10" s="383">
        <f>str.2!E59*str.2!E65/str.1!E36</f>
        <v>419147.48976080777</v>
      </c>
      <c r="F10" s="383"/>
      <c r="G10" s="431" t="s">
        <v>144</v>
      </c>
      <c r="H10" s="431"/>
      <c r="I10" s="431"/>
      <c r="J10" s="431"/>
      <c r="K10" s="431"/>
      <c r="L10" s="431" t="s">
        <v>123</v>
      </c>
      <c r="M10" s="431"/>
      <c r="N10" s="431"/>
      <c r="O10" s="6" t="s">
        <v>150</v>
      </c>
      <c r="P10" s="67"/>
      <c r="Q10" s="13"/>
      <c r="V10" s="453" t="s">
        <v>165</v>
      </c>
      <c r="W10" s="454"/>
      <c r="X10" s="454"/>
      <c r="Y10" s="455"/>
    </row>
    <row r="11" spans="2:25" ht="12.75" customHeight="1">
      <c r="B11" s="268"/>
      <c r="C11" s="5">
        <v>81</v>
      </c>
      <c r="D11" s="3" t="s">
        <v>134</v>
      </c>
      <c r="E11" s="383">
        <f>MAX(E8:F10)</f>
        <v>419147.48976080777</v>
      </c>
      <c r="F11" s="383"/>
      <c r="G11" s="431" t="s">
        <v>135</v>
      </c>
      <c r="H11" s="431"/>
      <c r="I11" s="431"/>
      <c r="J11" s="431"/>
      <c r="K11" s="431"/>
      <c r="L11" s="431" t="s">
        <v>417</v>
      </c>
      <c r="M11" s="431"/>
      <c r="N11" s="431"/>
      <c r="O11" s="6" t="s">
        <v>150</v>
      </c>
      <c r="P11" s="67"/>
      <c r="Q11" s="13"/>
      <c r="V11" s="82" t="e">
        <f>0.897697-0.297012*Y11+9.5257/1000*Y12+0.123586*POWER(Y11,2)+0.035858*POWER(Y12,2)-0.194422*Y11*Y12-0.0181259*POWER(Y11,3)+0.012936*POWER(Y12,3)-0.0377693*Y11*Y12*Y12+0.0273791*Y11*Y11*Y12</f>
        <v>#DIV/0!</v>
      </c>
      <c r="W11" s="13" t="e">
        <f>0.0144868-0.135977/E12-0.0461919/E13+0.560718/E12/E12+0.0529829/E13/E13+0.244313/E13/E12+0.113929/E12/E12/E12-0.00928265/E12/E13/E13-0.217008/E12/E12/E13</f>
        <v>#DIV/0!</v>
      </c>
      <c r="X11" s="13"/>
      <c r="Y11" s="83" t="e">
        <f>LN(E12)</f>
        <v>#DIV/0!</v>
      </c>
    </row>
    <row r="12" spans="2:25" ht="15.75" customHeight="1">
      <c r="B12" s="268"/>
      <c r="C12" s="5">
        <v>82</v>
      </c>
      <c r="D12" s="3" t="s">
        <v>127</v>
      </c>
      <c r="E12" s="383" t="e">
        <f>ROUND(str.1!E47/str.1!E46,2)</f>
        <v>#DIV/0!</v>
      </c>
      <c r="F12" s="383"/>
      <c r="G12" s="431" t="s">
        <v>127</v>
      </c>
      <c r="H12" s="431"/>
      <c r="I12" s="431"/>
      <c r="J12" s="431"/>
      <c r="K12" s="431"/>
      <c r="L12" s="431" t="s">
        <v>418</v>
      </c>
      <c r="M12" s="431"/>
      <c r="N12" s="431"/>
      <c r="O12" s="6"/>
      <c r="P12" s="67"/>
      <c r="Q12" s="13"/>
      <c r="V12" s="82" t="e">
        <f>0.500244+0.227914/E12-1.87071*E13-0.34441/E12/E12+2.49189*E13*E13+0.873446*E13/E12+0.189953/E12/E12/E12-1.06082*E13*E13*E13-1.4997*E13*E13/E12+0.719413*E13/E12/E12</f>
        <v>#DIV/0!</v>
      </c>
      <c r="W12" s="13">
        <v>1</v>
      </c>
      <c r="X12" s="13"/>
      <c r="Y12" s="83" t="e">
        <f>LN(E13)</f>
        <v>#DIV/0!</v>
      </c>
    </row>
    <row r="13" spans="2:25" ht="16.5" customHeight="1" thickBot="1">
      <c r="B13" s="268"/>
      <c r="C13" s="5">
        <v>83</v>
      </c>
      <c r="D13" s="3" t="s">
        <v>128</v>
      </c>
      <c r="E13" s="383" t="e">
        <f>ROUND(str.1!E49/str.2!E67,2)</f>
        <v>#DIV/0!</v>
      </c>
      <c r="F13" s="383"/>
      <c r="G13" s="431" t="s">
        <v>128</v>
      </c>
      <c r="H13" s="431"/>
      <c r="I13" s="431"/>
      <c r="J13" s="431"/>
      <c r="K13" s="431"/>
      <c r="L13" s="431" t="s">
        <v>418</v>
      </c>
      <c r="M13" s="431"/>
      <c r="N13" s="431"/>
      <c r="O13" s="6"/>
      <c r="P13" s="67"/>
      <c r="Q13" s="13"/>
      <c r="V13" s="84"/>
      <c r="W13" s="65" t="e">
        <f>(0.0927779-0.0336633*E12+0.964176*E12*E12+0.0566286*E13+0.347074*E13*E13-4.18699*E13*E13*E13)/(1-5.96093/1000*E12+1.62904*E13+3.49329*E13*E13+1.39052*E13*E13*E13)</f>
        <v>#DIV/0!</v>
      </c>
      <c r="X13" s="65"/>
      <c r="Y13" s="85"/>
    </row>
    <row r="14" spans="2:25" ht="15.75" customHeight="1">
      <c r="B14" s="268"/>
      <c r="C14" s="5">
        <v>84</v>
      </c>
      <c r="D14" s="16" t="s">
        <v>124</v>
      </c>
      <c r="E14" s="459" t="e">
        <f>ROUND(V11,3)</f>
        <v>#DIV/0!</v>
      </c>
      <c r="F14" s="459"/>
      <c r="G14" s="432" t="s">
        <v>274</v>
      </c>
      <c r="H14" s="431"/>
      <c r="I14" s="431"/>
      <c r="J14" s="431"/>
      <c r="K14" s="431"/>
      <c r="L14" s="431" t="s">
        <v>419</v>
      </c>
      <c r="M14" s="431"/>
      <c r="N14" s="431"/>
      <c r="O14" s="6"/>
      <c r="P14" s="67"/>
      <c r="Q14" s="13"/>
    </row>
    <row r="15" spans="2:25" ht="15.75" customHeight="1">
      <c r="B15" s="268"/>
      <c r="C15" s="5">
        <v>85</v>
      </c>
      <c r="D15" s="16" t="s">
        <v>125</v>
      </c>
      <c r="E15" s="280" t="e">
        <f>ROUND(IF(AND(E13&gt;=0.1,E13&lt;=0.5,E13&lt;=2),V11,W11),3)</f>
        <v>#DIV/0!</v>
      </c>
      <c r="F15" s="280"/>
      <c r="G15" s="432" t="s">
        <v>275</v>
      </c>
      <c r="H15" s="431"/>
      <c r="I15" s="431"/>
      <c r="J15" s="431"/>
      <c r="K15" s="431"/>
      <c r="L15" s="431" t="s">
        <v>419</v>
      </c>
      <c r="M15" s="431"/>
      <c r="N15" s="431"/>
      <c r="O15" s="6"/>
      <c r="P15" s="67"/>
      <c r="Q15" s="13"/>
    </row>
    <row r="16" spans="2:25" ht="15" customHeight="1">
      <c r="B16" s="268"/>
      <c r="C16" s="5">
        <v>86</v>
      </c>
      <c r="D16" s="16" t="s">
        <v>126</v>
      </c>
      <c r="E16" s="280" t="e">
        <f>MAX(W12:W13)</f>
        <v>#DIV/0!</v>
      </c>
      <c r="F16" s="280"/>
      <c r="G16" s="432" t="s">
        <v>276</v>
      </c>
      <c r="H16" s="431"/>
      <c r="I16" s="431"/>
      <c r="J16" s="431"/>
      <c r="K16" s="431"/>
      <c r="L16" s="431" t="s">
        <v>419</v>
      </c>
      <c r="M16" s="431"/>
      <c r="N16" s="431"/>
      <c r="O16" s="6"/>
      <c r="P16" s="67"/>
      <c r="Q16" s="13"/>
    </row>
    <row r="17" spans="2:18">
      <c r="B17" s="268"/>
      <c r="C17" s="5">
        <v>87</v>
      </c>
      <c r="D17" s="16" t="s">
        <v>129</v>
      </c>
      <c r="E17" s="430" t="e">
        <f>((str.1!E44*str.3!E14+str.2!E67)/(str.2!E68*str.2!E67))+((str.1!E44*str.1!E44*str.1!E44*str.3!E15)/(str.2!E69*str.2!E67*str.1!E46*str.1!E46))</f>
        <v>#DIV/0!</v>
      </c>
      <c r="F17" s="430"/>
      <c r="G17" s="431" t="s">
        <v>131</v>
      </c>
      <c r="H17" s="431"/>
      <c r="I17" s="431"/>
      <c r="J17" s="431"/>
      <c r="K17" s="431"/>
      <c r="L17" s="431"/>
      <c r="M17" s="431"/>
      <c r="N17" s="431"/>
      <c r="O17" s="6"/>
      <c r="P17" s="72"/>
      <c r="Q17" s="10"/>
    </row>
    <row r="18" spans="2:18" s="1" customFormat="1" ht="15.75" customHeight="1">
      <c r="B18" s="268"/>
      <c r="C18" s="5">
        <v>88</v>
      </c>
      <c r="D18" s="16" t="s">
        <v>130</v>
      </c>
      <c r="E18" s="383" t="e">
        <f>E16*E11/(E17*str.1!E47*str.1!E47)</f>
        <v>#DIV/0!</v>
      </c>
      <c r="F18" s="383"/>
      <c r="G18" s="463" t="s">
        <v>133</v>
      </c>
      <c r="H18" s="431"/>
      <c r="I18" s="431"/>
      <c r="J18" s="431"/>
      <c r="K18" s="431"/>
      <c r="L18" s="431" t="s">
        <v>420</v>
      </c>
      <c r="M18" s="431"/>
      <c r="N18" s="431"/>
      <c r="O18" s="6" t="s">
        <v>0</v>
      </c>
      <c r="P18" s="72"/>
      <c r="Q18" s="10"/>
      <c r="R18" s="22"/>
    </row>
    <row r="19" spans="2:18" s="1" customFormat="1" ht="15" customHeight="1">
      <c r="B19" s="268"/>
      <c r="C19" s="5">
        <v>89</v>
      </c>
      <c r="D19" s="16" t="s">
        <v>17</v>
      </c>
      <c r="E19" s="383" t="e">
        <f>(1.333*str.1!E44*str.3!E14+str.2!E67)*str.3!E11/(str.3!E17*str.1!E44*str.1!E44*str.2!E67)</f>
        <v>#DIV/0!</v>
      </c>
      <c r="F19" s="383"/>
      <c r="G19" s="431" t="s">
        <v>136</v>
      </c>
      <c r="H19" s="431"/>
      <c r="I19" s="431"/>
      <c r="J19" s="431"/>
      <c r="K19" s="431"/>
      <c r="L19" s="431" t="s">
        <v>421</v>
      </c>
      <c r="M19" s="431"/>
      <c r="N19" s="431"/>
      <c r="O19" s="6" t="s">
        <v>0</v>
      </c>
      <c r="P19" s="69"/>
      <c r="Q19" s="10"/>
      <c r="R19" s="23"/>
    </row>
    <row r="20" spans="2:18" ht="16.5" customHeight="1" thickBot="1">
      <c r="B20" s="268"/>
      <c r="C20" s="5">
        <v>90</v>
      </c>
      <c r="D20" s="44" t="s">
        <v>137</v>
      </c>
      <c r="E20" s="293" t="e">
        <f>(str.2!E70*str.3!E11/str.1!E44/str.1!E44)-(str.3!E19*(str.2!E66*str.2!E66+1)/(str.2!E66*str.2!E66-1))</f>
        <v>#DIV/0!</v>
      </c>
      <c r="F20" s="293"/>
      <c r="G20" s="418" t="s">
        <v>138</v>
      </c>
      <c r="H20" s="418"/>
      <c r="I20" s="418"/>
      <c r="J20" s="418"/>
      <c r="K20" s="418"/>
      <c r="L20" s="418" t="s">
        <v>422</v>
      </c>
      <c r="M20" s="418"/>
      <c r="N20" s="418"/>
      <c r="O20" s="8" t="s">
        <v>0</v>
      </c>
      <c r="P20" s="69"/>
      <c r="Q20" s="10"/>
      <c r="R20" s="23"/>
    </row>
    <row r="21" spans="2:18">
      <c r="B21" s="268"/>
      <c r="C21" s="285" t="s">
        <v>423</v>
      </c>
      <c r="D21" s="286"/>
      <c r="E21" s="286"/>
      <c r="F21" s="286"/>
      <c r="G21" s="286"/>
      <c r="H21" s="286"/>
      <c r="I21" s="286"/>
      <c r="J21" s="286"/>
      <c r="K21" s="286"/>
      <c r="L21" s="286"/>
      <c r="M21" s="286"/>
      <c r="N21" s="286"/>
      <c r="O21" s="287"/>
      <c r="P21" s="67"/>
      <c r="Q21" s="13"/>
    </row>
    <row r="22" spans="2:18" ht="13.5" thickBot="1">
      <c r="B22" s="268"/>
      <c r="C22" s="288"/>
      <c r="D22" s="289"/>
      <c r="E22" s="289"/>
      <c r="F22" s="289"/>
      <c r="G22" s="289"/>
      <c r="H22" s="289"/>
      <c r="I22" s="289"/>
      <c r="J22" s="289"/>
      <c r="K22" s="289"/>
      <c r="L22" s="289"/>
      <c r="M22" s="289"/>
      <c r="N22" s="289"/>
      <c r="O22" s="290"/>
      <c r="P22" s="67"/>
      <c r="Q22" s="13"/>
    </row>
    <row r="23" spans="2:18" ht="15.75">
      <c r="B23" s="268"/>
      <c r="C23" s="5">
        <v>91</v>
      </c>
      <c r="D23" s="2" t="s">
        <v>139</v>
      </c>
      <c r="E23" s="425">
        <f>(str.2!E12+str.2!E13)/2</f>
        <v>37.700000000000003</v>
      </c>
      <c r="F23" s="356"/>
      <c r="G23" s="437" t="s">
        <v>140</v>
      </c>
      <c r="H23" s="298"/>
      <c r="I23" s="298"/>
      <c r="J23" s="298"/>
      <c r="K23" s="438"/>
      <c r="L23" s="437" t="s">
        <v>424</v>
      </c>
      <c r="M23" s="298"/>
      <c r="N23" s="438"/>
      <c r="O23" s="6" t="s">
        <v>2</v>
      </c>
      <c r="P23" s="67"/>
      <c r="Q23" s="13"/>
    </row>
    <row r="24" spans="2:18" ht="15.75">
      <c r="B24" s="268"/>
      <c r="C24" s="5">
        <v>92</v>
      </c>
      <c r="D24" s="2" t="s">
        <v>142</v>
      </c>
      <c r="E24" s="420">
        <f>PI()*E23</f>
        <v>118.43804304033522</v>
      </c>
      <c r="F24" s="421"/>
      <c r="G24" s="433" t="s">
        <v>141</v>
      </c>
      <c r="H24" s="434"/>
      <c r="I24" s="434"/>
      <c r="J24" s="434"/>
      <c r="K24" s="435"/>
      <c r="L24" s="376" t="s">
        <v>425</v>
      </c>
      <c r="M24" s="377"/>
      <c r="N24" s="378"/>
      <c r="O24" s="6" t="s">
        <v>2</v>
      </c>
      <c r="P24" s="67"/>
      <c r="Q24" s="13"/>
    </row>
    <row r="25" spans="2:18" ht="15.75">
      <c r="B25" s="268"/>
      <c r="C25" s="5">
        <v>93</v>
      </c>
      <c r="D25" s="2" t="s">
        <v>19</v>
      </c>
      <c r="E25" s="420">
        <f>(str.2!E14*str.2!E38/str.3!E24)+str.2!E38*0.1</f>
        <v>54503.946253032678</v>
      </c>
      <c r="F25" s="421"/>
      <c r="G25" s="376" t="s">
        <v>163</v>
      </c>
      <c r="H25" s="377"/>
      <c r="I25" s="377"/>
      <c r="J25" s="377"/>
      <c r="K25" s="378"/>
      <c r="L25" s="376" t="s">
        <v>426</v>
      </c>
      <c r="M25" s="377"/>
      <c r="N25" s="378"/>
      <c r="O25" s="6" t="s">
        <v>3</v>
      </c>
      <c r="P25" s="67"/>
      <c r="Q25" s="13"/>
    </row>
    <row r="26" spans="2:18" ht="15.75" customHeight="1">
      <c r="B26" s="268"/>
      <c r="C26" s="5">
        <v>94</v>
      </c>
      <c r="D26" s="2" t="s">
        <v>20</v>
      </c>
      <c r="E26" s="420">
        <f>E25/str.1!E50</f>
        <v>2725.1973126516341</v>
      </c>
      <c r="F26" s="421"/>
      <c r="G26" s="436" t="s">
        <v>22</v>
      </c>
      <c r="H26" s="377"/>
      <c r="I26" s="377"/>
      <c r="J26" s="377"/>
      <c r="K26" s="378"/>
      <c r="L26" s="376" t="s">
        <v>427</v>
      </c>
      <c r="M26" s="377"/>
      <c r="N26" s="378"/>
      <c r="O26" s="6" t="s">
        <v>3</v>
      </c>
      <c r="P26" s="67"/>
      <c r="Q26" s="13"/>
    </row>
    <row r="27" spans="2:18" ht="16.5" customHeight="1">
      <c r="B27" s="268"/>
      <c r="C27" s="5">
        <v>95</v>
      </c>
      <c r="D27" s="191" t="s">
        <v>278</v>
      </c>
      <c r="E27" s="426">
        <f>(str.2!E38*0.1)/str.1!E50</f>
        <v>2037.1814143593651</v>
      </c>
      <c r="F27" s="427"/>
      <c r="G27" s="422" t="s">
        <v>279</v>
      </c>
      <c r="H27" s="423"/>
      <c r="I27" s="423"/>
      <c r="J27" s="423"/>
      <c r="K27" s="424"/>
      <c r="L27" s="422" t="s">
        <v>429</v>
      </c>
      <c r="M27" s="423"/>
      <c r="N27" s="424"/>
      <c r="O27" s="190" t="s">
        <v>3</v>
      </c>
      <c r="P27" s="72"/>
      <c r="Q27" s="10"/>
    </row>
    <row r="28" spans="2:18" ht="16.5" thickBot="1">
      <c r="B28" s="446"/>
      <c r="C28" s="5">
        <v>96</v>
      </c>
      <c r="D28" s="189" t="s">
        <v>21</v>
      </c>
      <c r="E28" s="419">
        <f>(E26+E27)*E23/(2*1000)</f>
        <v>89.770839004157324</v>
      </c>
      <c r="F28" s="419"/>
      <c r="G28" s="375" t="s">
        <v>277</v>
      </c>
      <c r="H28" s="279"/>
      <c r="I28" s="279"/>
      <c r="J28" s="279"/>
      <c r="K28" s="279"/>
      <c r="L28" s="442" t="s">
        <v>428</v>
      </c>
      <c r="M28" s="273"/>
      <c r="N28" s="443"/>
      <c r="O28" s="189" t="s">
        <v>12</v>
      </c>
      <c r="P28" s="67"/>
      <c r="Q28" s="10"/>
    </row>
    <row r="29" spans="2:18">
      <c r="B29" s="268"/>
      <c r="C29" s="52"/>
      <c r="D29" s="51"/>
      <c r="E29" s="428"/>
      <c r="F29" s="428"/>
      <c r="G29" s="429"/>
      <c r="H29" s="429"/>
      <c r="I29" s="429"/>
      <c r="J29" s="429"/>
      <c r="K29" s="429"/>
      <c r="L29" s="444"/>
      <c r="M29" s="429"/>
      <c r="N29" s="429"/>
      <c r="O29" s="10"/>
      <c r="P29" s="67"/>
      <c r="Q29" s="10"/>
    </row>
    <row r="30" spans="2:18">
      <c r="B30" s="268"/>
      <c r="C30" s="52"/>
      <c r="D30" s="51"/>
      <c r="E30" s="36"/>
      <c r="F30" s="10"/>
      <c r="G30" s="31"/>
      <c r="H30" s="31"/>
      <c r="I30" s="31"/>
      <c r="K30" s="31"/>
      <c r="L30" s="31"/>
      <c r="M30" s="51"/>
      <c r="N30" s="51"/>
      <c r="O30" s="53"/>
      <c r="P30" s="72"/>
      <c r="Q30" s="10"/>
    </row>
    <row r="31" spans="2:18">
      <c r="B31" s="268"/>
      <c r="C31" s="54"/>
      <c r="D31" s="12"/>
      <c r="E31" s="36"/>
      <c r="F31" s="31"/>
      <c r="G31" s="31"/>
      <c r="H31" s="31"/>
      <c r="I31" s="31"/>
      <c r="K31" s="31"/>
      <c r="L31" s="31"/>
      <c r="M31" s="31"/>
      <c r="N31" s="31"/>
      <c r="O31" s="11"/>
      <c r="P31" s="67"/>
      <c r="Q31" s="13"/>
    </row>
    <row r="32" spans="2:18" ht="16.5" customHeight="1">
      <c r="B32" s="268"/>
      <c r="E32" s="31"/>
      <c r="G32" s="38"/>
      <c r="H32" s="38"/>
      <c r="J32" s="1" t="s">
        <v>68</v>
      </c>
      <c r="K32" s="38"/>
      <c r="L32" s="38"/>
      <c r="O32" s="11"/>
      <c r="P32" s="67"/>
      <c r="Q32" s="13"/>
    </row>
    <row r="33" spans="1:17" ht="15.75">
      <c r="B33" s="268"/>
      <c r="E33" s="41"/>
      <c r="G33" s="38"/>
      <c r="H33" s="38"/>
      <c r="I33" s="192" t="s">
        <v>280</v>
      </c>
      <c r="J33" s="38"/>
      <c r="K33" s="38"/>
      <c r="L33" s="38"/>
      <c r="O33" s="11"/>
      <c r="P33" s="67"/>
      <c r="Q33" s="13"/>
    </row>
    <row r="34" spans="1:17">
      <c r="B34" s="268"/>
      <c r="E34" s="56"/>
      <c r="O34" s="11"/>
      <c r="P34" s="67"/>
      <c r="Q34" s="13"/>
    </row>
    <row r="35" spans="1:17" ht="15.75">
      <c r="B35" s="268"/>
      <c r="E35" s="56"/>
      <c r="L35" s="19" t="s">
        <v>23</v>
      </c>
      <c r="O35" s="11"/>
      <c r="P35" s="67"/>
      <c r="Q35" s="13"/>
    </row>
    <row r="36" spans="1:17">
      <c r="B36" s="268"/>
      <c r="E36" s="57"/>
      <c r="F36" s="57"/>
      <c r="O36" s="11"/>
      <c r="P36" s="67"/>
      <c r="Q36" s="13"/>
    </row>
    <row r="37" spans="1:17">
      <c r="B37" s="268"/>
      <c r="E37" s="57"/>
      <c r="F37" s="57"/>
      <c r="O37" s="11"/>
      <c r="P37" s="67"/>
      <c r="Q37" s="13"/>
    </row>
    <row r="38" spans="1:17" ht="15.75">
      <c r="A38" s="35"/>
      <c r="B38" s="268"/>
      <c r="E38" s="57"/>
      <c r="F38" s="57"/>
      <c r="J38" s="1" t="s">
        <v>142</v>
      </c>
      <c r="O38" s="11"/>
      <c r="P38" s="67"/>
      <c r="Q38" s="13"/>
    </row>
    <row r="39" spans="1:17">
      <c r="A39" s="35"/>
      <c r="B39" s="268"/>
      <c r="C39" s="37"/>
      <c r="D39" s="12"/>
      <c r="E39" s="56"/>
      <c r="F39" s="56"/>
      <c r="G39" s="39"/>
      <c r="H39" s="39"/>
      <c r="I39" s="39"/>
      <c r="J39" s="39"/>
      <c r="K39" s="39"/>
      <c r="L39" s="39"/>
      <c r="M39" s="49"/>
      <c r="N39" s="49"/>
      <c r="O39" s="11"/>
      <c r="P39" s="67"/>
      <c r="Q39" s="13"/>
    </row>
    <row r="40" spans="1:17" ht="13.5" thickBot="1">
      <c r="B40" s="268"/>
      <c r="C40" s="63"/>
      <c r="D40" s="62"/>
      <c r="E40" s="64"/>
      <c r="F40" s="64"/>
      <c r="G40" s="65"/>
      <c r="H40" s="65"/>
      <c r="I40" s="65"/>
      <c r="J40" s="65"/>
      <c r="K40" s="65"/>
      <c r="L40" s="65"/>
      <c r="M40" s="66"/>
      <c r="N40" s="66"/>
      <c r="O40" s="21"/>
      <c r="P40" s="67"/>
      <c r="Q40" s="13"/>
    </row>
    <row r="41" spans="1:17">
      <c r="B41" s="268"/>
      <c r="C41" s="54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55"/>
      <c r="P41" s="67"/>
      <c r="Q41" s="13"/>
    </row>
    <row r="42" spans="1:17">
      <c r="B42" s="268"/>
      <c r="C42" s="54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55"/>
      <c r="P42" s="67"/>
      <c r="Q42" s="13"/>
    </row>
    <row r="43" spans="1:17" ht="13.5" thickBot="1">
      <c r="A43" s="35"/>
      <c r="B43" s="268"/>
      <c r="C43" s="54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55"/>
      <c r="P43" s="67"/>
      <c r="Q43" s="13"/>
    </row>
    <row r="44" spans="1:17" ht="15" customHeight="1">
      <c r="B44" s="268"/>
      <c r="C44" s="464" t="s">
        <v>430</v>
      </c>
      <c r="D44" s="465"/>
      <c r="E44" s="465"/>
      <c r="F44" s="465"/>
      <c r="G44" s="465"/>
      <c r="H44" s="465"/>
      <c r="I44" s="465"/>
      <c r="J44" s="465"/>
      <c r="K44" s="465"/>
      <c r="L44" s="465"/>
      <c r="M44" s="465"/>
      <c r="N44" s="465"/>
      <c r="O44" s="466"/>
      <c r="P44" s="67"/>
      <c r="Q44" s="13"/>
    </row>
    <row r="45" spans="1:17" ht="13.5" thickBot="1">
      <c r="A45" s="35"/>
      <c r="B45" s="268"/>
      <c r="C45" s="467"/>
      <c r="D45" s="468"/>
      <c r="E45" s="468"/>
      <c r="F45" s="468"/>
      <c r="G45" s="468"/>
      <c r="H45" s="468"/>
      <c r="I45" s="468"/>
      <c r="J45" s="468"/>
      <c r="K45" s="468"/>
      <c r="L45" s="468"/>
      <c r="M45" s="468"/>
      <c r="N45" s="468"/>
      <c r="O45" s="469"/>
      <c r="P45" s="67"/>
      <c r="Q45" s="13"/>
    </row>
    <row r="46" spans="1:17" ht="15.75">
      <c r="A46" s="35"/>
      <c r="B46" s="268"/>
      <c r="C46" s="30">
        <v>96</v>
      </c>
      <c r="D46" s="17" t="s">
        <v>76</v>
      </c>
      <c r="E46" s="457">
        <f>str.2!E44</f>
        <v>13808.602859768682</v>
      </c>
      <c r="F46" s="458"/>
      <c r="G46" s="17" t="s">
        <v>98</v>
      </c>
      <c r="H46" s="45">
        <f>str.2!E45</f>
        <v>19518.126108130833</v>
      </c>
      <c r="I46" s="27" t="s">
        <v>157</v>
      </c>
      <c r="J46" s="437" t="str">
        <f>IF(E46&lt;H46,"Warunek spełniony", "!!ZLE!!")</f>
        <v>Warunek spełniony</v>
      </c>
      <c r="K46" s="438"/>
      <c r="L46" s="439" t="s">
        <v>431</v>
      </c>
      <c r="M46" s="440"/>
      <c r="N46" s="441"/>
      <c r="O46" s="28" t="s">
        <v>2</v>
      </c>
      <c r="P46" s="67"/>
      <c r="Q46" s="13"/>
    </row>
    <row r="47" spans="1:17" ht="15.75" customHeight="1">
      <c r="A47" s="35"/>
      <c r="B47" s="268"/>
      <c r="C47" s="5">
        <v>97</v>
      </c>
      <c r="D47" s="16" t="s">
        <v>130</v>
      </c>
      <c r="E47" s="420" t="e">
        <f>E18</f>
        <v>#DIV/0!</v>
      </c>
      <c r="F47" s="421"/>
      <c r="G47" s="2" t="s">
        <v>152</v>
      </c>
      <c r="H47" s="4">
        <f>str.1!E29</f>
        <v>212.5</v>
      </c>
      <c r="I47" s="15" t="s">
        <v>158</v>
      </c>
      <c r="J47" s="376" t="e">
        <f>IF(E47&lt;H47,"Warunek spełniony", "!!ZLE!!")</f>
        <v>#DIV/0!</v>
      </c>
      <c r="K47" s="378"/>
      <c r="L47" s="460" t="s">
        <v>420</v>
      </c>
      <c r="M47" s="461"/>
      <c r="N47" s="462"/>
      <c r="O47" s="6" t="s">
        <v>2</v>
      </c>
      <c r="P47" s="67"/>
      <c r="Q47" s="13"/>
    </row>
    <row r="48" spans="1:17" ht="15.75" customHeight="1">
      <c r="B48" s="268"/>
      <c r="C48" s="5">
        <v>98</v>
      </c>
      <c r="D48" s="16" t="s">
        <v>17</v>
      </c>
      <c r="E48" s="419" t="e">
        <f>E19</f>
        <v>#DIV/0!</v>
      </c>
      <c r="F48" s="419"/>
      <c r="G48" s="2" t="s">
        <v>152</v>
      </c>
      <c r="H48" s="4">
        <f>str.1!F29</f>
        <v>212.5</v>
      </c>
      <c r="I48" s="15" t="s">
        <v>160</v>
      </c>
      <c r="J48" s="376" t="e">
        <f>IF(E48&lt;H48,"Warunek spełniony", "!!ZLE!!")</f>
        <v>#DIV/0!</v>
      </c>
      <c r="K48" s="378"/>
      <c r="L48" s="431" t="s">
        <v>421</v>
      </c>
      <c r="M48" s="431"/>
      <c r="N48" s="431"/>
      <c r="O48" s="6" t="s">
        <v>2</v>
      </c>
      <c r="P48" s="72"/>
      <c r="Q48" s="10"/>
    </row>
    <row r="49" spans="1:17" ht="16.5" customHeight="1">
      <c r="B49" s="268"/>
      <c r="C49" s="5">
        <v>99</v>
      </c>
      <c r="D49" s="16" t="s">
        <v>137</v>
      </c>
      <c r="E49" s="419" t="e">
        <f>E20</f>
        <v>#DIV/0!</v>
      </c>
      <c r="F49" s="419"/>
      <c r="G49" s="2" t="s">
        <v>152</v>
      </c>
      <c r="H49" s="42">
        <f>str.1!E29</f>
        <v>212.5</v>
      </c>
      <c r="I49" s="15" t="s">
        <v>159</v>
      </c>
      <c r="J49" s="376" t="e">
        <f>IF(E49&lt;H49,"Warunek spełniony", "!!ZLE!!")</f>
        <v>#DIV/0!</v>
      </c>
      <c r="K49" s="378"/>
      <c r="L49" s="431" t="s">
        <v>422</v>
      </c>
      <c r="M49" s="431"/>
      <c r="N49" s="431"/>
      <c r="O49" s="6" t="s">
        <v>0</v>
      </c>
      <c r="P49" s="72"/>
      <c r="Q49" s="10"/>
    </row>
    <row r="50" spans="1:17" ht="16.5" thickBot="1">
      <c r="B50" s="268"/>
      <c r="C50" s="7">
        <v>100</v>
      </c>
      <c r="D50" s="25" t="s">
        <v>21</v>
      </c>
      <c r="E50" s="293">
        <f>E28</f>
        <v>89.770839004157324</v>
      </c>
      <c r="F50" s="293"/>
      <c r="G50" s="43"/>
      <c r="H50" s="43"/>
      <c r="I50" s="43"/>
      <c r="J50" s="418"/>
      <c r="K50" s="418"/>
      <c r="L50" s="415" t="s">
        <v>428</v>
      </c>
      <c r="M50" s="415"/>
      <c r="N50" s="415"/>
      <c r="O50" s="8" t="s">
        <v>12</v>
      </c>
      <c r="P50" s="72"/>
      <c r="Q50" s="10"/>
    </row>
    <row r="51" spans="1:17">
      <c r="B51" s="268"/>
      <c r="C51" s="447" t="s">
        <v>494</v>
      </c>
      <c r="D51" s="448"/>
      <c r="E51" s="448"/>
      <c r="F51" s="448"/>
      <c r="G51" s="448"/>
      <c r="H51" s="448"/>
      <c r="I51" s="448"/>
      <c r="J51" s="448"/>
      <c r="K51" s="448"/>
      <c r="L51" s="448"/>
      <c r="M51" s="448"/>
      <c r="N51" s="448"/>
      <c r="O51" s="449"/>
      <c r="P51" s="72"/>
      <c r="Q51" s="10"/>
    </row>
    <row r="52" spans="1:17" ht="15.75" customHeight="1">
      <c r="B52" s="268"/>
      <c r="C52" s="450"/>
      <c r="D52" s="451"/>
      <c r="E52" s="451"/>
      <c r="F52" s="451"/>
      <c r="G52" s="451"/>
      <c r="H52" s="451"/>
      <c r="I52" s="451"/>
      <c r="J52" s="451"/>
      <c r="K52" s="451"/>
      <c r="L52" s="451"/>
      <c r="M52" s="451"/>
      <c r="N52" s="451"/>
      <c r="O52" s="452"/>
      <c r="P52" s="72"/>
      <c r="Q52" s="10"/>
    </row>
    <row r="53" spans="1:17" ht="15.75" customHeight="1">
      <c r="A53" s="35"/>
      <c r="B53" s="268"/>
      <c r="C53" s="450"/>
      <c r="D53" s="451"/>
      <c r="E53" s="451"/>
      <c r="F53" s="451"/>
      <c r="G53" s="451"/>
      <c r="H53" s="451"/>
      <c r="I53" s="451"/>
      <c r="J53" s="451"/>
      <c r="K53" s="451"/>
      <c r="L53" s="451"/>
      <c r="M53" s="451"/>
      <c r="N53" s="451"/>
      <c r="O53" s="452"/>
      <c r="P53" s="72"/>
      <c r="Q53" s="10"/>
    </row>
    <row r="54" spans="1:17" ht="15.75" customHeight="1">
      <c r="A54" s="35"/>
      <c r="B54" s="268"/>
      <c r="C54" s="450"/>
      <c r="D54" s="451"/>
      <c r="E54" s="451"/>
      <c r="F54" s="451"/>
      <c r="G54" s="451"/>
      <c r="H54" s="451"/>
      <c r="I54" s="451"/>
      <c r="J54" s="451"/>
      <c r="K54" s="451"/>
      <c r="L54" s="451"/>
      <c r="M54" s="451"/>
      <c r="N54" s="451"/>
      <c r="O54" s="452"/>
      <c r="P54" s="72"/>
      <c r="Q54" s="10"/>
    </row>
    <row r="55" spans="1:17">
      <c r="B55" s="268"/>
      <c r="C55" s="450"/>
      <c r="D55" s="451"/>
      <c r="E55" s="451"/>
      <c r="F55" s="451"/>
      <c r="G55" s="451"/>
      <c r="H55" s="451"/>
      <c r="I55" s="451"/>
      <c r="J55" s="451"/>
      <c r="K55" s="451"/>
      <c r="L55" s="451"/>
      <c r="M55" s="451"/>
      <c r="N55" s="451"/>
      <c r="O55" s="452"/>
      <c r="P55" s="72"/>
      <c r="Q55" s="10"/>
    </row>
    <row r="56" spans="1:17">
      <c r="B56" s="268"/>
      <c r="C56" s="450"/>
      <c r="D56" s="451"/>
      <c r="E56" s="451"/>
      <c r="F56" s="451"/>
      <c r="G56" s="451"/>
      <c r="H56" s="451"/>
      <c r="I56" s="451"/>
      <c r="J56" s="451"/>
      <c r="K56" s="451"/>
      <c r="L56" s="451"/>
      <c r="M56" s="451"/>
      <c r="N56" s="451"/>
      <c r="O56" s="452"/>
      <c r="P56" s="72"/>
      <c r="Q56" s="10"/>
    </row>
    <row r="57" spans="1:17">
      <c r="B57" s="268"/>
      <c r="C57" s="450"/>
      <c r="D57" s="451"/>
      <c r="E57" s="451"/>
      <c r="F57" s="451"/>
      <c r="G57" s="451"/>
      <c r="H57" s="451"/>
      <c r="I57" s="451"/>
      <c r="J57" s="451"/>
      <c r="K57" s="451"/>
      <c r="L57" s="451"/>
      <c r="M57" s="451"/>
      <c r="N57" s="451"/>
      <c r="O57" s="452"/>
      <c r="P57" s="72"/>
      <c r="Q57" s="10"/>
    </row>
    <row r="58" spans="1:17">
      <c r="B58" s="268"/>
      <c r="C58" s="450"/>
      <c r="D58" s="451"/>
      <c r="E58" s="451"/>
      <c r="F58" s="451"/>
      <c r="G58" s="451"/>
      <c r="H58" s="451"/>
      <c r="I58" s="451"/>
      <c r="J58" s="451"/>
      <c r="K58" s="451"/>
      <c r="L58" s="451"/>
      <c r="M58" s="451"/>
      <c r="N58" s="451"/>
      <c r="O58" s="452"/>
      <c r="P58" s="72"/>
      <c r="Q58" s="10"/>
    </row>
    <row r="59" spans="1:17">
      <c r="B59" s="268"/>
      <c r="C59" s="450"/>
      <c r="D59" s="451"/>
      <c r="E59" s="451"/>
      <c r="F59" s="451"/>
      <c r="G59" s="451"/>
      <c r="H59" s="451"/>
      <c r="I59" s="451"/>
      <c r="J59" s="451"/>
      <c r="K59" s="451"/>
      <c r="L59" s="451"/>
      <c r="M59" s="451"/>
      <c r="N59" s="451"/>
      <c r="O59" s="452"/>
      <c r="P59" s="72"/>
      <c r="Q59" s="10"/>
    </row>
    <row r="60" spans="1:17">
      <c r="B60" s="268"/>
      <c r="C60" s="450"/>
      <c r="D60" s="451"/>
      <c r="E60" s="451"/>
      <c r="F60" s="451"/>
      <c r="G60" s="451"/>
      <c r="H60" s="451"/>
      <c r="I60" s="451"/>
      <c r="J60" s="451"/>
      <c r="K60" s="451"/>
      <c r="L60" s="451"/>
      <c r="M60" s="451"/>
      <c r="N60" s="451"/>
      <c r="O60" s="452"/>
      <c r="P60" s="72"/>
      <c r="Q60" s="10"/>
    </row>
    <row r="61" spans="1:17">
      <c r="B61" s="268"/>
      <c r="C61" s="450"/>
      <c r="D61" s="451"/>
      <c r="E61" s="451"/>
      <c r="F61" s="451"/>
      <c r="G61" s="451"/>
      <c r="H61" s="451"/>
      <c r="I61" s="451"/>
      <c r="J61" s="451"/>
      <c r="K61" s="451"/>
      <c r="L61" s="451"/>
      <c r="M61" s="451"/>
      <c r="N61" s="451"/>
      <c r="O61" s="452"/>
      <c r="P61" s="72"/>
      <c r="Q61" s="10"/>
    </row>
    <row r="62" spans="1:17">
      <c r="B62" s="268"/>
      <c r="C62" s="450"/>
      <c r="D62" s="451"/>
      <c r="E62" s="451"/>
      <c r="F62" s="451"/>
      <c r="G62" s="451"/>
      <c r="H62" s="451"/>
      <c r="I62" s="451"/>
      <c r="J62" s="451"/>
      <c r="K62" s="451"/>
      <c r="L62" s="451"/>
      <c r="M62" s="451"/>
      <c r="N62" s="451"/>
      <c r="O62" s="452"/>
      <c r="P62" s="72"/>
      <c r="Q62" s="10"/>
    </row>
    <row r="63" spans="1:17" ht="15.75" customHeight="1">
      <c r="B63" s="268"/>
      <c r="C63" s="450"/>
      <c r="D63" s="451"/>
      <c r="E63" s="451"/>
      <c r="F63" s="451"/>
      <c r="G63" s="451"/>
      <c r="H63" s="451"/>
      <c r="I63" s="451"/>
      <c r="J63" s="451"/>
      <c r="K63" s="451"/>
      <c r="L63" s="451"/>
      <c r="M63" s="451"/>
      <c r="N63" s="451"/>
      <c r="O63" s="452"/>
      <c r="P63" s="72"/>
      <c r="Q63" s="10"/>
    </row>
    <row r="64" spans="1:17" ht="15.75" customHeight="1">
      <c r="B64" s="268"/>
      <c r="C64" s="450"/>
      <c r="D64" s="451"/>
      <c r="E64" s="451"/>
      <c r="F64" s="451"/>
      <c r="G64" s="451"/>
      <c r="H64" s="451"/>
      <c r="I64" s="451"/>
      <c r="J64" s="451"/>
      <c r="K64" s="451"/>
      <c r="L64" s="451"/>
      <c r="M64" s="451"/>
      <c r="N64" s="451"/>
      <c r="O64" s="452"/>
      <c r="P64" s="72"/>
      <c r="Q64" s="10"/>
    </row>
    <row r="65" spans="2:18" ht="12" customHeight="1">
      <c r="B65" s="268"/>
      <c r="C65" s="46"/>
      <c r="D65" s="50"/>
      <c r="E65" s="60"/>
      <c r="F65" s="60"/>
      <c r="G65" s="47"/>
      <c r="H65" s="47"/>
      <c r="I65" s="47"/>
      <c r="J65" s="47"/>
      <c r="K65" s="47"/>
      <c r="L65" s="41"/>
      <c r="M65" s="41"/>
      <c r="N65" s="41"/>
      <c r="O65" s="40"/>
      <c r="P65" s="72"/>
      <c r="Q65" s="10"/>
    </row>
    <row r="66" spans="2:18" ht="12" customHeight="1">
      <c r="B66" s="268"/>
      <c r="C66" s="46"/>
      <c r="D66" s="50"/>
      <c r="E66" s="60"/>
      <c r="F66" s="60"/>
      <c r="G66" s="47"/>
      <c r="H66" s="47"/>
      <c r="I66" s="47"/>
      <c r="J66" s="47"/>
      <c r="K66" s="47"/>
      <c r="L66" s="41"/>
      <c r="M66" s="41"/>
      <c r="N66" s="41"/>
      <c r="O66" s="40"/>
      <c r="P66" s="72"/>
      <c r="Q66" s="10"/>
    </row>
    <row r="67" spans="2:18">
      <c r="B67" s="446"/>
      <c r="C67" s="37"/>
      <c r="D67" s="12"/>
      <c r="E67" s="48"/>
      <c r="F67" s="48"/>
      <c r="G67" s="36"/>
      <c r="H67" s="36"/>
      <c r="I67" s="36"/>
      <c r="J67" s="36"/>
      <c r="K67" s="36"/>
      <c r="L67" s="49"/>
      <c r="M67" s="49"/>
      <c r="N67" s="49"/>
      <c r="O67" s="11"/>
      <c r="P67" s="72"/>
      <c r="Q67" s="10"/>
    </row>
    <row r="68" spans="2:18">
      <c r="B68" s="446"/>
      <c r="C68" s="37"/>
      <c r="D68" s="12"/>
      <c r="E68" s="48"/>
      <c r="F68" s="48"/>
      <c r="G68" s="36"/>
      <c r="H68" s="36"/>
      <c r="I68" s="36"/>
      <c r="J68" s="36"/>
      <c r="K68" s="36"/>
      <c r="L68" s="49"/>
      <c r="M68" s="49"/>
      <c r="N68" s="49"/>
      <c r="O68" s="11"/>
      <c r="P68" s="72"/>
      <c r="Q68" s="10"/>
    </row>
    <row r="69" spans="2:18">
      <c r="B69" s="446"/>
      <c r="C69" s="37"/>
      <c r="D69" s="12"/>
      <c r="E69" s="48"/>
      <c r="F69" s="48"/>
      <c r="G69" s="36"/>
      <c r="H69" s="36"/>
      <c r="I69" s="36"/>
      <c r="J69" s="36"/>
      <c r="K69" s="36"/>
      <c r="L69" s="49"/>
      <c r="M69" s="49"/>
      <c r="N69" s="49"/>
      <c r="O69" s="11"/>
      <c r="P69" s="72"/>
      <c r="Q69" s="10"/>
    </row>
    <row r="70" spans="2:18">
      <c r="B70" s="446"/>
      <c r="C70" s="37"/>
      <c r="D70" s="12"/>
      <c r="E70" s="48"/>
      <c r="F70" s="48"/>
      <c r="G70" s="36"/>
      <c r="H70" s="36"/>
      <c r="I70" s="36"/>
      <c r="J70" s="36"/>
      <c r="K70" s="36"/>
      <c r="L70" s="49"/>
      <c r="M70" s="49"/>
      <c r="N70" s="49"/>
      <c r="O70" s="11"/>
      <c r="P70" s="72"/>
      <c r="Q70" s="10"/>
    </row>
    <row r="71" spans="2:18">
      <c r="B71" s="446"/>
      <c r="C71" s="37"/>
      <c r="D71" s="12"/>
      <c r="E71" s="48"/>
      <c r="F71" s="48"/>
      <c r="G71" s="36"/>
      <c r="H71" s="36"/>
      <c r="I71" s="36"/>
      <c r="J71" s="36"/>
      <c r="K71" s="36"/>
      <c r="L71" s="49"/>
      <c r="M71" s="49"/>
      <c r="N71" s="49"/>
      <c r="O71" s="11"/>
      <c r="P71" s="72"/>
      <c r="Q71" s="10"/>
    </row>
    <row r="72" spans="2:18">
      <c r="B72" s="446"/>
      <c r="C72" s="37"/>
      <c r="D72" s="12"/>
      <c r="E72" s="48"/>
      <c r="F72" s="48"/>
      <c r="G72" s="36"/>
      <c r="H72" s="36"/>
      <c r="I72" s="36"/>
      <c r="J72" s="36"/>
      <c r="K72" s="36"/>
      <c r="L72" s="49"/>
      <c r="M72" s="49"/>
      <c r="N72" s="49"/>
      <c r="O72" s="11"/>
      <c r="P72" s="72"/>
      <c r="Q72" s="10"/>
    </row>
    <row r="73" spans="2:18">
      <c r="B73" s="446"/>
      <c r="C73" s="37"/>
      <c r="O73" s="11"/>
      <c r="P73" s="72"/>
      <c r="Q73" s="10"/>
    </row>
    <row r="74" spans="2:18">
      <c r="B74" s="268"/>
      <c r="C74" s="37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0"/>
      <c r="O74" s="11"/>
      <c r="P74" s="72"/>
      <c r="Q74" s="10"/>
    </row>
    <row r="75" spans="2:18" ht="13.5" thickBot="1">
      <c r="B75" s="268"/>
      <c r="C75" s="63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20"/>
      <c r="O75" s="21"/>
      <c r="P75" s="72"/>
      <c r="Q75" s="10"/>
    </row>
    <row r="76" spans="2:18">
      <c r="B76" s="268"/>
      <c r="C76" s="303" t="s">
        <v>321</v>
      </c>
      <c r="D76" s="305" t="s">
        <v>365</v>
      </c>
      <c r="E76" s="30" t="s">
        <v>366</v>
      </c>
      <c r="F76" s="28" t="s">
        <v>367</v>
      </c>
      <c r="G76" s="30" t="s">
        <v>366</v>
      </c>
      <c r="H76" s="28" t="s">
        <v>367</v>
      </c>
      <c r="I76" s="30" t="s">
        <v>366</v>
      </c>
      <c r="J76" s="28" t="s">
        <v>367</v>
      </c>
      <c r="K76" s="274" t="s">
        <v>368</v>
      </c>
      <c r="L76" s="274"/>
      <c r="M76" s="274"/>
      <c r="N76" s="274"/>
      <c r="O76" s="275"/>
      <c r="P76" s="72"/>
      <c r="Q76" s="10"/>
    </row>
    <row r="77" spans="2:18" ht="13.5" thickBot="1">
      <c r="B77" s="268"/>
      <c r="C77" s="304"/>
      <c r="D77" s="306"/>
      <c r="E77" s="271" t="s">
        <v>369</v>
      </c>
      <c r="F77" s="272"/>
      <c r="G77" s="271" t="s">
        <v>370</v>
      </c>
      <c r="H77" s="272"/>
      <c r="I77" s="271" t="s">
        <v>371</v>
      </c>
      <c r="J77" s="272"/>
      <c r="K77" s="273"/>
      <c r="L77" s="273"/>
      <c r="M77" s="273"/>
      <c r="N77" s="273"/>
      <c r="O77" s="272"/>
      <c r="P77" s="72"/>
      <c r="Q77" s="10"/>
    </row>
    <row r="78" spans="2:18" ht="13.5" thickBot="1">
      <c r="B78" s="268"/>
      <c r="C78" s="298" t="s">
        <v>375</v>
      </c>
      <c r="D78" s="298"/>
      <c r="E78" s="348" t="str">
        <f>str.1!E79</f>
        <v>M.U.</v>
      </c>
      <c r="F78" s="349"/>
      <c r="G78" s="348" t="str">
        <f>str.1!G79</f>
        <v>R.F.</v>
      </c>
      <c r="H78" s="349"/>
      <c r="I78" s="348" t="str">
        <f>str.1!I79</f>
        <v>J.S.</v>
      </c>
      <c r="J78" s="349"/>
      <c r="K78" s="18"/>
      <c r="L78" s="29" t="s">
        <v>24</v>
      </c>
      <c r="M78" s="29" t="s">
        <v>372</v>
      </c>
      <c r="N78" s="241" t="s">
        <v>373</v>
      </c>
      <c r="O78" s="9" t="s">
        <v>374</v>
      </c>
      <c r="P78" s="67"/>
      <c r="Q78" s="13"/>
    </row>
    <row r="79" spans="2:18" ht="13.5" thickBot="1">
      <c r="B79" s="270"/>
      <c r="C79" s="273" t="s">
        <v>367</v>
      </c>
      <c r="D79" s="273"/>
      <c r="E79" s="445">
        <f>str.1!E80</f>
        <v>44300</v>
      </c>
      <c r="F79" s="272"/>
      <c r="G79" s="445">
        <f>str.1!G80</f>
        <v>44300</v>
      </c>
      <c r="H79" s="272"/>
      <c r="I79" s="445">
        <f>str.1!I80</f>
        <v>44300</v>
      </c>
      <c r="J79" s="272"/>
      <c r="K79" s="14"/>
      <c r="L79" s="29"/>
      <c r="M79" s="9">
        <f>str.2!M77+1</f>
        <v>2</v>
      </c>
      <c r="N79" s="9">
        <f>str.1!N80</f>
        <v>0</v>
      </c>
      <c r="O79" s="9" t="str">
        <f>str.1!O80</f>
        <v>00</v>
      </c>
      <c r="P79" s="71"/>
      <c r="Q79" s="13"/>
    </row>
    <row r="80" spans="2:18" s="13" customFormat="1">
      <c r="B80" s="31"/>
      <c r="C80" s="10"/>
      <c r="K80"/>
      <c r="N80" s="10"/>
      <c r="O80" s="10"/>
      <c r="P80" s="59"/>
      <c r="R80" s="22"/>
    </row>
    <row r="81" spans="1:18">
      <c r="A81" s="22"/>
      <c r="B81" s="22"/>
      <c r="C81" s="23"/>
      <c r="D81" s="22"/>
      <c r="E81" s="22"/>
      <c r="F81" s="22"/>
      <c r="G81" s="22"/>
      <c r="H81" s="22"/>
      <c r="I81" s="22"/>
      <c r="J81" s="22"/>
      <c r="L81" s="22"/>
      <c r="M81" s="22"/>
      <c r="N81" s="23"/>
      <c r="O81" s="23"/>
      <c r="P81" s="22"/>
      <c r="Q81" s="22"/>
    </row>
    <row r="82" spans="1:18">
      <c r="K82" s="13"/>
      <c r="P82" s="13"/>
      <c r="Q82" s="13"/>
      <c r="R82" s="32"/>
    </row>
    <row r="83" spans="1:18">
      <c r="P83" s="13"/>
      <c r="Q83" s="13"/>
      <c r="R83" s="32"/>
    </row>
    <row r="84" spans="1:18">
      <c r="P84" s="13"/>
      <c r="Q84" s="13"/>
      <c r="R84" s="73"/>
    </row>
    <row r="85" spans="1:18">
      <c r="R85" s="32"/>
    </row>
    <row r="86" spans="1:18">
      <c r="P86" s="33"/>
      <c r="Q86" s="33"/>
      <c r="R86" s="33"/>
    </row>
    <row r="87" spans="1:18">
      <c r="P87" s="33"/>
      <c r="Q87" s="33"/>
      <c r="R87" s="33"/>
    </row>
    <row r="88" spans="1:18">
      <c r="P88" s="33"/>
      <c r="Q88" s="33"/>
      <c r="R88" s="33"/>
    </row>
    <row r="89" spans="1:18">
      <c r="P89" s="33"/>
      <c r="Q89" s="33"/>
      <c r="R89" s="33"/>
    </row>
    <row r="90" spans="1:18">
      <c r="P90" s="33"/>
      <c r="Q90" s="33"/>
      <c r="R90" s="33"/>
    </row>
    <row r="91" spans="1:18">
      <c r="P91" s="33"/>
      <c r="Q91" s="33"/>
      <c r="R91" s="33"/>
    </row>
    <row r="92" spans="1:18">
      <c r="P92" s="33"/>
      <c r="Q92" s="33"/>
      <c r="R92" s="33"/>
    </row>
    <row r="93" spans="1:18">
      <c r="P93" s="33"/>
      <c r="Q93" s="33"/>
      <c r="R93" s="33"/>
    </row>
    <row r="94" spans="1:18">
      <c r="P94" s="33"/>
      <c r="Q94" s="33"/>
      <c r="R94" s="33"/>
    </row>
    <row r="95" spans="1:18">
      <c r="P95" s="33"/>
      <c r="Q95" s="33"/>
      <c r="R95" s="33"/>
    </row>
    <row r="96" spans="1:18">
      <c r="P96" s="33"/>
      <c r="Q96" s="33"/>
      <c r="R96" s="33"/>
    </row>
    <row r="97" spans="16:18">
      <c r="P97" s="33"/>
      <c r="Q97" s="33"/>
      <c r="R97" s="33"/>
    </row>
    <row r="98" spans="16:18">
      <c r="P98" s="33"/>
      <c r="Q98" s="33"/>
      <c r="R98" s="33"/>
    </row>
    <row r="99" spans="16:18">
      <c r="P99" s="33"/>
      <c r="Q99" s="33"/>
      <c r="R99" s="33"/>
    </row>
    <row r="100" spans="16:18">
      <c r="P100" s="33"/>
      <c r="Q100" s="33"/>
      <c r="R100" s="33"/>
    </row>
    <row r="101" spans="16:18">
      <c r="P101" s="33"/>
      <c r="Q101" s="33"/>
      <c r="R101" s="33"/>
    </row>
    <row r="102" spans="16:18">
      <c r="P102" s="33"/>
      <c r="Q102" s="33"/>
      <c r="R102" s="33"/>
    </row>
    <row r="103" spans="16:18">
      <c r="P103" s="33"/>
      <c r="Q103" s="33"/>
      <c r="R103" s="33"/>
    </row>
    <row r="104" spans="16:18">
      <c r="P104" s="33"/>
      <c r="Q104" s="33"/>
      <c r="R104" s="33"/>
    </row>
    <row r="105" spans="16:18">
      <c r="P105" s="33"/>
      <c r="Q105" s="33"/>
      <c r="R105" s="33"/>
    </row>
    <row r="106" spans="16:18">
      <c r="P106" s="33"/>
      <c r="Q106" s="33"/>
      <c r="R106" s="33"/>
    </row>
    <row r="107" spans="16:18">
      <c r="P107" s="33"/>
      <c r="Q107" s="33"/>
      <c r="R107" s="33"/>
    </row>
    <row r="108" spans="16:18">
      <c r="P108" s="33"/>
      <c r="Q108" s="33"/>
      <c r="R108" s="33"/>
    </row>
    <row r="109" spans="16:18">
      <c r="P109" s="33"/>
      <c r="Q109" s="33"/>
      <c r="R109" s="33"/>
    </row>
    <row r="110" spans="16:18">
      <c r="P110" s="33"/>
      <c r="Q110" s="33"/>
      <c r="R110" s="33"/>
    </row>
    <row r="111" spans="16:18">
      <c r="P111" s="33"/>
      <c r="Q111" s="33"/>
      <c r="R111" s="33"/>
    </row>
    <row r="112" spans="16:18">
      <c r="P112" s="33"/>
      <c r="Q112" s="33"/>
      <c r="R112" s="33"/>
    </row>
    <row r="113" spans="16:18">
      <c r="P113" s="33"/>
      <c r="Q113" s="33"/>
      <c r="R113" s="33"/>
    </row>
    <row r="114" spans="16:18">
      <c r="P114" s="33"/>
      <c r="Q114" s="33"/>
      <c r="R114" s="33"/>
    </row>
    <row r="115" spans="16:18">
      <c r="P115" s="33"/>
      <c r="Q115" s="33"/>
      <c r="R115" s="33"/>
    </row>
    <row r="116" spans="16:18">
      <c r="P116" s="33"/>
      <c r="Q116" s="33"/>
      <c r="R116" s="33"/>
    </row>
    <row r="117" spans="16:18">
      <c r="P117" s="33"/>
      <c r="Q117" s="33"/>
      <c r="R117" s="33"/>
    </row>
    <row r="118" spans="16:18">
      <c r="P118" s="33"/>
      <c r="Q118" s="33"/>
      <c r="R118" s="33"/>
    </row>
    <row r="119" spans="16:18">
      <c r="P119" s="33"/>
      <c r="Q119" s="33"/>
      <c r="R119" s="33"/>
    </row>
    <row r="120" spans="16:18">
      <c r="P120" s="33"/>
      <c r="Q120" s="33"/>
      <c r="R120" s="33"/>
    </row>
    <row r="121" spans="16:18">
      <c r="P121" s="33"/>
      <c r="Q121" s="33"/>
      <c r="R121" s="33"/>
    </row>
    <row r="122" spans="16:18">
      <c r="P122" s="33"/>
      <c r="Q122" s="33"/>
      <c r="R122" s="33"/>
    </row>
    <row r="123" spans="16:18">
      <c r="P123" s="33"/>
      <c r="Q123" s="33"/>
      <c r="R123" s="33"/>
    </row>
    <row r="124" spans="16:18">
      <c r="P124" s="33"/>
      <c r="Q124" s="33"/>
      <c r="R124" s="33"/>
    </row>
    <row r="125" spans="16:18">
      <c r="P125" s="33"/>
      <c r="Q125" s="33"/>
      <c r="R125" s="33"/>
    </row>
    <row r="126" spans="16:18">
      <c r="P126" s="33"/>
      <c r="Q126" s="33"/>
      <c r="R126" s="33"/>
    </row>
    <row r="127" spans="16:18">
      <c r="P127" s="33"/>
      <c r="Q127" s="33"/>
      <c r="R127" s="33"/>
    </row>
    <row r="128" spans="16:18">
      <c r="P128" s="33"/>
      <c r="Q128" s="33"/>
      <c r="R128" s="33"/>
    </row>
    <row r="129" spans="16:18">
      <c r="P129" s="33"/>
      <c r="Q129" s="33"/>
      <c r="R129" s="33"/>
    </row>
    <row r="130" spans="16:18">
      <c r="P130" s="33"/>
      <c r="Q130" s="33"/>
      <c r="R130" s="33"/>
    </row>
    <row r="131" spans="16:18">
      <c r="P131" s="33"/>
      <c r="Q131" s="33"/>
      <c r="R131" s="33"/>
    </row>
    <row r="132" spans="16:18">
      <c r="P132" s="33"/>
      <c r="Q132" s="33"/>
      <c r="R132" s="33"/>
    </row>
    <row r="133" spans="16:18">
      <c r="P133" s="33"/>
      <c r="Q133" s="33"/>
      <c r="R133" s="33"/>
    </row>
    <row r="134" spans="16:18">
      <c r="P134" s="33"/>
      <c r="Q134" s="33"/>
      <c r="R134" s="33"/>
    </row>
    <row r="135" spans="16:18">
      <c r="P135" s="33"/>
      <c r="Q135" s="33"/>
      <c r="R135" s="33"/>
    </row>
    <row r="136" spans="16:18">
      <c r="P136" s="33"/>
      <c r="Q136" s="33"/>
      <c r="R136" s="33"/>
    </row>
    <row r="137" spans="16:18">
      <c r="P137" s="33"/>
      <c r="Q137" s="33"/>
      <c r="R137" s="33"/>
    </row>
    <row r="138" spans="16:18">
      <c r="P138" s="33"/>
      <c r="Q138" s="33"/>
      <c r="R138" s="33"/>
    </row>
    <row r="139" spans="16:18">
      <c r="P139" s="33"/>
      <c r="Q139" s="33"/>
      <c r="R139" s="33"/>
    </row>
    <row r="140" spans="16:18">
      <c r="P140" s="33"/>
      <c r="Q140" s="33"/>
      <c r="R140" s="33"/>
    </row>
    <row r="141" spans="16:18">
      <c r="P141" s="33"/>
      <c r="Q141" s="33"/>
      <c r="R141" s="33"/>
    </row>
    <row r="142" spans="16:18">
      <c r="P142" s="33"/>
      <c r="Q142" s="33"/>
      <c r="R142" s="33"/>
    </row>
    <row r="143" spans="16:18">
      <c r="P143" s="33"/>
      <c r="Q143" s="33"/>
      <c r="R143" s="33"/>
    </row>
    <row r="144" spans="16:18">
      <c r="P144" s="33"/>
      <c r="Q144" s="33"/>
      <c r="R144" s="33"/>
    </row>
    <row r="145" spans="16:18">
      <c r="P145" s="33"/>
      <c r="Q145" s="33"/>
      <c r="R145" s="33"/>
    </row>
    <row r="146" spans="16:18">
      <c r="P146" s="33"/>
      <c r="Q146" s="33"/>
      <c r="R146" s="33"/>
    </row>
    <row r="147" spans="16:18">
      <c r="P147" s="33"/>
      <c r="Q147" s="33"/>
      <c r="R147" s="33"/>
    </row>
    <row r="148" spans="16:18">
      <c r="P148" s="33"/>
      <c r="Q148" s="33"/>
      <c r="R148" s="33"/>
    </row>
    <row r="149" spans="16:18">
      <c r="P149" s="33"/>
      <c r="Q149" s="33"/>
      <c r="R149" s="33"/>
    </row>
    <row r="150" spans="16:18">
      <c r="P150" s="33"/>
      <c r="Q150" s="33"/>
      <c r="R150" s="33"/>
    </row>
    <row r="151" spans="16:18">
      <c r="P151" s="33"/>
      <c r="Q151" s="33"/>
      <c r="R151" s="33"/>
    </row>
    <row r="152" spans="16:18">
      <c r="P152" s="33"/>
      <c r="Q152" s="33"/>
      <c r="R152" s="33"/>
    </row>
    <row r="153" spans="16:18">
      <c r="P153" s="33"/>
      <c r="Q153" s="33"/>
      <c r="R153" s="33"/>
    </row>
    <row r="154" spans="16:18">
      <c r="P154" s="33"/>
      <c r="Q154" s="33"/>
      <c r="R154" s="33"/>
    </row>
    <row r="155" spans="16:18">
      <c r="P155" s="33"/>
      <c r="Q155" s="33"/>
      <c r="R155" s="33"/>
    </row>
    <row r="156" spans="16:18">
      <c r="P156" s="33"/>
      <c r="Q156" s="33"/>
      <c r="R156" s="33"/>
    </row>
    <row r="157" spans="16:18">
      <c r="P157" s="33"/>
      <c r="Q157" s="33"/>
      <c r="R157" s="33"/>
    </row>
    <row r="158" spans="16:18">
      <c r="P158" s="33"/>
      <c r="Q158" s="33"/>
      <c r="R158" s="33"/>
    </row>
    <row r="159" spans="16:18">
      <c r="P159" s="33"/>
      <c r="Q159" s="33"/>
      <c r="R159" s="33"/>
    </row>
    <row r="160" spans="16:18">
      <c r="P160" s="33"/>
      <c r="Q160" s="33"/>
      <c r="R160" s="33"/>
    </row>
    <row r="161" spans="16:18">
      <c r="P161" s="33"/>
      <c r="Q161" s="33"/>
      <c r="R161" s="33"/>
    </row>
    <row r="162" spans="16:18">
      <c r="P162" s="33"/>
      <c r="Q162" s="33"/>
      <c r="R162" s="33"/>
    </row>
    <row r="163" spans="16:18">
      <c r="P163" s="33"/>
      <c r="Q163" s="33"/>
      <c r="R163" s="33"/>
    </row>
    <row r="164" spans="16:18">
      <c r="P164" s="33"/>
      <c r="Q164" s="33"/>
      <c r="R164" s="33"/>
    </row>
    <row r="165" spans="16:18">
      <c r="P165" s="33"/>
      <c r="Q165" s="33"/>
      <c r="R165" s="33"/>
    </row>
    <row r="166" spans="16:18">
      <c r="P166" s="33"/>
      <c r="Q166" s="33"/>
      <c r="R166" s="33"/>
    </row>
    <row r="167" spans="16:18">
      <c r="P167" s="33"/>
      <c r="Q167" s="33"/>
      <c r="R167" s="33"/>
    </row>
    <row r="168" spans="16:18">
      <c r="P168" s="33"/>
      <c r="Q168" s="33"/>
      <c r="R168" s="33"/>
    </row>
    <row r="169" spans="16:18">
      <c r="P169" s="33"/>
      <c r="Q169" s="33"/>
      <c r="R169" s="33"/>
    </row>
    <row r="170" spans="16:18">
      <c r="P170" s="33"/>
      <c r="Q170" s="33"/>
      <c r="R170" s="33"/>
    </row>
    <row r="171" spans="16:18">
      <c r="P171" s="33"/>
      <c r="Q171" s="33"/>
      <c r="R171" s="33"/>
    </row>
    <row r="172" spans="16:18">
      <c r="P172" s="33"/>
      <c r="Q172" s="33"/>
      <c r="R172" s="33"/>
    </row>
    <row r="173" spans="16:18">
      <c r="P173" s="33"/>
      <c r="Q173" s="33"/>
      <c r="R173" s="33"/>
    </row>
    <row r="174" spans="16:18">
      <c r="P174" s="33"/>
      <c r="Q174" s="33"/>
      <c r="R174" s="33"/>
    </row>
    <row r="175" spans="16:18">
      <c r="P175" s="33"/>
      <c r="Q175" s="33"/>
      <c r="R175" s="33"/>
    </row>
    <row r="176" spans="16:18">
      <c r="P176" s="33"/>
      <c r="Q176" s="33"/>
      <c r="R176" s="33"/>
    </row>
    <row r="177" spans="16:18">
      <c r="P177" s="33"/>
      <c r="Q177" s="33"/>
      <c r="R177" s="33"/>
    </row>
    <row r="178" spans="16:18">
      <c r="P178" s="33"/>
      <c r="Q178" s="33"/>
      <c r="R178" s="33"/>
    </row>
    <row r="179" spans="16:18">
      <c r="P179" s="33"/>
      <c r="Q179" s="33"/>
      <c r="R179" s="33"/>
    </row>
    <row r="180" spans="16:18">
      <c r="P180" s="33"/>
      <c r="Q180" s="33"/>
      <c r="R180" s="33"/>
    </row>
    <row r="181" spans="16:18">
      <c r="P181" s="33"/>
      <c r="Q181" s="33"/>
      <c r="R181" s="33"/>
    </row>
    <row r="182" spans="16:18">
      <c r="P182" s="33"/>
      <c r="Q182" s="33"/>
      <c r="R182" s="33"/>
    </row>
    <row r="183" spans="16:18">
      <c r="P183" s="33"/>
      <c r="Q183" s="33"/>
      <c r="R183" s="33"/>
    </row>
    <row r="184" spans="16:18">
      <c r="P184" s="33"/>
      <c r="Q184" s="33"/>
      <c r="R184" s="33"/>
    </row>
    <row r="185" spans="16:18">
      <c r="P185" s="33"/>
      <c r="Q185" s="33"/>
      <c r="R185" s="33"/>
    </row>
    <row r="186" spans="16:18">
      <c r="P186" s="33"/>
      <c r="Q186" s="33"/>
      <c r="R186" s="33"/>
    </row>
    <row r="187" spans="16:18">
      <c r="P187" s="33"/>
      <c r="Q187" s="33"/>
      <c r="R187" s="33"/>
    </row>
    <row r="188" spans="16:18">
      <c r="P188" s="33"/>
      <c r="Q188" s="33"/>
      <c r="R188" s="33"/>
    </row>
    <row r="189" spans="16:18">
      <c r="P189" s="33"/>
      <c r="Q189" s="33"/>
      <c r="R189" s="33"/>
    </row>
    <row r="190" spans="16:18">
      <c r="P190" s="33"/>
      <c r="Q190" s="33"/>
      <c r="R190" s="33"/>
    </row>
    <row r="191" spans="16:18">
      <c r="P191" s="33"/>
      <c r="Q191" s="33"/>
      <c r="R191" s="33"/>
    </row>
    <row r="192" spans="16:18">
      <c r="P192" s="33"/>
      <c r="Q192" s="33"/>
      <c r="R192" s="33"/>
    </row>
    <row r="193" spans="16:18">
      <c r="P193" s="33"/>
      <c r="Q193" s="33"/>
      <c r="R193" s="33"/>
    </row>
    <row r="194" spans="16:18">
      <c r="P194" s="33"/>
      <c r="Q194" s="33"/>
      <c r="R194" s="33"/>
    </row>
    <row r="195" spans="16:18">
      <c r="P195" s="33"/>
      <c r="Q195" s="33"/>
      <c r="R195" s="33"/>
    </row>
    <row r="196" spans="16:18">
      <c r="P196" s="33"/>
      <c r="Q196" s="33"/>
      <c r="R196" s="33"/>
    </row>
    <row r="197" spans="16:18">
      <c r="P197" s="33"/>
      <c r="Q197" s="33"/>
      <c r="R197" s="33"/>
    </row>
    <row r="198" spans="16:18">
      <c r="P198" s="33"/>
      <c r="Q198" s="33"/>
      <c r="R198" s="33"/>
    </row>
    <row r="199" spans="16:18">
      <c r="P199" s="33"/>
      <c r="Q199" s="33"/>
      <c r="R199" s="33"/>
    </row>
    <row r="200" spans="16:18">
      <c r="P200" s="33"/>
      <c r="Q200" s="33"/>
      <c r="R200" s="33"/>
    </row>
    <row r="201" spans="16:18">
      <c r="P201" s="33"/>
      <c r="Q201" s="33"/>
      <c r="R201" s="33"/>
    </row>
    <row r="202" spans="16:18">
      <c r="P202" s="33"/>
      <c r="Q202" s="33"/>
      <c r="R202" s="33"/>
    </row>
    <row r="203" spans="16:18">
      <c r="P203" s="33"/>
      <c r="Q203" s="33"/>
      <c r="R203" s="33"/>
    </row>
    <row r="204" spans="16:18">
      <c r="P204" s="33"/>
      <c r="Q204" s="33"/>
      <c r="R204" s="33"/>
    </row>
    <row r="205" spans="16:18">
      <c r="P205" s="33"/>
      <c r="Q205" s="33"/>
      <c r="R205" s="33"/>
    </row>
    <row r="206" spans="16:18">
      <c r="P206" s="33"/>
      <c r="Q206" s="33"/>
      <c r="R206" s="33"/>
    </row>
    <row r="207" spans="16:18">
      <c r="P207" s="33"/>
      <c r="Q207" s="33"/>
      <c r="R207" s="33"/>
    </row>
    <row r="208" spans="16:18">
      <c r="P208" s="33"/>
      <c r="Q208" s="33"/>
      <c r="R208" s="33"/>
    </row>
    <row r="209" spans="16:18">
      <c r="P209" s="33"/>
      <c r="Q209" s="33"/>
      <c r="R209" s="33"/>
    </row>
    <row r="210" spans="16:18">
      <c r="P210" s="33"/>
      <c r="Q210" s="33"/>
      <c r="R210" s="33"/>
    </row>
    <row r="211" spans="16:18">
      <c r="P211" s="33"/>
      <c r="Q211" s="33"/>
      <c r="R211" s="33"/>
    </row>
    <row r="212" spans="16:18">
      <c r="P212" s="33"/>
      <c r="Q212" s="33"/>
      <c r="R212" s="33"/>
    </row>
    <row r="213" spans="16:18">
      <c r="P213" s="33"/>
      <c r="Q213" s="33"/>
      <c r="R213" s="33"/>
    </row>
    <row r="214" spans="16:18">
      <c r="P214" s="33"/>
      <c r="Q214" s="33"/>
      <c r="R214" s="33"/>
    </row>
    <row r="215" spans="16:18">
      <c r="P215" s="33"/>
      <c r="Q215" s="33"/>
      <c r="R215" s="33"/>
    </row>
    <row r="216" spans="16:18">
      <c r="P216" s="33"/>
      <c r="Q216" s="33"/>
      <c r="R216" s="33"/>
    </row>
    <row r="217" spans="16:18">
      <c r="P217" s="33"/>
      <c r="Q217" s="33"/>
      <c r="R217" s="33"/>
    </row>
    <row r="218" spans="16:18">
      <c r="P218" s="33"/>
      <c r="Q218" s="33"/>
      <c r="R218" s="33"/>
    </row>
    <row r="219" spans="16:18">
      <c r="P219" s="33"/>
      <c r="Q219" s="33"/>
      <c r="R219" s="33"/>
    </row>
    <row r="220" spans="16:18">
      <c r="P220" s="33"/>
      <c r="Q220" s="33"/>
      <c r="R220" s="33"/>
    </row>
    <row r="221" spans="16:18">
      <c r="P221" s="33"/>
      <c r="Q221" s="33"/>
      <c r="R221" s="33"/>
    </row>
    <row r="222" spans="16:18">
      <c r="P222" s="33"/>
      <c r="Q222" s="33"/>
      <c r="R222" s="33"/>
    </row>
    <row r="223" spans="16:18">
      <c r="P223" s="33"/>
      <c r="Q223" s="33"/>
      <c r="R223" s="33"/>
    </row>
    <row r="224" spans="16:18">
      <c r="P224" s="33"/>
      <c r="Q224" s="33"/>
      <c r="R224" s="33"/>
    </row>
    <row r="225" spans="16:18">
      <c r="P225" s="33"/>
      <c r="Q225" s="33"/>
      <c r="R225" s="33"/>
    </row>
    <row r="226" spans="16:18">
      <c r="P226" s="33"/>
      <c r="Q226" s="33"/>
      <c r="R226" s="33"/>
    </row>
    <row r="227" spans="16:18">
      <c r="P227" s="33"/>
      <c r="Q227" s="33"/>
      <c r="R227" s="33"/>
    </row>
    <row r="228" spans="16:18">
      <c r="P228" s="33"/>
      <c r="Q228" s="33"/>
      <c r="R228" s="33"/>
    </row>
    <row r="229" spans="16:18">
      <c r="P229" s="33"/>
      <c r="Q229" s="33"/>
      <c r="R229" s="33"/>
    </row>
    <row r="230" spans="16:18">
      <c r="P230" s="33"/>
      <c r="Q230" s="33"/>
      <c r="R230" s="33"/>
    </row>
    <row r="231" spans="16:18">
      <c r="P231" s="33"/>
      <c r="Q231" s="33"/>
      <c r="R231" s="33"/>
    </row>
    <row r="232" spans="16:18">
      <c r="P232" s="33"/>
      <c r="Q232" s="33"/>
      <c r="R232" s="33"/>
    </row>
    <row r="233" spans="16:18">
      <c r="P233" s="33"/>
      <c r="Q233" s="33"/>
      <c r="R233" s="33"/>
    </row>
    <row r="234" spans="16:18">
      <c r="P234" s="33"/>
      <c r="Q234" s="33"/>
      <c r="R234" s="33"/>
    </row>
    <row r="235" spans="16:18">
      <c r="P235" s="33"/>
      <c r="Q235" s="33"/>
      <c r="R235" s="33"/>
    </row>
    <row r="236" spans="16:18">
      <c r="P236" s="33"/>
      <c r="Q236" s="33"/>
      <c r="R236" s="33"/>
    </row>
    <row r="237" spans="16:18">
      <c r="P237" s="33"/>
      <c r="Q237" s="33"/>
      <c r="R237" s="33"/>
    </row>
    <row r="238" spans="16:18">
      <c r="P238" s="33"/>
      <c r="Q238" s="33"/>
      <c r="R238" s="33"/>
    </row>
    <row r="239" spans="16:18">
      <c r="P239" s="33"/>
      <c r="Q239" s="33"/>
      <c r="R239" s="33"/>
    </row>
    <row r="240" spans="16:18">
      <c r="P240" s="33"/>
      <c r="Q240" s="33"/>
      <c r="R240" s="33"/>
    </row>
    <row r="241" spans="16:18">
      <c r="P241" s="33"/>
      <c r="Q241" s="33"/>
      <c r="R241" s="33"/>
    </row>
    <row r="242" spans="16:18">
      <c r="P242" s="33"/>
      <c r="Q242" s="33"/>
      <c r="R242" s="33"/>
    </row>
    <row r="243" spans="16:18">
      <c r="P243" s="33"/>
      <c r="Q243" s="33"/>
      <c r="R243" s="33"/>
    </row>
    <row r="244" spans="16:18">
      <c r="P244" s="33"/>
      <c r="Q244" s="33"/>
      <c r="R244" s="33"/>
    </row>
    <row r="245" spans="16:18">
      <c r="P245" s="33"/>
      <c r="Q245" s="33"/>
      <c r="R245" s="33"/>
    </row>
    <row r="246" spans="16:18">
      <c r="P246" s="33"/>
      <c r="Q246" s="33"/>
      <c r="R246" s="33"/>
    </row>
    <row r="247" spans="16:18">
      <c r="P247" s="33"/>
      <c r="Q247" s="33"/>
      <c r="R247" s="33"/>
    </row>
    <row r="248" spans="16:18">
      <c r="P248" s="33"/>
      <c r="Q248" s="33"/>
      <c r="R248" s="33"/>
    </row>
    <row r="249" spans="16:18">
      <c r="P249" s="33"/>
      <c r="Q249" s="33"/>
      <c r="R249" s="33"/>
    </row>
    <row r="250" spans="16:18">
      <c r="P250" s="33"/>
      <c r="Q250" s="33"/>
      <c r="R250" s="33"/>
    </row>
    <row r="251" spans="16:18">
      <c r="P251" s="33"/>
      <c r="Q251" s="33"/>
      <c r="R251" s="33"/>
    </row>
    <row r="252" spans="16:18">
      <c r="P252" s="33"/>
      <c r="Q252" s="33"/>
      <c r="R252" s="33"/>
    </row>
    <row r="253" spans="16:18">
      <c r="P253" s="33"/>
      <c r="Q253" s="33"/>
      <c r="R253" s="33"/>
    </row>
    <row r="254" spans="16:18">
      <c r="P254" s="33"/>
      <c r="Q254" s="33"/>
      <c r="R254" s="33"/>
    </row>
    <row r="255" spans="16:18">
      <c r="P255" s="33"/>
      <c r="Q255" s="33"/>
      <c r="R255" s="33"/>
    </row>
    <row r="256" spans="16:18">
      <c r="P256" s="33"/>
      <c r="Q256" s="33"/>
      <c r="R256" s="33"/>
    </row>
    <row r="257" spans="16:18">
      <c r="P257" s="33"/>
      <c r="Q257" s="33"/>
      <c r="R257" s="33"/>
    </row>
    <row r="258" spans="16:18">
      <c r="P258" s="34"/>
      <c r="Q258" s="34"/>
      <c r="R258" s="34"/>
    </row>
    <row r="259" spans="16:18">
      <c r="P259" s="34"/>
      <c r="Q259" s="34"/>
      <c r="R259" s="34"/>
    </row>
    <row r="260" spans="16:18">
      <c r="P260" s="34"/>
      <c r="Q260" s="34"/>
      <c r="R260" s="34"/>
    </row>
    <row r="261" spans="16:18">
      <c r="P261" s="34"/>
      <c r="Q261" s="34"/>
      <c r="R261" s="34"/>
    </row>
    <row r="262" spans="16:18">
      <c r="P262" s="34"/>
      <c r="Q262" s="34"/>
      <c r="R262" s="34"/>
    </row>
    <row r="263" spans="16:18">
      <c r="P263" s="34"/>
      <c r="Q263" s="34"/>
      <c r="R263" s="34"/>
    </row>
    <row r="264" spans="16:18">
      <c r="P264" s="34"/>
      <c r="Q264" s="34"/>
      <c r="R264" s="34"/>
    </row>
    <row r="265" spans="16:18">
      <c r="P265" s="34"/>
      <c r="Q265" s="34"/>
      <c r="R265" s="34"/>
    </row>
  </sheetData>
  <mergeCells count="111">
    <mergeCell ref="C76:C77"/>
    <mergeCell ref="I77:J77"/>
    <mergeCell ref="C6:C7"/>
    <mergeCell ref="D6:D7"/>
    <mergeCell ref="D76:D77"/>
    <mergeCell ref="E46:F46"/>
    <mergeCell ref="J47:K47"/>
    <mergeCell ref="C2:E5"/>
    <mergeCell ref="F2:L3"/>
    <mergeCell ref="F4:L4"/>
    <mergeCell ref="F5:L5"/>
    <mergeCell ref="E14:F14"/>
    <mergeCell ref="L12:N12"/>
    <mergeCell ref="L11:N11"/>
    <mergeCell ref="L13:N13"/>
    <mergeCell ref="L47:N47"/>
    <mergeCell ref="L50:N50"/>
    <mergeCell ref="L16:N16"/>
    <mergeCell ref="L15:N15"/>
    <mergeCell ref="L17:N17"/>
    <mergeCell ref="G18:K18"/>
    <mergeCell ref="J49:K49"/>
    <mergeCell ref="L49:N49"/>
    <mergeCell ref="C44:O45"/>
    <mergeCell ref="V10:Y10"/>
    <mergeCell ref="P6:P7"/>
    <mergeCell ref="M4:O4"/>
    <mergeCell ref="E6:F7"/>
    <mergeCell ref="G6:K7"/>
    <mergeCell ref="L6:N7"/>
    <mergeCell ref="O6:O7"/>
    <mergeCell ref="L10:N10"/>
    <mergeCell ref="G10:K10"/>
    <mergeCell ref="G8:K8"/>
    <mergeCell ref="L8:N8"/>
    <mergeCell ref="E9:F9"/>
    <mergeCell ref="G9:K9"/>
    <mergeCell ref="L9:N9"/>
    <mergeCell ref="E8:F8"/>
    <mergeCell ref="I79:J79"/>
    <mergeCell ref="G23:K23"/>
    <mergeCell ref="B2:B7"/>
    <mergeCell ref="B8:B79"/>
    <mergeCell ref="C79:D79"/>
    <mergeCell ref="C78:D78"/>
    <mergeCell ref="I78:J78"/>
    <mergeCell ref="E16:F16"/>
    <mergeCell ref="G16:K16"/>
    <mergeCell ref="G13:K13"/>
    <mergeCell ref="E79:F79"/>
    <mergeCell ref="G78:H78"/>
    <mergeCell ref="G79:H79"/>
    <mergeCell ref="E47:F47"/>
    <mergeCell ref="E77:F77"/>
    <mergeCell ref="E78:F78"/>
    <mergeCell ref="E49:F49"/>
    <mergeCell ref="C51:O64"/>
    <mergeCell ref="J48:K48"/>
    <mergeCell ref="L48:N48"/>
    <mergeCell ref="L14:N14"/>
    <mergeCell ref="M5:O5"/>
    <mergeCell ref="M2:O2"/>
    <mergeCell ref="M3:O3"/>
    <mergeCell ref="K77:O77"/>
    <mergeCell ref="K76:O76"/>
    <mergeCell ref="G77:H77"/>
    <mergeCell ref="L25:N25"/>
    <mergeCell ref="G24:K24"/>
    <mergeCell ref="L24:N24"/>
    <mergeCell ref="L18:N18"/>
    <mergeCell ref="G15:K15"/>
    <mergeCell ref="L19:N19"/>
    <mergeCell ref="L20:N20"/>
    <mergeCell ref="G19:K19"/>
    <mergeCell ref="L27:N27"/>
    <mergeCell ref="G26:K26"/>
    <mergeCell ref="L26:N26"/>
    <mergeCell ref="L23:N23"/>
    <mergeCell ref="J46:K46"/>
    <mergeCell ref="L46:N46"/>
    <mergeCell ref="L28:N28"/>
    <mergeCell ref="L29:N29"/>
    <mergeCell ref="E20:F20"/>
    <mergeCell ref="G20:K20"/>
    <mergeCell ref="C21:O22"/>
    <mergeCell ref="E17:F17"/>
    <mergeCell ref="G17:K17"/>
    <mergeCell ref="E10:F10"/>
    <mergeCell ref="E15:F15"/>
    <mergeCell ref="E12:F12"/>
    <mergeCell ref="E13:F13"/>
    <mergeCell ref="E11:F11"/>
    <mergeCell ref="G11:K11"/>
    <mergeCell ref="G14:K14"/>
    <mergeCell ref="G12:K12"/>
    <mergeCell ref="E19:F19"/>
    <mergeCell ref="E18:F18"/>
    <mergeCell ref="E50:F50"/>
    <mergeCell ref="J50:K50"/>
    <mergeCell ref="E48:F48"/>
    <mergeCell ref="E25:F25"/>
    <mergeCell ref="E26:F26"/>
    <mergeCell ref="E24:F24"/>
    <mergeCell ref="G27:K27"/>
    <mergeCell ref="E23:F23"/>
    <mergeCell ref="G25:K25"/>
    <mergeCell ref="E27:F27"/>
    <mergeCell ref="E28:F28"/>
    <mergeCell ref="G28:K28"/>
    <mergeCell ref="E29:F29"/>
    <mergeCell ref="G29:K29"/>
  </mergeCells>
  <phoneticPr fontId="3" type="noConversion"/>
  <pageMargins left="0.74803149606299213" right="0" top="0" bottom="0" header="0.19685039370078741" footer="0.19685039370078741"/>
  <pageSetup paperSize="9" scale="72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30"/>
  <sheetViews>
    <sheetView workbookViewId="0">
      <selection activeCell="G48" sqref="G48"/>
    </sheetView>
  </sheetViews>
  <sheetFormatPr defaultRowHeight="12.75"/>
  <cols>
    <col min="5" max="5" width="9" customWidth="1"/>
  </cols>
  <sheetData>
    <row r="1" spans="1:6" ht="13.5" thickBot="1">
      <c r="A1" s="86" t="s">
        <v>166</v>
      </c>
      <c r="B1" s="87" t="s">
        <v>167</v>
      </c>
      <c r="C1" s="88" t="s">
        <v>267</v>
      </c>
      <c r="D1" s="88" t="s">
        <v>264</v>
      </c>
      <c r="E1" s="88" t="s">
        <v>265</v>
      </c>
      <c r="F1" s="89" t="s">
        <v>266</v>
      </c>
    </row>
    <row r="2" spans="1:6">
      <c r="A2" s="90" t="s">
        <v>168</v>
      </c>
      <c r="B2" s="90" t="str">
        <f>Table1[[#This Row],[SIZE]]&amp;"x"&amp;Table1[[#This Row],[sg]]</f>
        <v>M6x1</v>
      </c>
      <c r="C2" s="91">
        <v>6</v>
      </c>
      <c r="D2" s="91">
        <v>5.3</v>
      </c>
      <c r="E2" s="91">
        <v>1</v>
      </c>
      <c r="F2" s="92">
        <v>5.0599999999999996</v>
      </c>
    </row>
    <row r="3" spans="1:6">
      <c r="A3" s="80" t="s">
        <v>169</v>
      </c>
      <c r="B3" s="80" t="str">
        <f>Table1[[#This Row],[SIZE]]&amp;"x"&amp;Table1[[#This Row],[sg]]</f>
        <v>M8x1,25</v>
      </c>
      <c r="C3" s="2">
        <v>8</v>
      </c>
      <c r="D3" s="2">
        <v>7.1</v>
      </c>
      <c r="E3" s="2">
        <v>1.25</v>
      </c>
      <c r="F3" s="81">
        <v>6.83</v>
      </c>
    </row>
    <row r="4" spans="1:6">
      <c r="A4" s="80" t="s">
        <v>170</v>
      </c>
      <c r="B4" s="80" t="str">
        <f>Table1[[#This Row],[SIZE]]&amp;"x"&amp;Table1[[#This Row],[sg]]</f>
        <v>M10x1,5</v>
      </c>
      <c r="C4" s="2">
        <v>10</v>
      </c>
      <c r="D4" s="2">
        <v>9</v>
      </c>
      <c r="E4" s="2">
        <v>1.5</v>
      </c>
      <c r="F4" s="81">
        <v>8.59</v>
      </c>
    </row>
    <row r="5" spans="1:6">
      <c r="A5" s="80" t="s">
        <v>171</v>
      </c>
      <c r="B5" s="80" t="str">
        <f>Table1[[#This Row],[SIZE]]&amp;"x"&amp;Table1[[#This Row],[sg]]</f>
        <v>M12x1,75</v>
      </c>
      <c r="C5" s="2">
        <v>12</v>
      </c>
      <c r="D5" s="2">
        <v>10.8</v>
      </c>
      <c r="E5" s="2">
        <v>1.75</v>
      </c>
      <c r="F5" s="81">
        <v>10.36</v>
      </c>
    </row>
    <row r="6" spans="1:6">
      <c r="A6" s="80" t="s">
        <v>172</v>
      </c>
      <c r="B6" s="80" t="str">
        <f>Table1[[#This Row],[SIZE]]&amp;"x"&amp;Table1[[#This Row],[sg]]</f>
        <v>M14x2</v>
      </c>
      <c r="C6" s="2">
        <v>14</v>
      </c>
      <c r="D6" s="2">
        <v>12.7</v>
      </c>
      <c r="E6" s="2">
        <v>2</v>
      </c>
      <c r="F6" s="81">
        <v>12.12</v>
      </c>
    </row>
    <row r="7" spans="1:6">
      <c r="A7" s="80" t="s">
        <v>173</v>
      </c>
      <c r="B7" s="80" t="str">
        <f>Table1[[#This Row],[SIZE]]&amp;"x"&amp;Table1[[#This Row],[sg]]</f>
        <v>M16x2</v>
      </c>
      <c r="C7" s="2">
        <v>16</v>
      </c>
      <c r="D7" s="2">
        <v>14.7</v>
      </c>
      <c r="E7" s="2">
        <v>2</v>
      </c>
      <c r="F7" s="81">
        <v>14.12</v>
      </c>
    </row>
    <row r="8" spans="1:6">
      <c r="A8" s="80" t="s">
        <v>174</v>
      </c>
      <c r="B8" s="80" t="str">
        <f>Table1[[#This Row],[SIZE]]&amp;"x"&amp;Table1[[#This Row],[sg]]</f>
        <v>M18x2,5</v>
      </c>
      <c r="C8" s="2">
        <v>18</v>
      </c>
      <c r="D8" s="2">
        <v>16.3</v>
      </c>
      <c r="E8" s="2">
        <v>2.5</v>
      </c>
      <c r="F8" s="81">
        <v>15.65</v>
      </c>
    </row>
    <row r="9" spans="1:6">
      <c r="A9" s="80" t="s">
        <v>175</v>
      </c>
      <c r="B9" s="80" t="str">
        <f>Table1[[#This Row],[SIZE]]&amp;"x"&amp;Table1[[#This Row],[sg]]</f>
        <v>M20x2,5</v>
      </c>
      <c r="C9" s="2">
        <v>20</v>
      </c>
      <c r="D9" s="2">
        <v>18.3</v>
      </c>
      <c r="E9" s="2">
        <v>2.5</v>
      </c>
      <c r="F9" s="81">
        <v>17.649999999999999</v>
      </c>
    </row>
    <row r="10" spans="1:6">
      <c r="A10" s="80" t="s">
        <v>176</v>
      </c>
      <c r="B10" s="80" t="str">
        <f>Table1[[#This Row],[SIZE]]&amp;"x"&amp;Table1[[#This Row],[sg]]</f>
        <v>M22x2,5</v>
      </c>
      <c r="C10" s="2">
        <v>22</v>
      </c>
      <c r="D10" s="2">
        <v>20.3</v>
      </c>
      <c r="E10" s="2">
        <v>2.5</v>
      </c>
      <c r="F10" s="81">
        <v>19.649999999999999</v>
      </c>
    </row>
    <row r="11" spans="1:6">
      <c r="A11" s="80" t="s">
        <v>177</v>
      </c>
      <c r="B11" s="80" t="str">
        <f>Table1[[#This Row],[SIZE]]&amp;"x"&amp;Table1[[#This Row],[sg]]</f>
        <v>M24x3</v>
      </c>
      <c r="C11" s="2">
        <v>24</v>
      </c>
      <c r="D11" s="2">
        <v>22</v>
      </c>
      <c r="E11" s="2">
        <v>3</v>
      </c>
      <c r="F11" s="81">
        <v>21.19</v>
      </c>
    </row>
    <row r="12" spans="1:6">
      <c r="A12" s="80" t="s">
        <v>178</v>
      </c>
      <c r="B12" s="80" t="str">
        <f>Table1[[#This Row],[SIZE]]&amp;"x"&amp;Table1[[#This Row],[sg]]</f>
        <v>M27x3</v>
      </c>
      <c r="C12" s="2">
        <v>27</v>
      </c>
      <c r="D12" s="2">
        <v>25</v>
      </c>
      <c r="E12" s="2">
        <v>3</v>
      </c>
      <c r="F12" s="81">
        <v>24.19</v>
      </c>
    </row>
    <row r="13" spans="1:6">
      <c r="A13" s="80" t="s">
        <v>179</v>
      </c>
      <c r="B13" s="80" t="str">
        <f>Table1[[#This Row],[SIZE]]&amp;"x"&amp;Table1[[#This Row],[sg]]</f>
        <v>M30x3,5</v>
      </c>
      <c r="C13" s="2">
        <v>30</v>
      </c>
      <c r="D13" s="2">
        <v>27.7</v>
      </c>
      <c r="E13" s="2">
        <v>3.5</v>
      </c>
      <c r="F13" s="81">
        <v>26.72</v>
      </c>
    </row>
    <row r="14" spans="1:6">
      <c r="A14" s="80" t="s">
        <v>180</v>
      </c>
      <c r="B14" s="80" t="str">
        <f>Table1[[#This Row],[SIZE]]&amp;"x"&amp;Table1[[#This Row],[sg]]</f>
        <v>M33x3,5</v>
      </c>
      <c r="C14" s="2">
        <v>33</v>
      </c>
      <c r="D14" s="2">
        <v>30.7</v>
      </c>
      <c r="E14" s="2">
        <v>3.5</v>
      </c>
      <c r="F14" s="81">
        <v>29.72</v>
      </c>
    </row>
    <row r="15" spans="1:6">
      <c r="A15" s="80" t="s">
        <v>181</v>
      </c>
      <c r="B15" s="80" t="str">
        <f>Table1[[#This Row],[SIZE]]&amp;"x"&amp;Table1[[#This Row],[sg]]</f>
        <v>M36x4</v>
      </c>
      <c r="C15" s="2">
        <v>36</v>
      </c>
      <c r="D15" s="2">
        <v>33.4</v>
      </c>
      <c r="E15" s="2">
        <v>4</v>
      </c>
      <c r="F15" s="81">
        <v>32.25</v>
      </c>
    </row>
    <row r="16" spans="1:6">
      <c r="A16" s="80" t="s">
        <v>182</v>
      </c>
      <c r="B16" s="80" t="str">
        <f>Table1[[#This Row],[SIZE]]&amp;"x"&amp;Table1[[#This Row],[sg]]</f>
        <v>M39x4</v>
      </c>
      <c r="C16" s="2">
        <v>39</v>
      </c>
      <c r="D16" s="2">
        <v>36.4</v>
      </c>
      <c r="E16" s="2">
        <v>4</v>
      </c>
      <c r="F16" s="81">
        <v>35.25</v>
      </c>
    </row>
    <row r="17" spans="1:6">
      <c r="A17" s="80" t="s">
        <v>183</v>
      </c>
      <c r="B17" s="80" t="str">
        <f>Table1[[#This Row],[SIZE]]&amp;"x"&amp;Table1[[#This Row],[sg]]</f>
        <v>M42x4,5</v>
      </c>
      <c r="C17" s="2">
        <v>42</v>
      </c>
      <c r="D17" s="2">
        <v>39</v>
      </c>
      <c r="E17" s="2">
        <v>4.5</v>
      </c>
      <c r="F17" s="81">
        <v>37.78</v>
      </c>
    </row>
    <row r="18" spans="1:6">
      <c r="A18" s="80" t="s">
        <v>184</v>
      </c>
      <c r="B18" s="80" t="str">
        <f>Table1[[#This Row],[SIZE]]&amp;"x"&amp;Table1[[#This Row],[sg]]</f>
        <v>M45x4,5</v>
      </c>
      <c r="C18" s="2">
        <v>45</v>
      </c>
      <c r="D18" s="2">
        <v>42</v>
      </c>
      <c r="E18" s="2">
        <v>4.5</v>
      </c>
      <c r="F18" s="81">
        <v>40.78</v>
      </c>
    </row>
    <row r="19" spans="1:6">
      <c r="A19" s="80" t="s">
        <v>185</v>
      </c>
      <c r="B19" s="80" t="str">
        <f>Table1[[#This Row],[SIZE]]&amp;"x"&amp;Table1[[#This Row],[sg]]</f>
        <v>M48x5</v>
      </c>
      <c r="C19" s="2">
        <v>48</v>
      </c>
      <c r="D19" s="2">
        <v>44.7</v>
      </c>
      <c r="E19" s="2">
        <v>5</v>
      </c>
      <c r="F19" s="81">
        <v>43.31</v>
      </c>
    </row>
    <row r="20" spans="1:6">
      <c r="A20" s="80" t="s">
        <v>186</v>
      </c>
      <c r="B20" s="80" t="str">
        <f>Table1[[#This Row],[SIZE]]&amp;"x"&amp;Table1[[#This Row],[sg]]</f>
        <v>M52x5</v>
      </c>
      <c r="C20" s="2">
        <v>52</v>
      </c>
      <c r="D20" s="2">
        <v>48.7</v>
      </c>
      <c r="E20" s="2">
        <v>5</v>
      </c>
      <c r="F20" s="81">
        <v>47.31</v>
      </c>
    </row>
    <row r="21" spans="1:6">
      <c r="A21" s="80" t="s">
        <v>187</v>
      </c>
      <c r="B21" s="80" t="str">
        <f>Table1[[#This Row],[SIZE]]&amp;"x"&amp;Table1[[#This Row],[sg]]</f>
        <v>M56x5,5</v>
      </c>
      <c r="C21" s="2">
        <v>56</v>
      </c>
      <c r="D21" s="2">
        <v>52.4</v>
      </c>
      <c r="E21" s="2">
        <v>5.5</v>
      </c>
      <c r="F21" s="81">
        <v>50.84</v>
      </c>
    </row>
    <row r="22" spans="1:6">
      <c r="A22" s="80" t="s">
        <v>188</v>
      </c>
      <c r="B22" s="80" t="str">
        <f>Table1[[#This Row],[SIZE]]&amp;"x"&amp;Table1[[#This Row],[sg]]</f>
        <v>M60x5,5</v>
      </c>
      <c r="C22" s="2">
        <v>60</v>
      </c>
      <c r="D22" s="2">
        <v>56.4</v>
      </c>
      <c r="E22" s="2">
        <v>5.5</v>
      </c>
      <c r="F22" s="81">
        <v>54.84</v>
      </c>
    </row>
    <row r="23" spans="1:6">
      <c r="A23" s="80" t="s">
        <v>189</v>
      </c>
      <c r="B23" s="80" t="str">
        <f>Table1[[#This Row],[SIZE]]&amp;"x"&amp;Table1[[#This Row],[sg]]</f>
        <v>M64x6</v>
      </c>
      <c r="C23" s="2">
        <v>64</v>
      </c>
      <c r="D23" s="2">
        <v>60.1</v>
      </c>
      <c r="E23" s="2">
        <v>6</v>
      </c>
      <c r="F23" s="81">
        <v>58.37</v>
      </c>
    </row>
    <row r="24" spans="1:6">
      <c r="A24" s="80" t="s">
        <v>190</v>
      </c>
      <c r="B24" s="80" t="str">
        <f>Table1[[#This Row],[SIZE]]&amp;"x"&amp;Table1[[#This Row],[sg]]</f>
        <v>M68x6</v>
      </c>
      <c r="C24" s="2">
        <v>68</v>
      </c>
      <c r="D24" s="2">
        <v>64.099999999999994</v>
      </c>
      <c r="E24" s="2">
        <v>6</v>
      </c>
      <c r="F24" s="81">
        <v>62.37</v>
      </c>
    </row>
    <row r="25" spans="1:6">
      <c r="A25" s="80" t="s">
        <v>191</v>
      </c>
      <c r="B25" s="80" t="str">
        <f>Table1[[#This Row],[SIZE]]&amp;"x"&amp;Table1[[#This Row],[sg]]</f>
        <v>M72x6</v>
      </c>
      <c r="C25" s="2">
        <v>72</v>
      </c>
      <c r="D25" s="2">
        <v>68.099999999999994</v>
      </c>
      <c r="E25" s="2">
        <v>6</v>
      </c>
      <c r="F25" s="81">
        <v>66.37</v>
      </c>
    </row>
    <row r="26" spans="1:6">
      <c r="A26" s="80" t="s">
        <v>192</v>
      </c>
      <c r="B26" s="80" t="str">
        <f>Table1[[#This Row],[SIZE]]&amp;"x"&amp;Table1[[#This Row],[sg]]</f>
        <v>M76x6</v>
      </c>
      <c r="C26" s="2">
        <v>76</v>
      </c>
      <c r="D26" s="2">
        <v>72.099999999999994</v>
      </c>
      <c r="E26" s="2">
        <v>6</v>
      </c>
      <c r="F26" s="81">
        <v>70.37</v>
      </c>
    </row>
    <row r="27" spans="1:6">
      <c r="A27" s="80" t="s">
        <v>193</v>
      </c>
      <c r="B27" s="80" t="str">
        <f>Table1[[#This Row],[SIZE]]&amp;"x"&amp;Table1[[#This Row],[sg]]</f>
        <v>M80x6</v>
      </c>
      <c r="C27" s="2">
        <v>80</v>
      </c>
      <c r="D27" s="2">
        <v>76.099999999999994</v>
      </c>
      <c r="E27" s="2">
        <v>6</v>
      </c>
      <c r="F27" s="81">
        <v>74.37</v>
      </c>
    </row>
    <row r="28" spans="1:6">
      <c r="A28" s="80" t="s">
        <v>194</v>
      </c>
      <c r="B28" s="80" t="str">
        <f>Table1[[#This Row],[SIZE]]&amp;"x"&amp;Table1[[#This Row],[sg]]</f>
        <v>M90x6</v>
      </c>
      <c r="C28" s="2">
        <v>90</v>
      </c>
      <c r="D28" s="2">
        <v>86.1</v>
      </c>
      <c r="E28" s="2">
        <v>6</v>
      </c>
      <c r="F28" s="81">
        <v>84.37</v>
      </c>
    </row>
    <row r="29" spans="1:6">
      <c r="A29" s="93" t="s">
        <v>195</v>
      </c>
      <c r="B29" s="93" t="str">
        <f>Table1[[#This Row],[SIZE]]&amp;"x"&amp;Table1[[#This Row],[sg]]</f>
        <v>M100x6</v>
      </c>
      <c r="C29" s="94">
        <v>100</v>
      </c>
      <c r="D29" s="94">
        <v>96.1</v>
      </c>
      <c r="E29" s="94">
        <v>6</v>
      </c>
      <c r="F29" s="95">
        <v>94.37</v>
      </c>
    </row>
    <row r="30" spans="1:6">
      <c r="A30" s="93" t="s">
        <v>316</v>
      </c>
      <c r="B30" s="231" t="str">
        <f>Table1[[#This Row],[SIZE]]&amp;"x"&amp;Table1[[#This Row],[sg]]</f>
        <v>M40x3</v>
      </c>
      <c r="C30" s="232">
        <v>40</v>
      </c>
      <c r="D30" s="94">
        <v>38</v>
      </c>
      <c r="E30" s="94">
        <v>3</v>
      </c>
      <c r="F30" s="95">
        <v>36.700000000000003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25D7F-E101-4EC3-941A-D9C404B13209}">
  <sheetPr codeName="Sheet7"/>
  <dimension ref="B1:AE520"/>
  <sheetViews>
    <sheetView topLeftCell="U1" workbookViewId="0">
      <selection activeCell="AI136" sqref="AI136"/>
    </sheetView>
  </sheetViews>
  <sheetFormatPr defaultRowHeight="12.75"/>
  <cols>
    <col min="2" max="2" width="19.28515625" bestFit="1" customWidth="1"/>
    <col min="3" max="3" width="19.140625" bestFit="1" customWidth="1"/>
    <col min="4" max="5" width="12.7109375" bestFit="1" customWidth="1"/>
    <col min="6" max="6" width="10.42578125" bestFit="1" customWidth="1"/>
    <col min="7" max="7" width="28.28515625" bestFit="1" customWidth="1"/>
    <col min="8" max="8" width="20.42578125" bestFit="1" customWidth="1"/>
    <col min="9" max="9" width="16.42578125" bestFit="1" customWidth="1"/>
    <col min="10" max="10" width="9.85546875" bestFit="1" customWidth="1"/>
    <col min="11" max="11" width="23.85546875" bestFit="1" customWidth="1"/>
    <col min="12" max="12" width="28.28515625" bestFit="1" customWidth="1"/>
    <col min="13" max="13" width="20" bestFit="1" customWidth="1"/>
    <col min="14" max="16" width="10.42578125" bestFit="1" customWidth="1"/>
    <col min="17" max="17" width="22.85546875" bestFit="1" customWidth="1"/>
    <col min="18" max="18" width="20" bestFit="1" customWidth="1"/>
    <col min="19" max="19" width="24.5703125" bestFit="1" customWidth="1"/>
    <col min="20" max="20" width="22.42578125" bestFit="1" customWidth="1"/>
    <col min="21" max="21" width="23.85546875" bestFit="1" customWidth="1"/>
    <col min="22" max="22" width="23.7109375" bestFit="1" customWidth="1"/>
    <col min="23" max="23" width="32.7109375" bestFit="1" customWidth="1"/>
    <col min="24" max="24" width="20" bestFit="1" customWidth="1"/>
    <col min="25" max="25" width="21" bestFit="1" customWidth="1"/>
    <col min="26" max="26" width="18" bestFit="1" customWidth="1"/>
    <col min="27" max="27" width="19" bestFit="1" customWidth="1"/>
    <col min="28" max="28" width="19.42578125" bestFit="1" customWidth="1"/>
  </cols>
  <sheetData>
    <row r="1" spans="2:31" ht="15.75">
      <c r="B1" s="195" t="s">
        <v>281</v>
      </c>
      <c r="C1" s="196">
        <f>str.1!E10</f>
        <v>50</v>
      </c>
      <c r="AB1" s="245"/>
    </row>
    <row r="3" spans="2:31">
      <c r="B3" s="197" t="s">
        <v>315</v>
      </c>
      <c r="C3" s="197"/>
      <c r="D3" s="197"/>
      <c r="E3" s="197"/>
      <c r="F3" s="197"/>
      <c r="G3" s="197">
        <v>2</v>
      </c>
      <c r="H3" s="197"/>
      <c r="I3" s="197"/>
      <c r="J3" s="197"/>
      <c r="K3" s="197">
        <v>2</v>
      </c>
      <c r="L3" s="197">
        <v>2</v>
      </c>
      <c r="M3" s="197">
        <v>1</v>
      </c>
      <c r="N3" s="197"/>
      <c r="O3" s="197"/>
      <c r="P3" s="197"/>
      <c r="Q3" s="197">
        <v>2</v>
      </c>
      <c r="R3" s="197">
        <v>1</v>
      </c>
      <c r="S3" s="197">
        <v>2</v>
      </c>
      <c r="T3" s="197">
        <v>1</v>
      </c>
      <c r="U3" s="197">
        <v>2</v>
      </c>
      <c r="V3" s="197">
        <v>1</v>
      </c>
      <c r="W3" s="197">
        <v>1</v>
      </c>
      <c r="X3" s="197">
        <v>1</v>
      </c>
      <c r="Y3" s="197">
        <v>1</v>
      </c>
      <c r="Z3" s="197">
        <v>1</v>
      </c>
      <c r="AA3" s="197">
        <v>2</v>
      </c>
      <c r="AB3" s="197">
        <v>1</v>
      </c>
    </row>
    <row r="4" spans="2:31">
      <c r="B4" s="90" t="s">
        <v>282</v>
      </c>
      <c r="C4" s="198" t="s">
        <v>283</v>
      </c>
      <c r="D4" s="91" t="s">
        <v>284</v>
      </c>
      <c r="E4" s="91" t="s">
        <v>285</v>
      </c>
      <c r="F4" s="91" t="s">
        <v>286</v>
      </c>
      <c r="G4" s="91" t="s">
        <v>287</v>
      </c>
      <c r="H4" s="91" t="s">
        <v>288</v>
      </c>
      <c r="I4" s="91" t="s">
        <v>289</v>
      </c>
      <c r="J4" s="92" t="s">
        <v>290</v>
      </c>
      <c r="K4" s="91" t="s">
        <v>291</v>
      </c>
      <c r="L4" s="91" t="s">
        <v>292</v>
      </c>
      <c r="M4" s="91" t="s">
        <v>293</v>
      </c>
      <c r="N4" s="91" t="s">
        <v>294</v>
      </c>
      <c r="O4" s="91" t="s">
        <v>295</v>
      </c>
      <c r="P4" s="91" t="s">
        <v>296</v>
      </c>
      <c r="Q4" s="91" t="s">
        <v>297</v>
      </c>
      <c r="R4" s="199" t="s">
        <v>298</v>
      </c>
      <c r="S4" s="199" t="s">
        <v>299</v>
      </c>
      <c r="T4" s="199" t="s">
        <v>300</v>
      </c>
      <c r="U4" s="199" t="s">
        <v>301</v>
      </c>
      <c r="V4" s="199" t="s">
        <v>302</v>
      </c>
      <c r="W4" s="91" t="s">
        <v>303</v>
      </c>
      <c r="X4" s="200" t="s">
        <v>304</v>
      </c>
      <c r="Y4" s="91" t="s">
        <v>305</v>
      </c>
      <c r="Z4" s="91" t="s">
        <v>306</v>
      </c>
      <c r="AA4" s="234" t="s">
        <v>317</v>
      </c>
      <c r="AB4" s="242" t="s">
        <v>313</v>
      </c>
    </row>
    <row r="5" spans="2:31">
      <c r="B5" s="201" t="s">
        <v>307</v>
      </c>
      <c r="C5" s="240" t="s">
        <v>462</v>
      </c>
      <c r="D5" s="191" t="s">
        <v>463</v>
      </c>
      <c r="E5" s="191" t="s">
        <v>464</v>
      </c>
      <c r="F5" s="191" t="s">
        <v>465</v>
      </c>
      <c r="G5" s="202" t="s">
        <v>466</v>
      </c>
      <c r="H5" s="202" t="s">
        <v>467</v>
      </c>
      <c r="I5" s="202" t="s">
        <v>468</v>
      </c>
      <c r="J5" s="203" t="s">
        <v>469</v>
      </c>
      <c r="K5" s="202" t="s">
        <v>470</v>
      </c>
      <c r="L5" s="202" t="s">
        <v>471</v>
      </c>
      <c r="M5" s="202" t="s">
        <v>472</v>
      </c>
      <c r="N5" s="202" t="s">
        <v>473</v>
      </c>
      <c r="O5" s="202" t="s">
        <v>474</v>
      </c>
      <c r="P5" s="202" t="s">
        <v>475</v>
      </c>
      <c r="Q5" s="202" t="s">
        <v>476</v>
      </c>
      <c r="R5" s="202" t="s">
        <v>477</v>
      </c>
      <c r="S5" s="202" t="s">
        <v>478</v>
      </c>
      <c r="T5" s="202" t="s">
        <v>479</v>
      </c>
      <c r="U5" s="202" t="s">
        <v>480</v>
      </c>
      <c r="V5" s="202" t="s">
        <v>481</v>
      </c>
      <c r="W5" s="202" t="s">
        <v>482</v>
      </c>
      <c r="X5" s="204" t="s">
        <v>483</v>
      </c>
      <c r="Y5" s="202" t="s">
        <v>484</v>
      </c>
      <c r="Z5" s="91" t="s">
        <v>485</v>
      </c>
      <c r="AA5" s="249" t="s">
        <v>486</v>
      </c>
      <c r="AB5" s="246" t="s">
        <v>435</v>
      </c>
    </row>
    <row r="6" spans="2:31">
      <c r="B6" s="80" t="s">
        <v>308</v>
      </c>
      <c r="C6" s="240">
        <v>485</v>
      </c>
      <c r="D6" s="240">
        <v>860</v>
      </c>
      <c r="E6" s="240">
        <v>860</v>
      </c>
      <c r="F6" s="240">
        <v>485</v>
      </c>
      <c r="G6" s="240">
        <v>520</v>
      </c>
      <c r="H6" s="240">
        <v>485</v>
      </c>
      <c r="I6" s="240">
        <v>515</v>
      </c>
      <c r="J6" s="81">
        <v>415</v>
      </c>
      <c r="K6" s="91">
        <v>500</v>
      </c>
      <c r="L6" s="91">
        <v>490</v>
      </c>
      <c r="M6" s="91">
        <v>410</v>
      </c>
      <c r="N6" s="91">
        <v>500</v>
      </c>
      <c r="O6" s="91">
        <v>500</v>
      </c>
      <c r="P6" s="91">
        <v>700</v>
      </c>
      <c r="Q6" s="91">
        <v>670</v>
      </c>
      <c r="R6" s="91">
        <v>360</v>
      </c>
      <c r="S6" s="91">
        <v>500</v>
      </c>
      <c r="T6" s="91">
        <v>440</v>
      </c>
      <c r="U6" s="91">
        <v>460</v>
      </c>
      <c r="V6" s="91">
        <v>700</v>
      </c>
      <c r="W6" s="91">
        <v>900</v>
      </c>
      <c r="X6" s="91">
        <v>510</v>
      </c>
      <c r="Y6" s="91">
        <v>470</v>
      </c>
      <c r="Z6" s="240">
        <v>560</v>
      </c>
      <c r="AA6" s="240">
        <v>860</v>
      </c>
      <c r="AB6" s="202" t="s">
        <v>434</v>
      </c>
      <c r="AE6">
        <v>700</v>
      </c>
    </row>
    <row r="7" spans="2:31">
      <c r="B7" s="93" t="s">
        <v>309</v>
      </c>
      <c r="C7" s="94">
        <v>170</v>
      </c>
      <c r="D7" s="94">
        <v>720</v>
      </c>
      <c r="E7" s="94">
        <v>245</v>
      </c>
      <c r="F7" s="94">
        <v>250</v>
      </c>
      <c r="G7" s="94">
        <v>220</v>
      </c>
      <c r="H7" s="94">
        <v>170</v>
      </c>
      <c r="I7" s="94">
        <v>205</v>
      </c>
      <c r="J7" s="95">
        <v>240</v>
      </c>
      <c r="K7" s="94">
        <v>195</v>
      </c>
      <c r="L7" s="94">
        <v>190</v>
      </c>
      <c r="M7" s="94">
        <v>265</v>
      </c>
      <c r="N7" s="94">
        <v>210</v>
      </c>
      <c r="O7" s="94">
        <v>210</v>
      </c>
      <c r="P7" s="94">
        <v>450</v>
      </c>
      <c r="Q7" s="94">
        <v>220</v>
      </c>
      <c r="R7" s="94">
        <v>225</v>
      </c>
      <c r="S7" s="94">
        <v>200</v>
      </c>
      <c r="T7" s="94">
        <v>295</v>
      </c>
      <c r="U7" s="94">
        <v>180</v>
      </c>
      <c r="V7" s="94">
        <v>550</v>
      </c>
      <c r="W7" s="94">
        <v>600</v>
      </c>
      <c r="X7" s="94">
        <v>375</v>
      </c>
      <c r="Y7" s="94">
        <v>315</v>
      </c>
      <c r="Z7" s="94">
        <v>340</v>
      </c>
      <c r="AA7" s="94">
        <v>730</v>
      </c>
      <c r="AB7" s="94">
        <v>500</v>
      </c>
      <c r="AE7">
        <v>350</v>
      </c>
    </row>
    <row r="8" spans="2:31" ht="13.5" thickBot="1">
      <c r="B8" s="205" t="s">
        <v>310</v>
      </c>
      <c r="C8" s="238">
        <f>INDEX(Table2__27[#All],MATCH($C$1,$B$9:$B$521,0),MATCH(Table106[[#Headers],[A182 GR F304L]],Table2__27[#Headers],0))</f>
        <v>166</v>
      </c>
      <c r="D8" s="238">
        <f>INDEX(Table2__27[#All],MATCH($C$1,$B$9:$B$521,0),MATCH(Table106[[#Headers],[A193 B7]],Table2__27[#Headers],0))</f>
        <v>713.6</v>
      </c>
      <c r="E8" s="238">
        <f>INDEX(Table2__27[#All],MATCH($C$1,$B$9:$B$521,0),MATCH(Table106[[#Headers],[A194 2H]],Table2__27[#Headers],0))</f>
        <v>240.1</v>
      </c>
      <c r="F8" s="238">
        <f>INDEX(Table2__27[#All],MATCH($C$1,$B$9:$B$521,0),MATCH(Table106[[#Headers],[A105]],Table2__27[#Headers],0))</f>
        <v>242</v>
      </c>
      <c r="G8" s="238">
        <f>INDEX(Table2__27[#All],MATCH($C$1,$B$9:$B$521,0),MATCH(Table106[[#Headers],[X6CrNiMo17-12-2 - 1.4571]],Table2__27[#Headers],0))</f>
        <v>207</v>
      </c>
      <c r="H8" s="238">
        <f>INDEX(Table2__27[#All],MATCH($C$1,$B$9:$B$521,0),MATCH(Table106[[#Headers],[A312 GR TP304L]],Table2__27[#Headers],0))</f>
        <v>162.30000000000001</v>
      </c>
      <c r="I8" s="238">
        <f>INDEX(Table2__27[#All],MATCH($C$1,$B$9:$B$521,0),MATCH(Table106[[#Headers],[A213 TP 316]],Table2__27[#Headers],0))</f>
        <v>194.9</v>
      </c>
      <c r="J8" s="238">
        <f>INDEX(Table2__27[#All],MATCH($C$1,$B$9:$B$521,0),MATCH(Table106[[#Headers],[A106]],Table2__27[#Headers],0))</f>
        <v>235.4</v>
      </c>
      <c r="K8" s="238">
        <f>INDEX(Table2__27[#All],MATCH($C$1,$B$9:$B$521,0),MATCH(Table106[[#Headers],[X5CrNi18-10 / 1.4301]],Table2__27[#Headers],0))</f>
        <v>180</v>
      </c>
      <c r="L8" s="238">
        <f>INDEX(Table2__27[#All],MATCH($C$1,$B$9:$B$521,0),MATCH(Table106[[#Headers],[X2CrNiMo17-12-2 / 1.4404]],Table2__27[#Headers],0))</f>
        <v>182</v>
      </c>
      <c r="M8" s="238">
        <f>INDEX(Table2__27[#All],MATCH($C$1,$B$9:$B$521,0),MATCH(Table106[[#Headers],[P265GH / 1.0425]],Table2__27[#Headers],0))</f>
        <v>250</v>
      </c>
      <c r="N8" s="238">
        <f>INDEX(Table2__27[#All],MATCH($C$1,$B$9:$B$521,0),MATCH(Table106[[#Headers],[A2-50]],Table2__27[#Headers],0))</f>
        <v>205</v>
      </c>
      <c r="O8" s="238">
        <f>INDEX(Table2__27[#All],MATCH($C$1,$B$9:$B$521,0),MATCH(Table106[[#Headers],[A4-50]],Table2__27[#Headers],0))</f>
        <v>205</v>
      </c>
      <c r="P8" s="238">
        <f>INDEX(Table2__27[#All],MATCH($C$1,$B$9:$B$521,0),MATCH(Table106[[#Headers],[A2-70]],Table2__27[#Headers],0))</f>
        <v>0</v>
      </c>
      <c r="Q8" s="238">
        <f>INDEX(Table2__27[#All],MATCH($C$1,$B$9:$B$521,0),MATCH(Table106[[#Headers],[X2CrNi18-9 / 1.4307]],Table2__27[#Headers],0))</f>
        <v>165</v>
      </c>
      <c r="R8" s="238">
        <f>INDEX(Table2__27[#All],MATCH($C$1,$B$9:$B$521,0),MATCH(Table106[[#Headers],[P235GH / 1.0345]],Table2__27[#Headers],0))</f>
        <v>209</v>
      </c>
      <c r="S8" s="238">
        <f>INDEX(Table2__27[#All],MATCH($C$1,$B$9:$B$521,0),MATCH(Table106[[#Headers],[X6CrNiTi8-10 / 1.4541]],Table2__27[#Headers],0))</f>
        <v>190</v>
      </c>
      <c r="T8" s="238">
        <f>INDEX(Table2__27[#All],MATCH($C$1,$B$9:$B$521,0),MATCH(Table106[[#Headers],[13CrMo4-5 / 1.7335]],Table2__27[#Headers],0))</f>
        <v>275</v>
      </c>
      <c r="U8" s="238">
        <f>INDEX(Table2__27[#All],MATCH($C$1,$B$9:$B$521,0),MATCH(Table106[[#Headers],[X2CrNi19-11 / 1.4306]],Table2__27[#Headers],0))</f>
        <v>165</v>
      </c>
      <c r="V8" s="238">
        <f>INDEX(Table2__27[#All],MATCH($C$1,$B$9:$B$521,0),MATCH(Table106[[#Headers],[21CrMoV5-7 / 1.7709]],Table2__27[#Headers],0))</f>
        <v>542</v>
      </c>
      <c r="W8" s="238">
        <f>INDEX(Table2__27[#All],MATCH($C$1,$B$9:$B$521,0),MATCH(Table106[[#Headers],[X6NiCrTiMoVB25-15-2 / 1.4980]],Table2__27[#Headers],0))</f>
        <v>592</v>
      </c>
      <c r="X8" s="238">
        <f>INDEX(Table2__27[#All],MATCH($C$1,$B$9:$B$521,0),MATCH(Table106[[#Headers],[P420QH / 1.8936]],Table2__27[#Headers],0))</f>
        <v>334</v>
      </c>
      <c r="Y8" s="238">
        <f>INDEX(Table2__27[#All],MATCH($C$1,$B$9:$B$521,0),MATCH(Table106[[#Headers],[P355QH1 / 1.0571]],Table2__27[#Headers],0))</f>
        <v>285</v>
      </c>
      <c r="Z8" s="238">
        <f>INDEX(Table2__27[#All],MATCH($C$1,$B$9:$B$521,0),MATCH(Table106[[#Headers],[ C45E / 1.1191]],Table2__27[#Headers],0))</f>
        <v>330</v>
      </c>
      <c r="AA8" s="238">
        <f>INDEX(Table2__27[#All],MATCH($C$1,$B$9:$B$521,0),MATCH(Table106[[#Headers],[1.7225]],Table2__27[#Headers],0))</f>
        <v>720</v>
      </c>
      <c r="AB8" s="238">
        <f>INDEX(Table2__27[#All],MATCH($C$1,$B$9:$B$521,0),MATCH(Table106[[#Headers],[1.4401]],Table2__27[#Headers],0))</f>
        <v>468.29</v>
      </c>
      <c r="AE8">
        <f>INDEX($AE$10:$AE$90,MATCH(C1,Table2__27[Temperature],0),1)</f>
        <v>327.8</v>
      </c>
    </row>
    <row r="9" spans="2:31">
      <c r="B9" s="98" t="s">
        <v>311</v>
      </c>
      <c r="C9" s="98" t="s">
        <v>283</v>
      </c>
      <c r="D9" s="98" t="s">
        <v>284</v>
      </c>
      <c r="E9" s="98" t="s">
        <v>285</v>
      </c>
      <c r="F9" s="98" t="s">
        <v>286</v>
      </c>
      <c r="G9" s="98" t="s">
        <v>287</v>
      </c>
      <c r="H9" s="98" t="s">
        <v>288</v>
      </c>
      <c r="I9" s="98" t="s">
        <v>289</v>
      </c>
      <c r="J9" s="206" t="s">
        <v>290</v>
      </c>
      <c r="K9" s="98" t="s">
        <v>291</v>
      </c>
      <c r="L9" s="98" t="s">
        <v>292</v>
      </c>
      <c r="M9" s="98" t="s">
        <v>293</v>
      </c>
      <c r="N9" s="91" t="s">
        <v>294</v>
      </c>
      <c r="O9" s="91" t="s">
        <v>295</v>
      </c>
      <c r="P9" s="98" t="s">
        <v>296</v>
      </c>
      <c r="Q9" s="98" t="s">
        <v>297</v>
      </c>
      <c r="R9" s="98" t="s">
        <v>298</v>
      </c>
      <c r="S9" s="98" t="s">
        <v>299</v>
      </c>
      <c r="T9" s="98" t="s">
        <v>300</v>
      </c>
      <c r="U9" s="91" t="s">
        <v>301</v>
      </c>
      <c r="V9" s="91" t="s">
        <v>302</v>
      </c>
      <c r="W9" s="98" t="s">
        <v>303</v>
      </c>
      <c r="X9" s="200" t="s">
        <v>304</v>
      </c>
      <c r="Y9" s="207" t="s">
        <v>305</v>
      </c>
      <c r="Z9" s="91" t="s">
        <v>306</v>
      </c>
      <c r="AA9" s="235" t="s">
        <v>317</v>
      </c>
      <c r="AB9" s="247" t="s">
        <v>313</v>
      </c>
    </row>
    <row r="10" spans="2:31">
      <c r="B10" s="98">
        <v>40</v>
      </c>
      <c r="C10" s="98">
        <v>172</v>
      </c>
      <c r="D10" s="98">
        <v>724</v>
      </c>
      <c r="E10" s="98">
        <v>245</v>
      </c>
      <c r="F10" s="98">
        <v>248</v>
      </c>
      <c r="G10" s="98">
        <v>211.7</v>
      </c>
      <c r="H10" s="98">
        <v>165.7</v>
      </c>
      <c r="I10" s="98">
        <v>198.6</v>
      </c>
      <c r="J10" s="98">
        <v>241</v>
      </c>
      <c r="K10" s="208">
        <v>185</v>
      </c>
      <c r="L10" s="208">
        <v>185.40000000000003</v>
      </c>
      <c r="M10" s="208">
        <v>254.7999999999999</v>
      </c>
      <c r="N10" s="98"/>
      <c r="O10" s="98"/>
      <c r="P10" s="98"/>
      <c r="Q10" s="208">
        <v>169.00000000000006</v>
      </c>
      <c r="R10" s="98">
        <v>211.2</v>
      </c>
      <c r="S10" s="98">
        <v>192.8</v>
      </c>
      <c r="T10" s="98">
        <v>277.20000000000027</v>
      </c>
      <c r="U10" s="98">
        <v>169.00000000000006</v>
      </c>
      <c r="V10" s="98">
        <v>544.40000000000009</v>
      </c>
      <c r="W10" s="98">
        <v>594.40000000000009</v>
      </c>
      <c r="X10" s="98"/>
      <c r="Y10" s="98"/>
      <c r="Z10" s="98"/>
      <c r="AA10" s="230"/>
      <c r="AB10" s="230">
        <v>475.61</v>
      </c>
      <c r="AE10">
        <v>332.93</v>
      </c>
    </row>
    <row r="11" spans="2:31">
      <c r="B11" s="98">
        <v>41</v>
      </c>
      <c r="C11" s="98">
        <v>171.4</v>
      </c>
      <c r="D11" s="98">
        <v>723</v>
      </c>
      <c r="E11" s="98">
        <v>244.5</v>
      </c>
      <c r="F11" s="98">
        <v>247.4</v>
      </c>
      <c r="G11" s="98">
        <v>211.2</v>
      </c>
      <c r="H11" s="98">
        <v>165.3</v>
      </c>
      <c r="I11" s="98">
        <v>198.3</v>
      </c>
      <c r="J11" s="98">
        <v>240.4</v>
      </c>
      <c r="K11" s="208">
        <v>184.5</v>
      </c>
      <c r="L11" s="208">
        <v>185.06000000000003</v>
      </c>
      <c r="M11" s="208">
        <v>254.31999999999991</v>
      </c>
      <c r="N11" s="98"/>
      <c r="O11" s="98"/>
      <c r="P11" s="98"/>
      <c r="Q11" s="208">
        <v>168.60000000000005</v>
      </c>
      <c r="R11" s="98">
        <v>210.98</v>
      </c>
      <c r="S11" s="98">
        <v>192.52</v>
      </c>
      <c r="T11" s="98">
        <v>276.98000000000025</v>
      </c>
      <c r="U11" s="98">
        <v>168.60000000000005</v>
      </c>
      <c r="V11" s="98">
        <v>544.16000000000008</v>
      </c>
      <c r="W11" s="98">
        <v>594.16000000000008</v>
      </c>
      <c r="X11" s="98"/>
      <c r="Y11" s="98"/>
      <c r="Z11" s="98"/>
      <c r="AA11" s="230"/>
      <c r="AB11" s="230">
        <v>474.88</v>
      </c>
      <c r="AE11">
        <v>332.42</v>
      </c>
    </row>
    <row r="12" spans="2:31">
      <c r="B12" s="98">
        <v>42</v>
      </c>
      <c r="C12" s="98">
        <v>170.8</v>
      </c>
      <c r="D12" s="98">
        <v>721.9</v>
      </c>
      <c r="E12" s="98">
        <v>244</v>
      </c>
      <c r="F12" s="98">
        <v>246.8</v>
      </c>
      <c r="G12" s="98">
        <v>210.7</v>
      </c>
      <c r="H12" s="98">
        <v>165</v>
      </c>
      <c r="I12" s="98">
        <v>197.9</v>
      </c>
      <c r="J12" s="98">
        <v>239.9</v>
      </c>
      <c r="K12" s="208">
        <v>184</v>
      </c>
      <c r="L12" s="208">
        <v>184.72000000000003</v>
      </c>
      <c r="M12" s="208">
        <v>253.83999999999992</v>
      </c>
      <c r="N12" s="98"/>
      <c r="O12" s="98"/>
      <c r="P12" s="98"/>
      <c r="Q12" s="208">
        <v>168.20000000000005</v>
      </c>
      <c r="R12" s="98">
        <v>210.76</v>
      </c>
      <c r="S12" s="98">
        <v>192.24</v>
      </c>
      <c r="T12" s="98">
        <v>276.76000000000022</v>
      </c>
      <c r="U12" s="98">
        <v>168.20000000000005</v>
      </c>
      <c r="V12" s="98">
        <v>543.92000000000007</v>
      </c>
      <c r="W12" s="98">
        <v>593.92000000000007</v>
      </c>
      <c r="X12" s="98"/>
      <c r="Y12" s="98"/>
      <c r="Z12" s="98"/>
      <c r="AA12" s="230"/>
      <c r="AB12" s="230">
        <v>474.15</v>
      </c>
      <c r="AE12">
        <v>331.91</v>
      </c>
    </row>
    <row r="13" spans="2:31">
      <c r="B13" s="98">
        <v>43</v>
      </c>
      <c r="C13" s="98">
        <v>170.2</v>
      </c>
      <c r="D13" s="98">
        <v>720.9</v>
      </c>
      <c r="E13" s="98">
        <v>243.5</v>
      </c>
      <c r="F13" s="98">
        <v>246.2</v>
      </c>
      <c r="G13" s="98">
        <v>210.3</v>
      </c>
      <c r="H13" s="98">
        <v>164.7</v>
      </c>
      <c r="I13" s="98">
        <v>197.5</v>
      </c>
      <c r="J13" s="98">
        <v>239.3</v>
      </c>
      <c r="K13" s="208">
        <v>183.5</v>
      </c>
      <c r="L13" s="208">
        <v>184.38000000000002</v>
      </c>
      <c r="M13" s="208">
        <v>253.35999999999993</v>
      </c>
      <c r="N13" s="98"/>
      <c r="O13" s="98"/>
      <c r="P13" s="98"/>
      <c r="Q13" s="208">
        <v>167.80000000000004</v>
      </c>
      <c r="R13" s="98">
        <v>210.54</v>
      </c>
      <c r="S13" s="98">
        <v>191.96</v>
      </c>
      <c r="T13" s="98">
        <v>276.54000000000019</v>
      </c>
      <c r="U13" s="98">
        <v>167.80000000000004</v>
      </c>
      <c r="V13" s="98">
        <v>543.68000000000006</v>
      </c>
      <c r="W13" s="98">
        <v>593.68000000000006</v>
      </c>
      <c r="X13" s="98"/>
      <c r="Y13" s="98"/>
      <c r="Z13" s="98"/>
      <c r="AA13" s="230"/>
      <c r="AB13" s="230">
        <v>473.41</v>
      </c>
      <c r="AE13">
        <v>331.39</v>
      </c>
    </row>
    <row r="14" spans="2:31">
      <c r="B14" s="98">
        <v>44</v>
      </c>
      <c r="C14" s="98">
        <v>169.6</v>
      </c>
      <c r="D14" s="98">
        <v>719.8</v>
      </c>
      <c r="E14" s="98">
        <v>243.1</v>
      </c>
      <c r="F14" s="98">
        <v>245.6</v>
      </c>
      <c r="G14" s="98">
        <v>209.8</v>
      </c>
      <c r="H14" s="98">
        <v>164.3</v>
      </c>
      <c r="I14" s="98">
        <v>197.1</v>
      </c>
      <c r="J14" s="98">
        <v>238.8</v>
      </c>
      <c r="K14" s="208">
        <v>183</v>
      </c>
      <c r="L14" s="208">
        <v>184.04000000000002</v>
      </c>
      <c r="M14" s="208">
        <v>252.87999999999994</v>
      </c>
      <c r="N14" s="98"/>
      <c r="O14" s="98"/>
      <c r="P14" s="98"/>
      <c r="Q14" s="208">
        <v>167.40000000000003</v>
      </c>
      <c r="R14" s="98">
        <v>210.32</v>
      </c>
      <c r="S14" s="98">
        <v>191.68</v>
      </c>
      <c r="T14" s="98">
        <v>276.32000000000016</v>
      </c>
      <c r="U14" s="98">
        <v>167.40000000000003</v>
      </c>
      <c r="V14" s="98">
        <v>543.44000000000005</v>
      </c>
      <c r="W14" s="98">
        <v>593.44000000000005</v>
      </c>
      <c r="X14" s="98"/>
      <c r="Y14" s="98"/>
      <c r="Z14" s="98"/>
      <c r="AA14" s="230"/>
      <c r="AB14" s="230">
        <v>472.68</v>
      </c>
      <c r="AE14">
        <v>330.88</v>
      </c>
    </row>
    <row r="15" spans="2:31">
      <c r="B15" s="98">
        <v>45</v>
      </c>
      <c r="C15" s="98">
        <v>169</v>
      </c>
      <c r="D15" s="98">
        <v>718.8</v>
      </c>
      <c r="E15" s="98">
        <v>242.6</v>
      </c>
      <c r="F15" s="98">
        <v>245</v>
      </c>
      <c r="G15" s="98">
        <v>209.3</v>
      </c>
      <c r="H15" s="98">
        <v>164</v>
      </c>
      <c r="I15" s="98">
        <v>196.8</v>
      </c>
      <c r="J15" s="98">
        <v>238.2</v>
      </c>
      <c r="K15" s="208">
        <v>182.5</v>
      </c>
      <c r="L15" s="208">
        <v>183.70000000000002</v>
      </c>
      <c r="M15" s="208">
        <v>252.39999999999995</v>
      </c>
      <c r="N15" s="98"/>
      <c r="O15" s="98"/>
      <c r="P15" s="98"/>
      <c r="Q15" s="208">
        <v>167.00000000000003</v>
      </c>
      <c r="R15" s="98">
        <v>210.1</v>
      </c>
      <c r="S15" s="98">
        <v>191.4</v>
      </c>
      <c r="T15" s="98">
        <v>276.10000000000014</v>
      </c>
      <c r="U15" s="98">
        <v>167.00000000000003</v>
      </c>
      <c r="V15" s="98">
        <v>543.20000000000005</v>
      </c>
      <c r="W15" s="98">
        <v>593.20000000000005</v>
      </c>
      <c r="X15" s="98"/>
      <c r="Y15" s="98"/>
      <c r="Z15" s="98"/>
      <c r="AA15" s="230"/>
      <c r="AB15" s="230">
        <v>471.95</v>
      </c>
      <c r="AE15">
        <v>330.37</v>
      </c>
    </row>
    <row r="16" spans="2:31">
      <c r="B16" s="98">
        <v>46</v>
      </c>
      <c r="C16" s="98">
        <v>168.4</v>
      </c>
      <c r="D16" s="98">
        <v>717.8</v>
      </c>
      <c r="E16" s="98">
        <v>242.1</v>
      </c>
      <c r="F16" s="98">
        <v>244.4</v>
      </c>
      <c r="G16" s="98">
        <v>208.9</v>
      </c>
      <c r="H16" s="98">
        <v>163.69999999999999</v>
      </c>
      <c r="I16" s="98">
        <v>196.4</v>
      </c>
      <c r="J16" s="98">
        <v>237.6</v>
      </c>
      <c r="K16" s="208">
        <v>182</v>
      </c>
      <c r="L16" s="208">
        <v>183.36</v>
      </c>
      <c r="M16" s="208">
        <v>251.91999999999996</v>
      </c>
      <c r="N16" s="98"/>
      <c r="O16" s="98"/>
      <c r="P16" s="98"/>
      <c r="Q16" s="208">
        <v>166.60000000000002</v>
      </c>
      <c r="R16" s="98">
        <v>209.88</v>
      </c>
      <c r="S16" s="98">
        <v>191.12</v>
      </c>
      <c r="T16" s="98">
        <v>275.88000000000011</v>
      </c>
      <c r="U16" s="98">
        <v>166.60000000000002</v>
      </c>
      <c r="V16" s="98">
        <v>542.96</v>
      </c>
      <c r="W16" s="98">
        <v>592.96</v>
      </c>
      <c r="X16" s="98"/>
      <c r="Y16" s="98"/>
      <c r="Z16" s="98"/>
      <c r="AA16" s="230"/>
      <c r="AB16" s="230">
        <v>471.22</v>
      </c>
      <c r="AE16">
        <v>329.85</v>
      </c>
    </row>
    <row r="17" spans="2:31">
      <c r="B17" s="98">
        <v>47</v>
      </c>
      <c r="C17" s="98">
        <v>167.8</v>
      </c>
      <c r="D17" s="98">
        <v>716.7</v>
      </c>
      <c r="E17" s="98">
        <v>241.6</v>
      </c>
      <c r="F17" s="98">
        <v>243.8</v>
      </c>
      <c r="G17" s="98">
        <v>208.4</v>
      </c>
      <c r="H17" s="98">
        <v>163.30000000000001</v>
      </c>
      <c r="I17" s="98">
        <v>196</v>
      </c>
      <c r="J17" s="98">
        <v>237.1</v>
      </c>
      <c r="K17" s="208">
        <v>181.5</v>
      </c>
      <c r="L17" s="208">
        <v>183.02</v>
      </c>
      <c r="M17" s="208">
        <v>251.43999999999997</v>
      </c>
      <c r="N17" s="98"/>
      <c r="O17" s="98"/>
      <c r="P17" s="98"/>
      <c r="Q17" s="208">
        <v>166.20000000000002</v>
      </c>
      <c r="R17" s="98">
        <v>209.66</v>
      </c>
      <c r="S17" s="98">
        <v>190.84</v>
      </c>
      <c r="T17" s="98">
        <v>275.66000000000008</v>
      </c>
      <c r="U17" s="98">
        <v>166.20000000000002</v>
      </c>
      <c r="V17" s="98">
        <v>542.72</v>
      </c>
      <c r="W17" s="98">
        <v>592.72</v>
      </c>
      <c r="X17" s="98"/>
      <c r="Y17" s="98"/>
      <c r="Z17" s="98"/>
      <c r="AA17" s="230"/>
      <c r="AB17" s="230">
        <v>470.49</v>
      </c>
      <c r="AE17">
        <v>329.34</v>
      </c>
    </row>
    <row r="18" spans="2:31">
      <c r="B18" s="98">
        <v>48</v>
      </c>
      <c r="C18" s="98">
        <v>167.2</v>
      </c>
      <c r="D18" s="98">
        <v>715.7</v>
      </c>
      <c r="E18" s="98">
        <v>241.1</v>
      </c>
      <c r="F18" s="98">
        <v>243.2</v>
      </c>
      <c r="G18" s="98">
        <v>207.9</v>
      </c>
      <c r="H18" s="98">
        <v>163</v>
      </c>
      <c r="I18" s="98">
        <v>195.7</v>
      </c>
      <c r="J18" s="98">
        <v>236.5</v>
      </c>
      <c r="K18" s="208">
        <v>181</v>
      </c>
      <c r="L18" s="208">
        <v>182.68</v>
      </c>
      <c r="M18" s="208">
        <v>250.95999999999998</v>
      </c>
      <c r="N18" s="98"/>
      <c r="O18" s="98"/>
      <c r="P18" s="98"/>
      <c r="Q18" s="208">
        <v>165.8</v>
      </c>
      <c r="R18" s="98">
        <v>209.44</v>
      </c>
      <c r="S18" s="98">
        <v>190.56</v>
      </c>
      <c r="T18" s="98">
        <v>275.44000000000005</v>
      </c>
      <c r="U18" s="98">
        <v>165.8</v>
      </c>
      <c r="V18" s="98">
        <v>542.48</v>
      </c>
      <c r="W18" s="98">
        <v>592.48</v>
      </c>
      <c r="X18" s="98"/>
      <c r="Y18" s="98"/>
      <c r="Z18" s="98"/>
      <c r="AA18" s="230"/>
      <c r="AB18" s="230">
        <v>469.76</v>
      </c>
      <c r="AE18">
        <v>328.83</v>
      </c>
    </row>
    <row r="19" spans="2:31">
      <c r="B19" s="98">
        <v>49</v>
      </c>
      <c r="C19" s="98">
        <v>166.6</v>
      </c>
      <c r="D19" s="98">
        <v>714.6</v>
      </c>
      <c r="E19" s="98">
        <v>240.6</v>
      </c>
      <c r="F19" s="98">
        <v>242.6</v>
      </c>
      <c r="G19" s="98">
        <v>207.5</v>
      </c>
      <c r="H19" s="98">
        <v>162.69999999999999</v>
      </c>
      <c r="I19" s="98">
        <v>195.3</v>
      </c>
      <c r="J19" s="98">
        <v>236</v>
      </c>
      <c r="K19" s="208">
        <v>180.5</v>
      </c>
      <c r="L19" s="208">
        <v>182.34</v>
      </c>
      <c r="M19" s="208">
        <v>250.48</v>
      </c>
      <c r="N19" s="98"/>
      <c r="O19" s="98"/>
      <c r="P19" s="98"/>
      <c r="Q19" s="208">
        <v>165.4</v>
      </c>
      <c r="R19" s="98">
        <v>209.22</v>
      </c>
      <c r="S19" s="98">
        <v>190.28</v>
      </c>
      <c r="T19" s="98">
        <v>275.22000000000003</v>
      </c>
      <c r="U19" s="98">
        <v>165.4</v>
      </c>
      <c r="V19" s="98">
        <v>542.24</v>
      </c>
      <c r="W19" s="98">
        <v>592.24</v>
      </c>
      <c r="X19" s="98"/>
      <c r="Y19" s="98"/>
      <c r="Z19" s="98"/>
      <c r="AA19" s="230"/>
      <c r="AB19" s="230">
        <v>469.02</v>
      </c>
      <c r="AE19">
        <v>328.31</v>
      </c>
    </row>
    <row r="20" spans="2:31">
      <c r="B20" s="98">
        <v>50</v>
      </c>
      <c r="C20" s="98">
        <v>166</v>
      </c>
      <c r="D20" s="98">
        <v>713.6</v>
      </c>
      <c r="E20" s="98">
        <v>240.1</v>
      </c>
      <c r="F20" s="98">
        <v>242</v>
      </c>
      <c r="G20" s="98">
        <v>207</v>
      </c>
      <c r="H20" s="98">
        <v>162.30000000000001</v>
      </c>
      <c r="I20" s="98">
        <v>194.9</v>
      </c>
      <c r="J20" s="98">
        <v>235.4</v>
      </c>
      <c r="K20" s="209">
        <v>180</v>
      </c>
      <c r="L20" s="209">
        <v>182</v>
      </c>
      <c r="M20" s="209">
        <v>250</v>
      </c>
      <c r="N20" s="98">
        <v>205</v>
      </c>
      <c r="O20" s="98">
        <v>205</v>
      </c>
      <c r="P20" s="98"/>
      <c r="Q20" s="209">
        <v>165</v>
      </c>
      <c r="R20" s="98">
        <v>209</v>
      </c>
      <c r="S20" s="98">
        <v>190</v>
      </c>
      <c r="T20" s="98">
        <v>275</v>
      </c>
      <c r="U20" s="98">
        <v>165</v>
      </c>
      <c r="V20" s="98">
        <v>542</v>
      </c>
      <c r="W20" s="98">
        <v>592</v>
      </c>
      <c r="X20" s="98">
        <v>334</v>
      </c>
      <c r="Y20" s="98">
        <v>285</v>
      </c>
      <c r="Z20" s="98">
        <v>330</v>
      </c>
      <c r="AA20" s="230">
        <v>720</v>
      </c>
      <c r="AB20" s="230">
        <v>468.29</v>
      </c>
      <c r="AE20">
        <v>327.8</v>
      </c>
    </row>
    <row r="21" spans="2:31">
      <c r="B21" s="98">
        <v>51</v>
      </c>
      <c r="C21" s="98">
        <v>165.4</v>
      </c>
      <c r="D21" s="98">
        <v>712.6</v>
      </c>
      <c r="E21" s="98">
        <v>239.7</v>
      </c>
      <c r="F21" s="98">
        <v>241.4</v>
      </c>
      <c r="G21" s="98">
        <v>206.5</v>
      </c>
      <c r="H21" s="98">
        <v>162</v>
      </c>
      <c r="I21" s="98">
        <v>194.6</v>
      </c>
      <c r="J21" s="98">
        <v>234.8</v>
      </c>
      <c r="K21" s="208">
        <v>179.5</v>
      </c>
      <c r="L21" s="208">
        <v>181.66</v>
      </c>
      <c r="M21" s="208">
        <v>249.52</v>
      </c>
      <c r="N21" s="98"/>
      <c r="O21" s="98"/>
      <c r="P21" s="98"/>
      <c r="Q21" s="208">
        <v>164.6</v>
      </c>
      <c r="R21" s="98">
        <v>208.78</v>
      </c>
      <c r="S21" s="98">
        <v>189.72</v>
      </c>
      <c r="T21" s="98">
        <v>274.77999999999997</v>
      </c>
      <c r="U21" s="98">
        <v>164.6</v>
      </c>
      <c r="V21" s="98">
        <v>541.76</v>
      </c>
      <c r="W21" s="98">
        <v>591.76</v>
      </c>
      <c r="X21" s="98"/>
      <c r="Y21" s="98"/>
      <c r="Z21" s="98"/>
      <c r="AA21" s="230">
        <v>719.64</v>
      </c>
      <c r="AB21" s="230">
        <v>467.56</v>
      </c>
      <c r="AE21">
        <v>327.29000000000002</v>
      </c>
    </row>
    <row r="22" spans="2:31">
      <c r="B22" s="98">
        <v>52</v>
      </c>
      <c r="C22" s="98">
        <v>164.8</v>
      </c>
      <c r="D22" s="98">
        <v>711.5</v>
      </c>
      <c r="E22" s="98">
        <v>239.2</v>
      </c>
      <c r="F22" s="98">
        <v>240.8</v>
      </c>
      <c r="G22" s="98">
        <v>206.1</v>
      </c>
      <c r="H22" s="98">
        <v>161.69999999999999</v>
      </c>
      <c r="I22" s="98">
        <v>194.2</v>
      </c>
      <c r="J22" s="98">
        <v>234.3</v>
      </c>
      <c r="K22" s="209">
        <v>179</v>
      </c>
      <c r="L22" s="209">
        <v>181.32</v>
      </c>
      <c r="M22" s="209">
        <v>249.04000000000002</v>
      </c>
      <c r="N22" s="98"/>
      <c r="O22" s="98"/>
      <c r="P22" s="98"/>
      <c r="Q22" s="208">
        <v>164.2</v>
      </c>
      <c r="R22" s="98">
        <v>208.56</v>
      </c>
      <c r="S22" s="98">
        <v>189.44</v>
      </c>
      <c r="T22" s="98">
        <v>274.55999999999995</v>
      </c>
      <c r="U22" s="98">
        <v>164.2</v>
      </c>
      <c r="V22" s="98">
        <v>541.52</v>
      </c>
      <c r="W22" s="98">
        <v>591.52</v>
      </c>
      <c r="X22" s="98"/>
      <c r="Y22" s="98"/>
      <c r="Z22" s="98"/>
      <c r="AA22" s="230">
        <v>719.28</v>
      </c>
      <c r="AB22" s="230">
        <v>466.83</v>
      </c>
      <c r="AE22">
        <v>326.77999999999997</v>
      </c>
    </row>
    <row r="23" spans="2:31">
      <c r="B23" s="98">
        <v>53</v>
      </c>
      <c r="C23" s="98">
        <v>164.2</v>
      </c>
      <c r="D23" s="98">
        <v>710.5</v>
      </c>
      <c r="E23" s="98">
        <v>238.7</v>
      </c>
      <c r="F23" s="98">
        <v>240.2</v>
      </c>
      <c r="G23" s="98">
        <v>205.6</v>
      </c>
      <c r="H23" s="98">
        <v>161.30000000000001</v>
      </c>
      <c r="I23" s="98">
        <v>193.8</v>
      </c>
      <c r="J23" s="98">
        <v>233.7</v>
      </c>
      <c r="K23" s="208">
        <v>178.5</v>
      </c>
      <c r="L23" s="208">
        <v>180.98</v>
      </c>
      <c r="M23" s="208">
        <v>248.56000000000003</v>
      </c>
      <c r="N23" s="98"/>
      <c r="O23" s="98"/>
      <c r="P23" s="98"/>
      <c r="Q23" s="208">
        <v>163.79999999999998</v>
      </c>
      <c r="R23" s="98">
        <v>208.34</v>
      </c>
      <c r="S23" s="98">
        <v>189.16</v>
      </c>
      <c r="T23" s="98">
        <v>274.33999999999992</v>
      </c>
      <c r="U23" s="98">
        <v>163.79999999999998</v>
      </c>
      <c r="V23" s="98">
        <v>541.28</v>
      </c>
      <c r="W23" s="98">
        <v>591.28</v>
      </c>
      <c r="X23" s="98"/>
      <c r="Y23" s="98"/>
      <c r="Z23" s="98"/>
      <c r="AA23" s="230">
        <v>718.92</v>
      </c>
      <c r="AB23" s="230">
        <v>466.1</v>
      </c>
      <c r="AE23">
        <v>326.27</v>
      </c>
    </row>
    <row r="24" spans="2:31">
      <c r="B24" s="98">
        <v>54</v>
      </c>
      <c r="C24" s="98">
        <v>163.6</v>
      </c>
      <c r="D24" s="98">
        <v>709.4</v>
      </c>
      <c r="E24" s="98">
        <v>238.2</v>
      </c>
      <c r="F24" s="98">
        <v>239.6</v>
      </c>
      <c r="G24" s="98">
        <v>205.1</v>
      </c>
      <c r="H24" s="98">
        <v>161</v>
      </c>
      <c r="I24" s="98">
        <v>193.4</v>
      </c>
      <c r="J24" s="98">
        <v>233.2</v>
      </c>
      <c r="K24" s="209">
        <v>178</v>
      </c>
      <c r="L24" s="209">
        <v>180.64</v>
      </c>
      <c r="M24" s="209">
        <v>248.08000000000004</v>
      </c>
      <c r="N24" s="98"/>
      <c r="O24" s="98"/>
      <c r="P24" s="98"/>
      <c r="Q24" s="208">
        <v>163.39999999999998</v>
      </c>
      <c r="R24" s="98">
        <v>208.12</v>
      </c>
      <c r="S24" s="98">
        <v>188.88</v>
      </c>
      <c r="T24" s="98">
        <v>274.11999999999989</v>
      </c>
      <c r="U24" s="98">
        <v>163.39999999999998</v>
      </c>
      <c r="V24" s="98">
        <v>541.04</v>
      </c>
      <c r="W24" s="98">
        <v>591.04</v>
      </c>
      <c r="X24" s="98"/>
      <c r="Y24" s="98"/>
      <c r="Z24" s="98"/>
      <c r="AA24" s="230">
        <v>718.56</v>
      </c>
      <c r="AB24" s="230">
        <v>465.37</v>
      </c>
      <c r="AE24">
        <v>325.76</v>
      </c>
    </row>
    <row r="25" spans="2:31">
      <c r="B25" s="98">
        <v>55</v>
      </c>
      <c r="C25" s="98">
        <v>163</v>
      </c>
      <c r="D25" s="98">
        <v>708.4</v>
      </c>
      <c r="E25" s="98">
        <v>237.7</v>
      </c>
      <c r="F25" s="98">
        <v>239</v>
      </c>
      <c r="G25" s="98">
        <v>204.7</v>
      </c>
      <c r="H25" s="98">
        <v>160.69999999999999</v>
      </c>
      <c r="I25" s="98">
        <v>193.1</v>
      </c>
      <c r="J25" s="98">
        <v>232.6</v>
      </c>
      <c r="K25" s="208">
        <v>177.5</v>
      </c>
      <c r="L25" s="208">
        <v>180.29999999999998</v>
      </c>
      <c r="M25" s="208">
        <v>247.60000000000005</v>
      </c>
      <c r="N25" s="98"/>
      <c r="O25" s="98"/>
      <c r="P25" s="98"/>
      <c r="Q25" s="208">
        <v>162.99999999999997</v>
      </c>
      <c r="R25" s="98">
        <v>207.9</v>
      </c>
      <c r="S25" s="98">
        <v>188.6</v>
      </c>
      <c r="T25" s="98">
        <v>273.89999999999986</v>
      </c>
      <c r="U25" s="98">
        <v>162.99999999999997</v>
      </c>
      <c r="V25" s="98">
        <v>540.79999999999995</v>
      </c>
      <c r="W25" s="98">
        <v>590.79999999999995</v>
      </c>
      <c r="X25" s="98"/>
      <c r="Y25" s="98"/>
      <c r="Z25" s="98"/>
      <c r="AA25" s="230">
        <v>718.19999999999993</v>
      </c>
      <c r="AB25" s="230">
        <v>464.63</v>
      </c>
      <c r="AE25">
        <v>325.24</v>
      </c>
    </row>
    <row r="26" spans="2:31">
      <c r="B26" s="98">
        <v>56</v>
      </c>
      <c r="C26" s="98">
        <v>162.4</v>
      </c>
      <c r="D26" s="98">
        <v>707.4</v>
      </c>
      <c r="E26" s="98">
        <v>237.2</v>
      </c>
      <c r="F26" s="98">
        <v>238.4</v>
      </c>
      <c r="G26" s="98">
        <v>204.2</v>
      </c>
      <c r="H26" s="98">
        <v>160.30000000000001</v>
      </c>
      <c r="I26" s="98">
        <v>192.7</v>
      </c>
      <c r="J26" s="98">
        <v>232</v>
      </c>
      <c r="K26" s="209">
        <v>177</v>
      </c>
      <c r="L26" s="209">
        <v>179.95999999999998</v>
      </c>
      <c r="M26" s="209">
        <v>247.12000000000006</v>
      </c>
      <c r="N26" s="98"/>
      <c r="O26" s="98"/>
      <c r="P26" s="98"/>
      <c r="Q26" s="208">
        <v>162.59999999999997</v>
      </c>
      <c r="R26" s="98">
        <v>207.68</v>
      </c>
      <c r="S26" s="98">
        <v>188.32</v>
      </c>
      <c r="T26" s="98">
        <v>273.67999999999984</v>
      </c>
      <c r="U26" s="98">
        <v>162.59999999999997</v>
      </c>
      <c r="V26" s="98">
        <v>540.55999999999995</v>
      </c>
      <c r="W26" s="98">
        <v>590.55999999999995</v>
      </c>
      <c r="X26" s="98"/>
      <c r="Y26" s="98"/>
      <c r="Z26" s="98"/>
      <c r="AA26" s="230">
        <v>717.83999999999992</v>
      </c>
      <c r="AB26" s="230">
        <v>463.9</v>
      </c>
      <c r="AE26">
        <v>324.73</v>
      </c>
    </row>
    <row r="27" spans="2:31">
      <c r="B27" s="98">
        <v>57</v>
      </c>
      <c r="C27" s="98">
        <v>161.80000000000001</v>
      </c>
      <c r="D27" s="98">
        <v>706.3</v>
      </c>
      <c r="E27" s="98">
        <v>236.7</v>
      </c>
      <c r="F27" s="98">
        <v>237.8</v>
      </c>
      <c r="G27" s="98">
        <v>203.7</v>
      </c>
      <c r="H27" s="98">
        <v>160</v>
      </c>
      <c r="I27" s="98">
        <v>192.3</v>
      </c>
      <c r="J27" s="98">
        <v>231.5</v>
      </c>
      <c r="K27" s="208">
        <v>176.5</v>
      </c>
      <c r="L27" s="208">
        <v>179.61999999999998</v>
      </c>
      <c r="M27" s="208">
        <v>246.64000000000007</v>
      </c>
      <c r="N27" s="98"/>
      <c r="O27" s="98"/>
      <c r="P27" s="98"/>
      <c r="Q27" s="208">
        <v>162.19999999999996</v>
      </c>
      <c r="R27" s="98">
        <v>207.46</v>
      </c>
      <c r="S27" s="98">
        <v>188.04</v>
      </c>
      <c r="T27" s="98">
        <v>273.45999999999981</v>
      </c>
      <c r="U27" s="98">
        <v>162.19999999999996</v>
      </c>
      <c r="V27" s="98">
        <v>540.31999999999994</v>
      </c>
      <c r="W27" s="98">
        <v>590.31999999999994</v>
      </c>
      <c r="X27" s="98"/>
      <c r="Y27" s="98"/>
      <c r="Z27" s="98"/>
      <c r="AA27" s="230">
        <v>717.4799999999999</v>
      </c>
      <c r="AB27" s="230">
        <v>463.17</v>
      </c>
      <c r="AE27">
        <v>324.22000000000003</v>
      </c>
    </row>
    <row r="28" spans="2:31">
      <c r="B28" s="98">
        <v>58</v>
      </c>
      <c r="C28" s="98">
        <v>161.19999999999999</v>
      </c>
      <c r="D28" s="98">
        <v>705.3</v>
      </c>
      <c r="E28" s="98">
        <v>236.3</v>
      </c>
      <c r="F28" s="98">
        <v>237.2</v>
      </c>
      <c r="G28" s="98">
        <v>203.3</v>
      </c>
      <c r="H28" s="98">
        <v>159.69999999999999</v>
      </c>
      <c r="I28" s="98">
        <v>192</v>
      </c>
      <c r="J28" s="98">
        <v>230.9</v>
      </c>
      <c r="K28" s="209">
        <v>176</v>
      </c>
      <c r="L28" s="209">
        <v>179.27999999999997</v>
      </c>
      <c r="M28" s="209">
        <v>246.16000000000008</v>
      </c>
      <c r="N28" s="98"/>
      <c r="O28" s="98"/>
      <c r="P28" s="98"/>
      <c r="Q28" s="208">
        <v>161.79999999999995</v>
      </c>
      <c r="R28" s="98">
        <v>207.24</v>
      </c>
      <c r="S28" s="98">
        <v>187.76</v>
      </c>
      <c r="T28" s="98">
        <v>273.23999999999978</v>
      </c>
      <c r="U28" s="98">
        <v>161.79999999999995</v>
      </c>
      <c r="V28" s="98">
        <v>540.07999999999993</v>
      </c>
      <c r="W28" s="98">
        <v>590.07999999999993</v>
      </c>
      <c r="X28" s="98"/>
      <c r="Y28" s="98"/>
      <c r="Z28" s="98"/>
      <c r="AA28" s="230">
        <v>717.11999999999989</v>
      </c>
      <c r="AB28" s="230">
        <v>462.44</v>
      </c>
      <c r="AE28">
        <v>323.70999999999998</v>
      </c>
    </row>
    <row r="29" spans="2:31">
      <c r="B29" s="98">
        <v>59</v>
      </c>
      <c r="C29" s="98">
        <v>160.6</v>
      </c>
      <c r="D29" s="98">
        <v>704.2</v>
      </c>
      <c r="E29" s="98">
        <v>235.8</v>
      </c>
      <c r="F29" s="98">
        <v>236.6</v>
      </c>
      <c r="G29" s="98">
        <v>202.8</v>
      </c>
      <c r="H29" s="98">
        <v>159.30000000000001</v>
      </c>
      <c r="I29" s="98">
        <v>191.6</v>
      </c>
      <c r="J29" s="98">
        <v>230.4</v>
      </c>
      <c r="K29" s="208">
        <v>175.5</v>
      </c>
      <c r="L29" s="208">
        <v>178.93999999999997</v>
      </c>
      <c r="M29" s="208">
        <v>245.68000000000009</v>
      </c>
      <c r="N29" s="98"/>
      <c r="O29" s="98"/>
      <c r="P29" s="98"/>
      <c r="Q29" s="208">
        <v>161.39999999999995</v>
      </c>
      <c r="R29" s="98">
        <v>207.02</v>
      </c>
      <c r="S29" s="98">
        <v>187.48</v>
      </c>
      <c r="T29" s="98">
        <v>273.01999999999975</v>
      </c>
      <c r="U29" s="98">
        <v>161.39999999999995</v>
      </c>
      <c r="V29" s="98">
        <v>539.83999999999992</v>
      </c>
      <c r="W29" s="98">
        <v>589.83999999999992</v>
      </c>
      <c r="X29" s="98"/>
      <c r="Y29" s="98"/>
      <c r="Z29" s="98"/>
      <c r="AA29" s="230">
        <v>716.75999999999988</v>
      </c>
      <c r="AB29" s="230">
        <v>461.71</v>
      </c>
      <c r="AE29">
        <v>323.2</v>
      </c>
    </row>
    <row r="30" spans="2:31">
      <c r="B30" s="98">
        <v>60</v>
      </c>
      <c r="C30" s="98">
        <v>160</v>
      </c>
      <c r="D30" s="98">
        <v>703.2</v>
      </c>
      <c r="E30" s="98">
        <v>235.3</v>
      </c>
      <c r="F30" s="98">
        <v>236</v>
      </c>
      <c r="G30" s="98">
        <v>202.3</v>
      </c>
      <c r="H30" s="98">
        <v>159</v>
      </c>
      <c r="I30" s="98">
        <v>191.2</v>
      </c>
      <c r="J30" s="98">
        <v>229.8</v>
      </c>
      <c r="K30" s="209">
        <v>175</v>
      </c>
      <c r="L30" s="209">
        <v>178.59999999999997</v>
      </c>
      <c r="M30" s="209">
        <v>245.2000000000001</v>
      </c>
      <c r="N30" s="98"/>
      <c r="O30" s="98"/>
      <c r="P30" s="98"/>
      <c r="Q30" s="208">
        <v>160.99999999999994</v>
      </c>
      <c r="R30" s="98">
        <v>206.8</v>
      </c>
      <c r="S30" s="98">
        <v>187.2</v>
      </c>
      <c r="T30" s="98">
        <v>272.79999999999973</v>
      </c>
      <c r="U30" s="98">
        <v>160.99999999999994</v>
      </c>
      <c r="V30" s="98">
        <v>539.59999999999991</v>
      </c>
      <c r="W30" s="98">
        <v>589.59999999999991</v>
      </c>
      <c r="X30" s="98"/>
      <c r="Y30" s="98"/>
      <c r="Z30" s="98"/>
      <c r="AA30" s="230">
        <v>716.39999999999986</v>
      </c>
      <c r="AB30" s="230">
        <v>460.98</v>
      </c>
      <c r="AE30">
        <v>322.69</v>
      </c>
    </row>
    <row r="31" spans="2:31">
      <c r="B31" s="98">
        <v>61</v>
      </c>
      <c r="C31" s="98">
        <v>159.4</v>
      </c>
      <c r="D31" s="98">
        <v>702.2</v>
      </c>
      <c r="E31" s="98">
        <v>234.8</v>
      </c>
      <c r="F31" s="98">
        <v>235.4</v>
      </c>
      <c r="G31" s="98">
        <v>201.9</v>
      </c>
      <c r="H31" s="98">
        <v>158.69999999999999</v>
      </c>
      <c r="I31" s="98">
        <v>190.9</v>
      </c>
      <c r="J31" s="98">
        <v>229.2</v>
      </c>
      <c r="K31" s="208">
        <v>174.5</v>
      </c>
      <c r="L31" s="208">
        <v>178.25999999999996</v>
      </c>
      <c r="M31" s="208">
        <v>244.72000000000011</v>
      </c>
      <c r="N31" s="98"/>
      <c r="O31" s="98"/>
      <c r="P31" s="98"/>
      <c r="Q31" s="208">
        <v>160.59999999999994</v>
      </c>
      <c r="R31" s="98">
        <v>206.58</v>
      </c>
      <c r="S31" s="98">
        <v>186.92</v>
      </c>
      <c r="T31" s="98">
        <v>272.5799999999997</v>
      </c>
      <c r="U31" s="98">
        <v>160.59999999999994</v>
      </c>
      <c r="V31" s="98">
        <v>539.3599999999999</v>
      </c>
      <c r="W31" s="98">
        <v>589.3599999999999</v>
      </c>
      <c r="X31" s="98"/>
      <c r="Y31" s="98"/>
      <c r="Z31" s="98"/>
      <c r="AA31" s="230">
        <v>716.03999999999985</v>
      </c>
      <c r="AB31" s="230">
        <v>460.24</v>
      </c>
      <c r="AE31">
        <v>322.17</v>
      </c>
    </row>
    <row r="32" spans="2:31">
      <c r="B32" s="98">
        <v>62</v>
      </c>
      <c r="C32" s="98">
        <v>158.80000000000001</v>
      </c>
      <c r="D32" s="98">
        <v>701.1</v>
      </c>
      <c r="E32" s="98">
        <v>234.3</v>
      </c>
      <c r="F32" s="98">
        <v>234.8</v>
      </c>
      <c r="G32" s="98">
        <v>201.4</v>
      </c>
      <c r="H32" s="98">
        <v>158.30000000000001</v>
      </c>
      <c r="I32" s="98">
        <v>190.5</v>
      </c>
      <c r="J32" s="98">
        <v>228.7</v>
      </c>
      <c r="K32" s="209">
        <v>174</v>
      </c>
      <c r="L32" s="209">
        <v>177.91999999999996</v>
      </c>
      <c r="M32" s="209">
        <v>244.24000000000012</v>
      </c>
      <c r="N32" s="98"/>
      <c r="O32" s="98"/>
      <c r="P32" s="98"/>
      <c r="Q32" s="208">
        <v>160.19999999999993</v>
      </c>
      <c r="R32" s="98">
        <v>206.36</v>
      </c>
      <c r="S32" s="98">
        <v>186.64</v>
      </c>
      <c r="T32" s="98">
        <v>272.35999999999967</v>
      </c>
      <c r="U32" s="98">
        <v>160.19999999999993</v>
      </c>
      <c r="V32" s="98">
        <v>539.11999999999989</v>
      </c>
      <c r="W32" s="98">
        <v>589.11999999999989</v>
      </c>
      <c r="X32" s="98"/>
      <c r="Y32" s="98"/>
      <c r="Z32" s="98"/>
      <c r="AA32" s="230">
        <v>715.67999999999984</v>
      </c>
      <c r="AB32" s="230">
        <v>459.51</v>
      </c>
      <c r="AE32">
        <v>321.66000000000003</v>
      </c>
    </row>
    <row r="33" spans="2:31">
      <c r="B33" s="98">
        <v>63</v>
      </c>
      <c r="C33" s="98">
        <v>158.19999999999999</v>
      </c>
      <c r="D33" s="98">
        <v>700.1</v>
      </c>
      <c r="E33" s="98">
        <v>233.8</v>
      </c>
      <c r="F33" s="98">
        <v>234.2</v>
      </c>
      <c r="G33" s="98">
        <v>200.9</v>
      </c>
      <c r="H33" s="98">
        <v>158</v>
      </c>
      <c r="I33" s="98">
        <v>190.1</v>
      </c>
      <c r="J33" s="98">
        <v>228.1</v>
      </c>
      <c r="K33" s="208">
        <v>173.5</v>
      </c>
      <c r="L33" s="208">
        <v>177.57999999999996</v>
      </c>
      <c r="M33" s="208">
        <v>243.76000000000013</v>
      </c>
      <c r="N33" s="98"/>
      <c r="O33" s="98"/>
      <c r="P33" s="98"/>
      <c r="Q33" s="208">
        <v>159.79999999999993</v>
      </c>
      <c r="R33" s="98">
        <v>206.14000000000001</v>
      </c>
      <c r="S33" s="98">
        <v>186.35999999999999</v>
      </c>
      <c r="T33" s="98">
        <v>272.13999999999965</v>
      </c>
      <c r="U33" s="98">
        <v>159.79999999999993</v>
      </c>
      <c r="V33" s="98">
        <v>538.87999999999988</v>
      </c>
      <c r="W33" s="98">
        <v>588.87999999999988</v>
      </c>
      <c r="X33" s="98"/>
      <c r="Y33" s="98"/>
      <c r="Z33" s="98"/>
      <c r="AA33" s="230">
        <v>715.31999999999982</v>
      </c>
      <c r="AB33" s="230">
        <v>458.78</v>
      </c>
      <c r="AE33">
        <v>321.14999999999998</v>
      </c>
    </row>
    <row r="34" spans="2:31">
      <c r="B34" s="98">
        <v>64</v>
      </c>
      <c r="C34" s="98">
        <v>157.6</v>
      </c>
      <c r="D34" s="98">
        <v>699</v>
      </c>
      <c r="E34" s="98">
        <v>233.3</v>
      </c>
      <c r="F34" s="98">
        <v>233.6</v>
      </c>
      <c r="G34" s="98">
        <v>200.5</v>
      </c>
      <c r="H34" s="98">
        <v>157.69999999999999</v>
      </c>
      <c r="I34" s="98">
        <v>189.7</v>
      </c>
      <c r="J34" s="98">
        <v>227.6</v>
      </c>
      <c r="K34" s="209">
        <v>173</v>
      </c>
      <c r="L34" s="209">
        <v>177.23999999999995</v>
      </c>
      <c r="M34" s="209">
        <v>243.28000000000014</v>
      </c>
      <c r="N34" s="98"/>
      <c r="O34" s="98"/>
      <c r="P34" s="98"/>
      <c r="Q34" s="208">
        <v>159.39999999999992</v>
      </c>
      <c r="R34" s="98">
        <v>205.92000000000002</v>
      </c>
      <c r="S34" s="98">
        <v>186.07999999999998</v>
      </c>
      <c r="T34" s="98">
        <v>271.91999999999962</v>
      </c>
      <c r="U34" s="98">
        <v>159.39999999999992</v>
      </c>
      <c r="V34" s="98">
        <v>538.63999999999987</v>
      </c>
      <c r="W34" s="98">
        <v>588.63999999999987</v>
      </c>
      <c r="X34" s="98"/>
      <c r="Y34" s="98"/>
      <c r="Z34" s="98"/>
      <c r="AA34" s="230">
        <v>714.95999999999981</v>
      </c>
      <c r="AB34" s="230">
        <v>458.05</v>
      </c>
      <c r="AE34">
        <v>320.64</v>
      </c>
    </row>
    <row r="35" spans="2:31">
      <c r="B35" s="98">
        <v>65</v>
      </c>
      <c r="C35" s="98">
        <v>157</v>
      </c>
      <c r="D35" s="98">
        <v>698</v>
      </c>
      <c r="E35" s="98">
        <v>232.9</v>
      </c>
      <c r="F35" s="98">
        <v>233</v>
      </c>
      <c r="G35" s="98">
        <v>200</v>
      </c>
      <c r="H35" s="98">
        <v>157.30000000000001</v>
      </c>
      <c r="I35" s="98">
        <v>189.4</v>
      </c>
      <c r="J35" s="98">
        <v>227</v>
      </c>
      <c r="K35" s="208">
        <v>172.5</v>
      </c>
      <c r="L35" s="208">
        <v>176.89999999999995</v>
      </c>
      <c r="M35" s="208">
        <v>242.80000000000015</v>
      </c>
      <c r="N35" s="98"/>
      <c r="O35" s="98"/>
      <c r="P35" s="98"/>
      <c r="Q35" s="208">
        <v>158.99999999999991</v>
      </c>
      <c r="R35" s="98">
        <v>205.70000000000002</v>
      </c>
      <c r="S35" s="98">
        <v>185.79999999999998</v>
      </c>
      <c r="T35" s="98">
        <v>271.69999999999959</v>
      </c>
      <c r="U35" s="98">
        <v>158.99999999999991</v>
      </c>
      <c r="V35" s="98">
        <v>538.39999999999986</v>
      </c>
      <c r="W35" s="98">
        <v>588.39999999999986</v>
      </c>
      <c r="X35" s="98">
        <v>327.8</v>
      </c>
      <c r="Y35" s="98">
        <v>280</v>
      </c>
      <c r="Z35" s="98">
        <v>324.8</v>
      </c>
      <c r="AA35" s="230">
        <v>714.5999999999998</v>
      </c>
      <c r="AB35" s="230">
        <v>457.32</v>
      </c>
      <c r="AE35">
        <v>320.12</v>
      </c>
    </row>
    <row r="36" spans="2:31">
      <c r="B36" s="98">
        <v>66</v>
      </c>
      <c r="C36" s="98">
        <v>156.69999999999999</v>
      </c>
      <c r="D36" s="98">
        <v>697.2</v>
      </c>
      <c r="E36" s="98">
        <v>232.4</v>
      </c>
      <c r="F36" s="98">
        <v>232.8</v>
      </c>
      <c r="G36" s="98">
        <v>199.6</v>
      </c>
      <c r="H36" s="98">
        <v>157</v>
      </c>
      <c r="I36" s="98">
        <v>189</v>
      </c>
      <c r="J36" s="98">
        <v>226.8</v>
      </c>
      <c r="K36" s="209">
        <v>172</v>
      </c>
      <c r="L36" s="209">
        <v>176.55999999999995</v>
      </c>
      <c r="M36" s="209">
        <v>242.32000000000016</v>
      </c>
      <c r="N36" s="98"/>
      <c r="O36" s="98"/>
      <c r="P36" s="98"/>
      <c r="Q36" s="208">
        <v>158.59999999999991</v>
      </c>
      <c r="R36" s="98">
        <v>205.48000000000002</v>
      </c>
      <c r="S36" s="98">
        <v>185.51999999999998</v>
      </c>
      <c r="T36" s="98">
        <v>271.47999999999956</v>
      </c>
      <c r="U36" s="98">
        <v>158.59999999999991</v>
      </c>
      <c r="V36" s="98">
        <v>538.15999999999985</v>
      </c>
      <c r="W36" s="98">
        <v>588.15999999999985</v>
      </c>
      <c r="X36" s="98"/>
      <c r="Y36" s="98"/>
      <c r="Z36" s="98"/>
      <c r="AA36" s="230">
        <v>714.23999999999978</v>
      </c>
      <c r="AB36" s="230">
        <v>456.59</v>
      </c>
      <c r="AE36">
        <v>319.61</v>
      </c>
    </row>
    <row r="37" spans="2:31">
      <c r="B37" s="98">
        <v>67</v>
      </c>
      <c r="C37" s="98">
        <v>156.4</v>
      </c>
      <c r="D37" s="98">
        <v>696.5</v>
      </c>
      <c r="E37" s="98">
        <v>231.9</v>
      </c>
      <c r="F37" s="98">
        <v>232.7</v>
      </c>
      <c r="G37" s="98">
        <v>199.1</v>
      </c>
      <c r="H37" s="98">
        <v>156.69999999999999</v>
      </c>
      <c r="I37" s="98">
        <v>188.6</v>
      </c>
      <c r="J37" s="98">
        <v>226.6</v>
      </c>
      <c r="K37" s="208">
        <v>171.5</v>
      </c>
      <c r="L37" s="208">
        <v>176.21999999999994</v>
      </c>
      <c r="M37" s="208">
        <v>241.84000000000017</v>
      </c>
      <c r="N37" s="98"/>
      <c r="O37" s="98"/>
      <c r="P37" s="98"/>
      <c r="Q37" s="208">
        <v>158.1999999999999</v>
      </c>
      <c r="R37" s="98">
        <v>205.26000000000002</v>
      </c>
      <c r="S37" s="98">
        <v>185.23999999999998</v>
      </c>
      <c r="T37" s="98">
        <v>271.25999999999954</v>
      </c>
      <c r="U37" s="98">
        <v>158.1999999999999</v>
      </c>
      <c r="V37" s="98">
        <v>537.91999999999985</v>
      </c>
      <c r="W37" s="98">
        <v>587.91999999999985</v>
      </c>
      <c r="X37" s="98"/>
      <c r="Y37" s="98"/>
      <c r="Z37" s="98"/>
      <c r="AA37" s="230">
        <v>713.87999999999977</v>
      </c>
      <c r="AB37" s="230">
        <v>455.85</v>
      </c>
      <c r="AE37">
        <v>319.10000000000002</v>
      </c>
    </row>
    <row r="38" spans="2:31">
      <c r="B38" s="98">
        <v>68</v>
      </c>
      <c r="C38" s="98">
        <v>156.1</v>
      </c>
      <c r="D38" s="98">
        <v>695.7</v>
      </c>
      <c r="E38" s="98">
        <v>231.4</v>
      </c>
      <c r="F38" s="98">
        <v>232.5</v>
      </c>
      <c r="G38" s="98">
        <v>198.7</v>
      </c>
      <c r="H38" s="98">
        <v>156.30000000000001</v>
      </c>
      <c r="I38" s="98">
        <v>188.3</v>
      </c>
      <c r="J38" s="98">
        <v>226.4</v>
      </c>
      <c r="K38" s="209">
        <v>171</v>
      </c>
      <c r="L38" s="209">
        <v>175.87999999999994</v>
      </c>
      <c r="M38" s="209">
        <v>241.36000000000018</v>
      </c>
      <c r="N38" s="98"/>
      <c r="O38" s="98"/>
      <c r="P38" s="98"/>
      <c r="Q38" s="208">
        <v>157.7999999999999</v>
      </c>
      <c r="R38" s="98">
        <v>205.04000000000002</v>
      </c>
      <c r="S38" s="98">
        <v>184.95999999999998</v>
      </c>
      <c r="T38" s="98">
        <v>271.03999999999951</v>
      </c>
      <c r="U38" s="98">
        <v>157.7999999999999</v>
      </c>
      <c r="V38" s="98">
        <v>537.67999999999984</v>
      </c>
      <c r="W38" s="98">
        <v>587.67999999999984</v>
      </c>
      <c r="X38" s="98"/>
      <c r="Y38" s="98"/>
      <c r="Z38" s="98"/>
      <c r="AA38" s="230">
        <v>713.51999999999975</v>
      </c>
      <c r="AB38" s="230">
        <v>455.12</v>
      </c>
      <c r="AE38">
        <v>318.58</v>
      </c>
    </row>
    <row r="39" spans="2:31">
      <c r="B39" s="98">
        <v>69</v>
      </c>
      <c r="C39" s="98">
        <v>155.69999999999999</v>
      </c>
      <c r="D39" s="98">
        <v>694.9</v>
      </c>
      <c r="E39" s="98">
        <v>230.9</v>
      </c>
      <c r="F39" s="98">
        <v>232.3</v>
      </c>
      <c r="G39" s="98">
        <v>198.3</v>
      </c>
      <c r="H39" s="98">
        <v>156</v>
      </c>
      <c r="I39" s="98">
        <v>187.9</v>
      </c>
      <c r="J39" s="98">
        <v>226.2</v>
      </c>
      <c r="K39" s="208">
        <v>170.5</v>
      </c>
      <c r="L39" s="208">
        <v>175.53999999999994</v>
      </c>
      <c r="M39" s="208">
        <v>240.88000000000019</v>
      </c>
      <c r="N39" s="98"/>
      <c r="O39" s="98"/>
      <c r="P39" s="98"/>
      <c r="Q39" s="208">
        <v>157.39999999999989</v>
      </c>
      <c r="R39" s="98">
        <v>204.82000000000002</v>
      </c>
      <c r="S39" s="98">
        <v>184.67999999999998</v>
      </c>
      <c r="T39" s="98">
        <v>270.81999999999948</v>
      </c>
      <c r="U39" s="98">
        <v>157.39999999999989</v>
      </c>
      <c r="V39" s="98">
        <v>537.43999999999983</v>
      </c>
      <c r="W39" s="98">
        <v>587.43999999999983</v>
      </c>
      <c r="X39" s="98"/>
      <c r="Y39" s="98"/>
      <c r="Z39" s="98"/>
      <c r="AA39" s="230">
        <v>713.15999999999974</v>
      </c>
      <c r="AB39" s="230">
        <v>454.39</v>
      </c>
      <c r="AE39">
        <v>318.07</v>
      </c>
    </row>
    <row r="40" spans="2:31">
      <c r="B40" s="98">
        <v>70</v>
      </c>
      <c r="C40" s="98">
        <v>155.4</v>
      </c>
      <c r="D40" s="98">
        <v>694.1</v>
      </c>
      <c r="E40" s="98">
        <v>230.4</v>
      </c>
      <c r="F40" s="98">
        <v>232.1</v>
      </c>
      <c r="G40" s="98">
        <v>197.9</v>
      </c>
      <c r="H40" s="98">
        <v>155.69999999999999</v>
      </c>
      <c r="I40" s="98">
        <v>187.5</v>
      </c>
      <c r="J40" s="98">
        <v>226</v>
      </c>
      <c r="K40" s="209">
        <v>170</v>
      </c>
      <c r="L40" s="209">
        <v>175.19999999999993</v>
      </c>
      <c r="M40" s="209">
        <v>240.4000000000002</v>
      </c>
      <c r="N40" s="98">
        <v>199</v>
      </c>
      <c r="O40" s="98">
        <v>199</v>
      </c>
      <c r="P40" s="98"/>
      <c r="Q40" s="208">
        <v>156.99999999999989</v>
      </c>
      <c r="R40" s="98">
        <v>204.60000000000002</v>
      </c>
      <c r="S40" s="98">
        <v>184.39999999999998</v>
      </c>
      <c r="T40" s="98">
        <v>270.59999999999945</v>
      </c>
      <c r="U40" s="98">
        <v>156.99999999999989</v>
      </c>
      <c r="V40" s="98">
        <v>537.19999999999982</v>
      </c>
      <c r="W40" s="98">
        <v>587.19999999999982</v>
      </c>
      <c r="X40" s="98"/>
      <c r="Y40" s="98"/>
      <c r="Z40" s="98"/>
      <c r="AA40" s="230">
        <v>712.79999999999973</v>
      </c>
      <c r="AB40" s="230">
        <v>453.66</v>
      </c>
      <c r="AE40">
        <v>317.56</v>
      </c>
    </row>
    <row r="41" spans="2:31">
      <c r="B41" s="98">
        <v>71</v>
      </c>
      <c r="C41" s="98">
        <v>155.1</v>
      </c>
      <c r="D41" s="98">
        <v>693.4</v>
      </c>
      <c r="E41" s="98">
        <v>229.9</v>
      </c>
      <c r="F41" s="98">
        <v>232</v>
      </c>
      <c r="G41" s="98">
        <v>197.4</v>
      </c>
      <c r="H41" s="98">
        <v>155.30000000000001</v>
      </c>
      <c r="I41" s="98">
        <v>187.1</v>
      </c>
      <c r="J41" s="98">
        <v>225.8</v>
      </c>
      <c r="K41" s="208">
        <v>169.5</v>
      </c>
      <c r="L41" s="208">
        <v>174.85999999999993</v>
      </c>
      <c r="M41" s="208">
        <v>239.92000000000021</v>
      </c>
      <c r="N41" s="98"/>
      <c r="O41" s="98"/>
      <c r="P41" s="98"/>
      <c r="Q41" s="208">
        <v>156.59999999999988</v>
      </c>
      <c r="R41" s="98">
        <v>204.38000000000002</v>
      </c>
      <c r="S41" s="98">
        <v>184.11999999999998</v>
      </c>
      <c r="T41" s="98">
        <v>270.37999999999943</v>
      </c>
      <c r="U41" s="98">
        <v>156.59999999999988</v>
      </c>
      <c r="V41" s="98">
        <v>536.95999999999981</v>
      </c>
      <c r="W41" s="98">
        <v>586.95999999999981</v>
      </c>
      <c r="X41" s="98"/>
      <c r="Y41" s="98"/>
      <c r="Z41" s="98"/>
      <c r="AA41" s="230">
        <v>712.43999999999971</v>
      </c>
      <c r="AB41" s="230">
        <v>452.93</v>
      </c>
      <c r="AE41">
        <v>317.05</v>
      </c>
    </row>
    <row r="42" spans="2:31">
      <c r="B42" s="98">
        <v>72</v>
      </c>
      <c r="C42" s="98">
        <v>154.80000000000001</v>
      </c>
      <c r="D42" s="98">
        <v>692.6</v>
      </c>
      <c r="E42" s="98">
        <v>229.5</v>
      </c>
      <c r="F42" s="98">
        <v>231.8</v>
      </c>
      <c r="G42" s="98">
        <v>197</v>
      </c>
      <c r="H42" s="98">
        <v>155</v>
      </c>
      <c r="I42" s="98">
        <v>186.8</v>
      </c>
      <c r="J42" s="98">
        <v>225.6</v>
      </c>
      <c r="K42" s="209">
        <v>169</v>
      </c>
      <c r="L42" s="209">
        <v>174.51999999999992</v>
      </c>
      <c r="M42" s="209">
        <v>239.44000000000023</v>
      </c>
      <c r="N42" s="98"/>
      <c r="O42" s="98"/>
      <c r="P42" s="98"/>
      <c r="Q42" s="208">
        <v>156.19999999999987</v>
      </c>
      <c r="R42" s="98">
        <v>204.16000000000003</v>
      </c>
      <c r="S42" s="98">
        <v>183.83999999999997</v>
      </c>
      <c r="T42" s="98">
        <v>270.1599999999994</v>
      </c>
      <c r="U42" s="98">
        <v>156.19999999999987</v>
      </c>
      <c r="V42" s="98">
        <v>536.7199999999998</v>
      </c>
      <c r="W42" s="98">
        <v>586.7199999999998</v>
      </c>
      <c r="X42" s="98"/>
      <c r="Y42" s="98"/>
      <c r="Z42" s="98"/>
      <c r="AA42" s="230">
        <v>712.0799999999997</v>
      </c>
      <c r="AB42" s="230">
        <v>452.2</v>
      </c>
      <c r="AE42">
        <v>316.54000000000002</v>
      </c>
    </row>
    <row r="43" spans="2:31">
      <c r="B43" s="98">
        <v>73</v>
      </c>
      <c r="C43" s="98">
        <v>154.5</v>
      </c>
      <c r="D43" s="98">
        <v>691.8</v>
      </c>
      <c r="E43" s="98">
        <v>229</v>
      </c>
      <c r="F43" s="98">
        <v>231.6</v>
      </c>
      <c r="G43" s="98">
        <v>196.6</v>
      </c>
      <c r="H43" s="98">
        <v>154.69999999999999</v>
      </c>
      <c r="I43" s="98">
        <v>186.4</v>
      </c>
      <c r="J43" s="98">
        <v>225.4</v>
      </c>
      <c r="K43" s="208">
        <v>168.5</v>
      </c>
      <c r="L43" s="208">
        <v>174.17999999999992</v>
      </c>
      <c r="M43" s="208">
        <v>238.96000000000024</v>
      </c>
      <c r="N43" s="98"/>
      <c r="O43" s="98"/>
      <c r="P43" s="98"/>
      <c r="Q43" s="208">
        <v>155.79999999999987</v>
      </c>
      <c r="R43" s="98">
        <v>203.94000000000003</v>
      </c>
      <c r="S43" s="98">
        <v>183.55999999999997</v>
      </c>
      <c r="T43" s="98">
        <v>269.93999999999937</v>
      </c>
      <c r="U43" s="98">
        <v>155.79999999999987</v>
      </c>
      <c r="V43" s="98">
        <v>536.47999999999979</v>
      </c>
      <c r="W43" s="98">
        <v>586.47999999999979</v>
      </c>
      <c r="X43" s="98"/>
      <c r="Y43" s="98"/>
      <c r="Z43" s="98"/>
      <c r="AA43" s="230">
        <v>711.71999999999969</v>
      </c>
      <c r="AB43" s="230">
        <v>451.46</v>
      </c>
      <c r="AE43">
        <v>316.02</v>
      </c>
    </row>
    <row r="44" spans="2:31">
      <c r="B44" s="98">
        <v>74</v>
      </c>
      <c r="C44" s="98">
        <v>154.19999999999999</v>
      </c>
      <c r="D44" s="98">
        <v>691.1</v>
      </c>
      <c r="E44" s="98">
        <v>228.5</v>
      </c>
      <c r="F44" s="98">
        <v>231.5</v>
      </c>
      <c r="G44" s="98">
        <v>196.1</v>
      </c>
      <c r="H44" s="98">
        <v>154.30000000000001</v>
      </c>
      <c r="I44" s="98">
        <v>186</v>
      </c>
      <c r="J44" s="98">
        <v>225.2</v>
      </c>
      <c r="K44" s="209">
        <v>168</v>
      </c>
      <c r="L44" s="209">
        <v>173.83999999999992</v>
      </c>
      <c r="M44" s="209">
        <v>238.48000000000025</v>
      </c>
      <c r="N44" s="98"/>
      <c r="O44" s="98"/>
      <c r="P44" s="98"/>
      <c r="Q44" s="208">
        <v>155.39999999999986</v>
      </c>
      <c r="R44" s="98">
        <v>203.72000000000003</v>
      </c>
      <c r="S44" s="98">
        <v>183.27999999999997</v>
      </c>
      <c r="T44" s="98">
        <v>269.71999999999935</v>
      </c>
      <c r="U44" s="98">
        <v>155.39999999999986</v>
      </c>
      <c r="V44" s="98">
        <v>536.23999999999978</v>
      </c>
      <c r="W44" s="98">
        <v>586.23999999999978</v>
      </c>
      <c r="X44" s="98"/>
      <c r="Y44" s="98"/>
      <c r="Z44" s="98"/>
      <c r="AA44" s="230">
        <v>711.35999999999967</v>
      </c>
      <c r="AB44" s="230">
        <v>450.73</v>
      </c>
      <c r="AE44">
        <v>315.51</v>
      </c>
    </row>
    <row r="45" spans="2:31">
      <c r="B45" s="98">
        <v>75</v>
      </c>
      <c r="C45" s="98">
        <v>153.9</v>
      </c>
      <c r="D45" s="98">
        <v>690.3</v>
      </c>
      <c r="E45" s="98">
        <v>228</v>
      </c>
      <c r="F45" s="98">
        <v>231.3</v>
      </c>
      <c r="G45" s="98">
        <v>195.7</v>
      </c>
      <c r="H45" s="98">
        <v>154</v>
      </c>
      <c r="I45" s="98">
        <v>185.7</v>
      </c>
      <c r="J45" s="98">
        <v>225</v>
      </c>
      <c r="K45" s="208">
        <v>167.5</v>
      </c>
      <c r="L45" s="208">
        <v>173.49999999999991</v>
      </c>
      <c r="M45" s="208">
        <v>238.00000000000026</v>
      </c>
      <c r="N45" s="98"/>
      <c r="O45" s="98"/>
      <c r="P45" s="98"/>
      <c r="Q45" s="208">
        <v>154.99999999999986</v>
      </c>
      <c r="R45" s="98">
        <v>203.50000000000003</v>
      </c>
      <c r="S45" s="98">
        <v>182.99999999999997</v>
      </c>
      <c r="T45" s="98">
        <v>269.49999999999932</v>
      </c>
      <c r="U45" s="98">
        <v>154.99999999999986</v>
      </c>
      <c r="V45" s="98">
        <v>535.99999999999977</v>
      </c>
      <c r="W45" s="98">
        <v>585.99999999999977</v>
      </c>
      <c r="X45" s="98"/>
      <c r="Y45" s="98"/>
      <c r="Z45" s="98"/>
      <c r="AA45" s="230">
        <v>710.99999999999966</v>
      </c>
      <c r="AB45" s="230">
        <v>450</v>
      </c>
      <c r="AE45">
        <v>315</v>
      </c>
    </row>
    <row r="46" spans="2:31">
      <c r="B46" s="98">
        <v>76</v>
      </c>
      <c r="C46" s="98">
        <v>153.5</v>
      </c>
      <c r="D46" s="98">
        <v>689.5</v>
      </c>
      <c r="E46" s="98">
        <v>227.7</v>
      </c>
      <c r="F46" s="98">
        <v>231.1</v>
      </c>
      <c r="G46" s="98">
        <v>195.3</v>
      </c>
      <c r="H46" s="98">
        <v>153.69999999999999</v>
      </c>
      <c r="I46" s="98">
        <v>185.3</v>
      </c>
      <c r="J46" s="98">
        <v>224.8</v>
      </c>
      <c r="K46" s="209">
        <v>167</v>
      </c>
      <c r="L46" s="209">
        <v>173.15999999999991</v>
      </c>
      <c r="M46" s="209">
        <v>237.52000000000027</v>
      </c>
      <c r="N46" s="98"/>
      <c r="O46" s="98"/>
      <c r="P46" s="98"/>
      <c r="Q46" s="208">
        <v>154.59999999999985</v>
      </c>
      <c r="R46" s="98">
        <v>203.28000000000003</v>
      </c>
      <c r="S46" s="98">
        <v>182.71999999999997</v>
      </c>
      <c r="T46" s="98">
        <v>269.27999999999929</v>
      </c>
      <c r="U46" s="98">
        <v>154.59999999999985</v>
      </c>
      <c r="V46" s="98">
        <v>535.75999999999976</v>
      </c>
      <c r="W46" s="98">
        <v>585.75999999999976</v>
      </c>
      <c r="X46" s="98"/>
      <c r="Y46" s="98"/>
      <c r="Z46" s="98"/>
      <c r="AA46" s="230">
        <v>710.63999999999965</v>
      </c>
      <c r="AB46" s="230">
        <v>449.27</v>
      </c>
      <c r="AE46">
        <v>314.49</v>
      </c>
    </row>
    <row r="47" spans="2:31">
      <c r="B47" s="98">
        <v>77</v>
      </c>
      <c r="C47" s="98">
        <v>153.19999999999999</v>
      </c>
      <c r="D47" s="98">
        <v>688.7</v>
      </c>
      <c r="E47" s="98">
        <v>227.4</v>
      </c>
      <c r="F47" s="98">
        <v>230.9</v>
      </c>
      <c r="G47" s="98">
        <v>194.9</v>
      </c>
      <c r="H47" s="98">
        <v>153.30000000000001</v>
      </c>
      <c r="I47" s="98">
        <v>184.9</v>
      </c>
      <c r="J47" s="98">
        <v>224.6</v>
      </c>
      <c r="K47" s="208">
        <v>166.5</v>
      </c>
      <c r="L47" s="208">
        <v>172.81999999999991</v>
      </c>
      <c r="M47" s="208">
        <v>237.04000000000028</v>
      </c>
      <c r="N47" s="98"/>
      <c r="O47" s="98"/>
      <c r="P47" s="98"/>
      <c r="Q47" s="208">
        <v>154.19999999999985</v>
      </c>
      <c r="R47" s="98">
        <v>203.06000000000003</v>
      </c>
      <c r="S47" s="98">
        <v>182.43999999999997</v>
      </c>
      <c r="T47" s="98">
        <v>269.05999999999926</v>
      </c>
      <c r="U47" s="98">
        <v>154.19999999999985</v>
      </c>
      <c r="V47" s="98">
        <v>535.51999999999975</v>
      </c>
      <c r="W47" s="98">
        <v>585.51999999999975</v>
      </c>
      <c r="X47" s="98"/>
      <c r="Y47" s="98"/>
      <c r="Z47" s="98"/>
      <c r="AA47" s="230">
        <v>710.27999999999963</v>
      </c>
      <c r="AB47" s="230">
        <v>448.54</v>
      </c>
      <c r="AE47">
        <v>313.98</v>
      </c>
    </row>
    <row r="48" spans="2:31">
      <c r="B48" s="98">
        <v>78</v>
      </c>
      <c r="C48" s="98">
        <v>152.9</v>
      </c>
      <c r="D48" s="98">
        <v>688</v>
      </c>
      <c r="E48" s="98">
        <v>227</v>
      </c>
      <c r="F48" s="98">
        <v>230.8</v>
      </c>
      <c r="G48" s="98">
        <v>194.4</v>
      </c>
      <c r="H48" s="98">
        <v>153</v>
      </c>
      <c r="I48" s="98">
        <v>184.6</v>
      </c>
      <c r="J48" s="98">
        <v>224.4</v>
      </c>
      <c r="K48" s="209">
        <v>166</v>
      </c>
      <c r="L48" s="209">
        <v>172.4799999999999</v>
      </c>
      <c r="M48" s="209">
        <v>236.56000000000029</v>
      </c>
      <c r="N48" s="98"/>
      <c r="O48" s="98"/>
      <c r="P48" s="98"/>
      <c r="Q48" s="208">
        <v>153.79999999999984</v>
      </c>
      <c r="R48" s="98">
        <v>202.84000000000003</v>
      </c>
      <c r="S48" s="98">
        <v>182.15999999999997</v>
      </c>
      <c r="T48" s="98">
        <v>268.83999999999924</v>
      </c>
      <c r="U48" s="98">
        <v>153.79999999999984</v>
      </c>
      <c r="V48" s="98">
        <v>535.27999999999975</v>
      </c>
      <c r="W48" s="98">
        <v>585.27999999999975</v>
      </c>
      <c r="X48" s="98"/>
      <c r="Y48" s="98"/>
      <c r="Z48" s="98"/>
      <c r="AA48" s="230">
        <v>709.91999999999962</v>
      </c>
      <c r="AB48" s="230">
        <v>447.8</v>
      </c>
      <c r="AE48">
        <v>313.45999999999998</v>
      </c>
    </row>
    <row r="49" spans="2:31">
      <c r="B49" s="98">
        <v>79</v>
      </c>
      <c r="C49" s="98">
        <v>152.6</v>
      </c>
      <c r="D49" s="98">
        <v>687.2</v>
      </c>
      <c r="E49" s="98">
        <v>226.7</v>
      </c>
      <c r="F49" s="98">
        <v>230.6</v>
      </c>
      <c r="G49" s="98">
        <v>194</v>
      </c>
      <c r="H49" s="98">
        <v>152.69999999999999</v>
      </c>
      <c r="I49" s="98">
        <v>184.2</v>
      </c>
      <c r="J49" s="98">
        <v>224.2</v>
      </c>
      <c r="K49" s="208">
        <v>165.5</v>
      </c>
      <c r="L49" s="208">
        <v>172.1399999999999</v>
      </c>
      <c r="M49" s="208">
        <v>236.0800000000003</v>
      </c>
      <c r="N49" s="98"/>
      <c r="O49" s="98"/>
      <c r="P49" s="98"/>
      <c r="Q49" s="208">
        <v>153.39999999999984</v>
      </c>
      <c r="R49" s="98">
        <v>202.62000000000003</v>
      </c>
      <c r="S49" s="98">
        <v>181.87999999999997</v>
      </c>
      <c r="T49" s="98">
        <v>268.61999999999921</v>
      </c>
      <c r="U49" s="98">
        <v>153.39999999999984</v>
      </c>
      <c r="V49" s="98">
        <v>535.03999999999974</v>
      </c>
      <c r="W49" s="98">
        <v>585.03999999999974</v>
      </c>
      <c r="X49" s="98"/>
      <c r="Y49" s="98"/>
      <c r="Z49" s="98"/>
      <c r="AA49" s="230">
        <v>709.5599999999996</v>
      </c>
      <c r="AB49" s="230">
        <v>447.07</v>
      </c>
      <c r="AE49">
        <v>312.95</v>
      </c>
    </row>
    <row r="50" spans="2:31">
      <c r="B50" s="98">
        <v>80</v>
      </c>
      <c r="C50" s="98">
        <v>152.30000000000001</v>
      </c>
      <c r="D50" s="98">
        <v>686.4</v>
      </c>
      <c r="E50" s="98">
        <v>226.4</v>
      </c>
      <c r="F50" s="98">
        <v>230.4</v>
      </c>
      <c r="G50" s="98">
        <v>193.6</v>
      </c>
      <c r="H50" s="98">
        <v>152.30000000000001</v>
      </c>
      <c r="I50" s="98">
        <v>183.8</v>
      </c>
      <c r="J50" s="98">
        <v>224</v>
      </c>
      <c r="K50" s="209">
        <v>165</v>
      </c>
      <c r="L50" s="209">
        <v>171.7999999999999</v>
      </c>
      <c r="M50" s="209">
        <v>235.60000000000031</v>
      </c>
      <c r="N50" s="98">
        <v>195</v>
      </c>
      <c r="O50" s="98">
        <v>195</v>
      </c>
      <c r="P50" s="98"/>
      <c r="Q50" s="208">
        <v>152.99999999999983</v>
      </c>
      <c r="R50" s="98">
        <v>202.40000000000003</v>
      </c>
      <c r="S50" s="98">
        <v>181.59999999999997</v>
      </c>
      <c r="T50" s="98">
        <v>268.39999999999918</v>
      </c>
      <c r="U50" s="98">
        <v>152.99999999999983</v>
      </c>
      <c r="V50" s="98">
        <v>534.79999999999973</v>
      </c>
      <c r="W50" s="98">
        <v>584.79999999999973</v>
      </c>
      <c r="X50" s="98">
        <v>321.89999999999998</v>
      </c>
      <c r="Y50" s="98">
        <v>274.89999999999998</v>
      </c>
      <c r="Z50" s="98">
        <v>320.39999999999998</v>
      </c>
      <c r="AA50" s="230">
        <v>709.19999999999959</v>
      </c>
      <c r="AB50" s="230">
        <v>446.34</v>
      </c>
      <c r="AE50">
        <v>312.44</v>
      </c>
    </row>
    <row r="51" spans="2:31">
      <c r="B51" s="98">
        <v>81</v>
      </c>
      <c r="C51" s="98">
        <v>152</v>
      </c>
      <c r="D51" s="98">
        <v>685.7</v>
      </c>
      <c r="E51" s="98">
        <v>226.1</v>
      </c>
      <c r="F51" s="98">
        <v>230.3</v>
      </c>
      <c r="G51" s="98">
        <v>193.1</v>
      </c>
      <c r="H51" s="98">
        <v>152</v>
      </c>
      <c r="I51" s="98">
        <v>183.4</v>
      </c>
      <c r="J51" s="98">
        <v>223.8</v>
      </c>
      <c r="K51" s="208">
        <v>164.5</v>
      </c>
      <c r="L51" s="208">
        <v>171.45999999999989</v>
      </c>
      <c r="M51" s="208">
        <v>235.12000000000032</v>
      </c>
      <c r="N51" s="98"/>
      <c r="O51" s="98"/>
      <c r="P51" s="98"/>
      <c r="Q51" s="208">
        <v>152.59999999999982</v>
      </c>
      <c r="R51" s="98">
        <v>202.18000000000004</v>
      </c>
      <c r="S51" s="98">
        <v>181.31999999999996</v>
      </c>
      <c r="T51" s="98">
        <v>268.17999999999915</v>
      </c>
      <c r="U51" s="98">
        <v>152.59999999999982</v>
      </c>
      <c r="V51" s="98">
        <v>534.55999999999972</v>
      </c>
      <c r="W51" s="98">
        <v>584.55999999999972</v>
      </c>
      <c r="X51" s="98"/>
      <c r="Y51" s="98"/>
      <c r="Z51" s="98"/>
      <c r="AA51" s="230">
        <v>708.83999999999958</v>
      </c>
      <c r="AB51" s="230">
        <v>445.61</v>
      </c>
      <c r="AE51">
        <v>311.93</v>
      </c>
    </row>
    <row r="52" spans="2:31">
      <c r="B52" s="98">
        <v>82</v>
      </c>
      <c r="C52" s="98">
        <v>151.69999999999999</v>
      </c>
      <c r="D52" s="98">
        <v>684.9</v>
      </c>
      <c r="E52" s="98">
        <v>225.8</v>
      </c>
      <c r="F52" s="98">
        <v>230.1</v>
      </c>
      <c r="G52" s="98">
        <v>192.7</v>
      </c>
      <c r="H52" s="98">
        <v>151.69999999999999</v>
      </c>
      <c r="I52" s="98">
        <v>183.1</v>
      </c>
      <c r="J52" s="98">
        <v>223.6</v>
      </c>
      <c r="K52" s="209">
        <v>164</v>
      </c>
      <c r="L52" s="209">
        <v>171.11999999999989</v>
      </c>
      <c r="M52" s="209">
        <v>234.64000000000033</v>
      </c>
      <c r="N52" s="98"/>
      <c r="O52" s="98"/>
      <c r="P52" s="98"/>
      <c r="Q52" s="208">
        <v>152.19999999999982</v>
      </c>
      <c r="R52" s="98">
        <v>201.96000000000004</v>
      </c>
      <c r="S52" s="98">
        <v>181.03999999999996</v>
      </c>
      <c r="T52" s="98">
        <v>267.95999999999913</v>
      </c>
      <c r="U52" s="98">
        <v>152.19999999999982</v>
      </c>
      <c r="V52" s="98">
        <v>534.31999999999971</v>
      </c>
      <c r="W52" s="98">
        <v>584.31999999999971</v>
      </c>
      <c r="X52" s="98"/>
      <c r="Y52" s="98"/>
      <c r="Z52" s="98"/>
      <c r="AA52" s="230">
        <v>708.47999999999956</v>
      </c>
      <c r="AB52" s="230">
        <v>444.88</v>
      </c>
      <c r="AE52">
        <v>311.42</v>
      </c>
    </row>
    <row r="53" spans="2:31">
      <c r="B53" s="98">
        <v>83</v>
      </c>
      <c r="C53" s="98">
        <v>151.30000000000001</v>
      </c>
      <c r="D53" s="98">
        <v>684.1</v>
      </c>
      <c r="E53" s="98">
        <v>225.4</v>
      </c>
      <c r="F53" s="98">
        <v>229.9</v>
      </c>
      <c r="G53" s="98">
        <v>192.3</v>
      </c>
      <c r="H53" s="98">
        <v>151.30000000000001</v>
      </c>
      <c r="I53" s="98">
        <v>182.7</v>
      </c>
      <c r="J53" s="98">
        <v>223.4</v>
      </c>
      <c r="K53" s="208">
        <v>163.5</v>
      </c>
      <c r="L53" s="208">
        <v>170.77999999999989</v>
      </c>
      <c r="M53" s="208">
        <v>234.16000000000034</v>
      </c>
      <c r="N53" s="98"/>
      <c r="O53" s="98"/>
      <c r="P53" s="98"/>
      <c r="Q53" s="208">
        <v>151.79999999999981</v>
      </c>
      <c r="R53" s="98">
        <v>201.74000000000004</v>
      </c>
      <c r="S53" s="98">
        <v>180.75999999999996</v>
      </c>
      <c r="T53" s="98">
        <v>267.7399999999991</v>
      </c>
      <c r="U53" s="98">
        <v>151.79999999999981</v>
      </c>
      <c r="V53" s="98">
        <v>534.0799999999997</v>
      </c>
      <c r="W53" s="98">
        <v>584.0799999999997</v>
      </c>
      <c r="X53" s="98"/>
      <c r="Y53" s="98"/>
      <c r="Z53" s="98"/>
      <c r="AA53" s="230">
        <v>708.11999999999955</v>
      </c>
      <c r="AB53" s="230">
        <v>444.15</v>
      </c>
      <c r="AE53">
        <v>310.91000000000003</v>
      </c>
    </row>
    <row r="54" spans="2:31">
      <c r="B54" s="98">
        <v>84</v>
      </c>
      <c r="C54" s="98">
        <v>151</v>
      </c>
      <c r="D54" s="98">
        <v>683.3</v>
      </c>
      <c r="E54" s="98">
        <v>225.1</v>
      </c>
      <c r="F54" s="98">
        <v>229.7</v>
      </c>
      <c r="G54" s="98">
        <v>191.9</v>
      </c>
      <c r="H54" s="98">
        <v>151</v>
      </c>
      <c r="I54" s="98">
        <v>182.3</v>
      </c>
      <c r="J54" s="98">
        <v>223.2</v>
      </c>
      <c r="K54" s="209">
        <v>163</v>
      </c>
      <c r="L54" s="209">
        <v>170.43999999999988</v>
      </c>
      <c r="M54" s="209">
        <v>233.68000000000035</v>
      </c>
      <c r="N54" s="98"/>
      <c r="O54" s="98"/>
      <c r="P54" s="98"/>
      <c r="Q54" s="208">
        <v>151.39999999999981</v>
      </c>
      <c r="R54" s="98">
        <v>201.52000000000004</v>
      </c>
      <c r="S54" s="98">
        <v>180.47999999999996</v>
      </c>
      <c r="T54" s="98">
        <v>267.51999999999907</v>
      </c>
      <c r="U54" s="98">
        <v>151.39999999999981</v>
      </c>
      <c r="V54" s="98">
        <v>533.83999999999969</v>
      </c>
      <c r="W54" s="98">
        <v>583.83999999999969</v>
      </c>
      <c r="X54" s="98"/>
      <c r="Y54" s="98"/>
      <c r="Z54" s="98"/>
      <c r="AA54" s="230">
        <v>707.75999999999954</v>
      </c>
      <c r="AB54" s="230">
        <v>443.41</v>
      </c>
      <c r="AE54">
        <v>310.39</v>
      </c>
    </row>
    <row r="55" spans="2:31">
      <c r="B55" s="98">
        <v>85</v>
      </c>
      <c r="C55" s="98">
        <v>150.69999999999999</v>
      </c>
      <c r="D55" s="98">
        <v>682.6</v>
      </c>
      <c r="E55" s="98">
        <v>224.8</v>
      </c>
      <c r="F55" s="98">
        <v>229.6</v>
      </c>
      <c r="G55" s="98">
        <v>191.4</v>
      </c>
      <c r="H55" s="98">
        <v>150.69999999999999</v>
      </c>
      <c r="I55" s="98">
        <v>182</v>
      </c>
      <c r="J55" s="98">
        <v>223</v>
      </c>
      <c r="K55" s="208">
        <v>162.5</v>
      </c>
      <c r="L55" s="208">
        <v>170.09999999999988</v>
      </c>
      <c r="M55" s="208">
        <v>233.20000000000036</v>
      </c>
      <c r="N55" s="98"/>
      <c r="O55" s="98"/>
      <c r="P55" s="98"/>
      <c r="Q55" s="208">
        <v>150.9999999999998</v>
      </c>
      <c r="R55" s="98">
        <v>201.30000000000004</v>
      </c>
      <c r="S55" s="98">
        <v>180.19999999999996</v>
      </c>
      <c r="T55" s="98">
        <v>267.29999999999905</v>
      </c>
      <c r="U55" s="98">
        <v>150.9999999999998</v>
      </c>
      <c r="V55" s="98">
        <v>533.59999999999968</v>
      </c>
      <c r="W55" s="98">
        <v>583.59999999999968</v>
      </c>
      <c r="X55" s="98"/>
      <c r="Y55" s="98"/>
      <c r="Z55" s="98"/>
      <c r="AA55" s="230">
        <v>707.39999999999952</v>
      </c>
      <c r="AB55" s="230">
        <v>442.68</v>
      </c>
      <c r="AE55">
        <v>309.88</v>
      </c>
    </row>
    <row r="56" spans="2:31">
      <c r="B56" s="98">
        <v>86</v>
      </c>
      <c r="C56" s="98">
        <v>150.4</v>
      </c>
      <c r="D56" s="98">
        <v>681.8</v>
      </c>
      <c r="E56" s="98">
        <v>224.5</v>
      </c>
      <c r="F56" s="98">
        <v>229.4</v>
      </c>
      <c r="G56" s="98">
        <v>191</v>
      </c>
      <c r="H56" s="98">
        <v>150.30000000000001</v>
      </c>
      <c r="I56" s="98">
        <v>181.6</v>
      </c>
      <c r="J56" s="98">
        <v>222.8</v>
      </c>
      <c r="K56" s="209">
        <v>162</v>
      </c>
      <c r="L56" s="209">
        <v>169.75999999999988</v>
      </c>
      <c r="M56" s="209">
        <v>232.72000000000037</v>
      </c>
      <c r="N56" s="98"/>
      <c r="O56" s="98"/>
      <c r="P56" s="98"/>
      <c r="Q56" s="208">
        <v>150.5999999999998</v>
      </c>
      <c r="R56" s="98">
        <v>201.08000000000004</v>
      </c>
      <c r="S56" s="98">
        <v>179.91999999999996</v>
      </c>
      <c r="T56" s="98">
        <v>267.07999999999902</v>
      </c>
      <c r="U56" s="98">
        <v>150.5999999999998</v>
      </c>
      <c r="V56" s="98">
        <v>533.35999999999967</v>
      </c>
      <c r="W56" s="98">
        <v>583.35999999999967</v>
      </c>
      <c r="X56" s="98"/>
      <c r="Y56" s="98"/>
      <c r="Z56" s="98"/>
      <c r="AA56" s="230">
        <v>707.03999999999951</v>
      </c>
      <c r="AB56" s="230">
        <v>441.95</v>
      </c>
      <c r="AE56">
        <v>309.37</v>
      </c>
    </row>
    <row r="57" spans="2:31">
      <c r="B57" s="98">
        <v>87</v>
      </c>
      <c r="C57" s="98">
        <v>150.1</v>
      </c>
      <c r="D57" s="98">
        <v>681</v>
      </c>
      <c r="E57" s="98">
        <v>224.2</v>
      </c>
      <c r="F57" s="98">
        <v>229.2</v>
      </c>
      <c r="G57" s="98">
        <v>190.6</v>
      </c>
      <c r="H57" s="98">
        <v>150</v>
      </c>
      <c r="I57" s="98">
        <v>181.2</v>
      </c>
      <c r="J57" s="98">
        <v>222.6</v>
      </c>
      <c r="K57" s="208">
        <v>161.5</v>
      </c>
      <c r="L57" s="208">
        <v>169.41999999999987</v>
      </c>
      <c r="M57" s="208">
        <v>232.24000000000038</v>
      </c>
      <c r="N57" s="98"/>
      <c r="O57" s="98"/>
      <c r="P57" s="98"/>
      <c r="Q57" s="208">
        <v>150.19999999999979</v>
      </c>
      <c r="R57" s="98">
        <v>200.86000000000004</v>
      </c>
      <c r="S57" s="98">
        <v>179.63999999999996</v>
      </c>
      <c r="T57" s="98">
        <v>266.85999999999899</v>
      </c>
      <c r="U57" s="98">
        <v>150.19999999999979</v>
      </c>
      <c r="V57" s="98">
        <v>533.11999999999966</v>
      </c>
      <c r="W57" s="98">
        <v>583.11999999999966</v>
      </c>
      <c r="X57" s="98"/>
      <c r="Y57" s="98"/>
      <c r="Z57" s="98"/>
      <c r="AA57" s="230">
        <v>706.6799999999995</v>
      </c>
      <c r="AB57" s="230">
        <v>441.22</v>
      </c>
      <c r="AE57">
        <v>308.85000000000002</v>
      </c>
    </row>
    <row r="58" spans="2:31">
      <c r="B58" s="98">
        <v>88</v>
      </c>
      <c r="C58" s="98">
        <v>149.80000000000001</v>
      </c>
      <c r="D58" s="98">
        <v>680.3</v>
      </c>
      <c r="E58" s="98">
        <v>223.8</v>
      </c>
      <c r="F58" s="98">
        <v>229.1</v>
      </c>
      <c r="G58" s="98">
        <v>190.1</v>
      </c>
      <c r="H58" s="98">
        <v>149.69999999999999</v>
      </c>
      <c r="I58" s="98">
        <v>180.9</v>
      </c>
      <c r="J58" s="98">
        <v>222.4</v>
      </c>
      <c r="K58" s="209">
        <v>161</v>
      </c>
      <c r="L58" s="209">
        <v>169.07999999999987</v>
      </c>
      <c r="M58" s="209">
        <v>231.76000000000039</v>
      </c>
      <c r="N58" s="98"/>
      <c r="O58" s="98"/>
      <c r="P58" s="98"/>
      <c r="Q58" s="208">
        <v>149.79999999999978</v>
      </c>
      <c r="R58" s="98">
        <v>200.64000000000004</v>
      </c>
      <c r="S58" s="98">
        <v>179.35999999999996</v>
      </c>
      <c r="T58" s="98">
        <v>266.63999999999896</v>
      </c>
      <c r="U58" s="98">
        <v>149.79999999999978</v>
      </c>
      <c r="V58" s="98">
        <v>532.87999999999965</v>
      </c>
      <c r="W58" s="98">
        <v>582.87999999999965</v>
      </c>
      <c r="X58" s="98"/>
      <c r="Y58" s="98"/>
      <c r="Z58" s="98"/>
      <c r="AA58" s="230">
        <v>706.31999999999948</v>
      </c>
      <c r="AB58" s="230">
        <v>440.49</v>
      </c>
      <c r="AE58">
        <v>308.33999999999997</v>
      </c>
    </row>
    <row r="59" spans="2:31">
      <c r="B59" s="98">
        <v>89</v>
      </c>
      <c r="C59" s="98">
        <v>149.5</v>
      </c>
      <c r="D59" s="98">
        <v>679.5</v>
      </c>
      <c r="E59" s="98">
        <v>223.5</v>
      </c>
      <c r="F59" s="98">
        <v>228.9</v>
      </c>
      <c r="G59" s="98">
        <v>189.7</v>
      </c>
      <c r="H59" s="98">
        <v>149.30000000000001</v>
      </c>
      <c r="I59" s="98">
        <v>180.5</v>
      </c>
      <c r="J59" s="98">
        <v>222.2</v>
      </c>
      <c r="K59" s="208">
        <v>160.5</v>
      </c>
      <c r="L59" s="208">
        <v>168.73999999999987</v>
      </c>
      <c r="M59" s="208">
        <v>231.2800000000004</v>
      </c>
      <c r="N59" s="98"/>
      <c r="O59" s="98"/>
      <c r="P59" s="98"/>
      <c r="Q59" s="208">
        <v>149.39999999999978</v>
      </c>
      <c r="R59" s="98">
        <v>200.42000000000004</v>
      </c>
      <c r="S59" s="98">
        <v>179.07999999999996</v>
      </c>
      <c r="T59" s="98">
        <v>266.41999999999894</v>
      </c>
      <c r="U59" s="98">
        <v>149.39999999999978</v>
      </c>
      <c r="V59" s="98">
        <v>532.63999999999965</v>
      </c>
      <c r="W59" s="98">
        <v>582.63999999999965</v>
      </c>
      <c r="X59" s="98"/>
      <c r="Y59" s="98"/>
      <c r="Z59" s="98"/>
      <c r="AA59" s="230">
        <v>705.95999999999947</v>
      </c>
      <c r="AB59" s="230">
        <v>439.76</v>
      </c>
      <c r="AE59">
        <v>307.83</v>
      </c>
    </row>
    <row r="60" spans="2:31">
      <c r="B60" s="98">
        <v>90</v>
      </c>
      <c r="C60" s="98">
        <v>149.1</v>
      </c>
      <c r="D60" s="98">
        <v>678.7</v>
      </c>
      <c r="E60" s="98">
        <v>223.2</v>
      </c>
      <c r="F60" s="98">
        <v>228.7</v>
      </c>
      <c r="G60" s="98">
        <v>189.3</v>
      </c>
      <c r="H60" s="98">
        <v>149</v>
      </c>
      <c r="I60" s="98">
        <v>180.1</v>
      </c>
      <c r="J60" s="98">
        <v>222</v>
      </c>
      <c r="K60" s="209">
        <v>160</v>
      </c>
      <c r="L60" s="209">
        <v>168.39999999999986</v>
      </c>
      <c r="M60" s="209">
        <v>230.80000000000041</v>
      </c>
      <c r="N60" s="98"/>
      <c r="O60" s="98"/>
      <c r="P60" s="98"/>
      <c r="Q60" s="208">
        <v>148.99999999999977</v>
      </c>
      <c r="R60" s="98">
        <v>200.20000000000005</v>
      </c>
      <c r="S60" s="98">
        <v>178.79999999999995</v>
      </c>
      <c r="T60" s="98">
        <v>266.19999999999891</v>
      </c>
      <c r="U60" s="98">
        <v>148.99999999999977</v>
      </c>
      <c r="V60" s="98">
        <v>532.39999999999964</v>
      </c>
      <c r="W60" s="98">
        <v>582.39999999999964</v>
      </c>
      <c r="X60" s="98"/>
      <c r="Y60" s="98"/>
      <c r="Z60" s="98"/>
      <c r="AA60" s="230">
        <v>705.59999999999945</v>
      </c>
      <c r="AB60" s="230">
        <v>439.02</v>
      </c>
      <c r="AE60">
        <v>307.31</v>
      </c>
    </row>
    <row r="61" spans="2:31">
      <c r="B61" s="98">
        <v>91</v>
      </c>
      <c r="C61" s="98">
        <v>148.80000000000001</v>
      </c>
      <c r="D61" s="98">
        <v>677.9</v>
      </c>
      <c r="E61" s="98">
        <v>222.9</v>
      </c>
      <c r="F61" s="98">
        <v>228.5</v>
      </c>
      <c r="G61" s="98">
        <v>188.9</v>
      </c>
      <c r="H61" s="98">
        <v>148.69999999999999</v>
      </c>
      <c r="I61" s="98">
        <v>179.7</v>
      </c>
      <c r="J61" s="98">
        <v>221.8</v>
      </c>
      <c r="K61" s="208">
        <v>159.5</v>
      </c>
      <c r="L61" s="208">
        <v>168.05999999999986</v>
      </c>
      <c r="M61" s="208">
        <v>230.32000000000042</v>
      </c>
      <c r="N61" s="98"/>
      <c r="O61" s="98"/>
      <c r="P61" s="98"/>
      <c r="Q61" s="208">
        <v>148.59999999999977</v>
      </c>
      <c r="R61" s="98">
        <v>199.98000000000005</v>
      </c>
      <c r="S61" s="98">
        <v>178.51999999999995</v>
      </c>
      <c r="T61" s="98">
        <v>265.97999999999888</v>
      </c>
      <c r="U61" s="98">
        <v>148.59999999999977</v>
      </c>
      <c r="V61" s="98">
        <v>532.15999999999963</v>
      </c>
      <c r="W61" s="98">
        <v>582.15999999999963</v>
      </c>
      <c r="X61" s="98"/>
      <c r="Y61" s="98"/>
      <c r="Z61" s="98"/>
      <c r="AA61" s="230">
        <v>705.23999999999944</v>
      </c>
      <c r="AB61" s="230">
        <v>438.29</v>
      </c>
      <c r="AE61">
        <v>306.8</v>
      </c>
    </row>
    <row r="62" spans="2:31">
      <c r="B62" s="98">
        <v>92</v>
      </c>
      <c r="C62" s="98">
        <v>148.5</v>
      </c>
      <c r="D62" s="98">
        <v>677.2</v>
      </c>
      <c r="E62" s="98">
        <v>222.6</v>
      </c>
      <c r="F62" s="98">
        <v>228.4</v>
      </c>
      <c r="G62" s="98">
        <v>188.4</v>
      </c>
      <c r="H62" s="98">
        <v>148.30000000000001</v>
      </c>
      <c r="I62" s="98">
        <v>179.4</v>
      </c>
      <c r="J62" s="98">
        <v>221.6</v>
      </c>
      <c r="K62" s="209">
        <v>159</v>
      </c>
      <c r="L62" s="209">
        <v>167.71999999999986</v>
      </c>
      <c r="M62" s="209">
        <v>229.84000000000043</v>
      </c>
      <c r="N62" s="98"/>
      <c r="O62" s="98"/>
      <c r="P62" s="98"/>
      <c r="Q62" s="208">
        <v>148.19999999999976</v>
      </c>
      <c r="R62" s="98">
        <v>199.76000000000005</v>
      </c>
      <c r="S62" s="98">
        <v>178.23999999999995</v>
      </c>
      <c r="T62" s="98">
        <v>265.75999999999885</v>
      </c>
      <c r="U62" s="98">
        <v>148.19999999999976</v>
      </c>
      <c r="V62" s="98">
        <v>531.91999999999962</v>
      </c>
      <c r="W62" s="98">
        <v>581.91999999999962</v>
      </c>
      <c r="X62" s="98"/>
      <c r="Y62" s="98"/>
      <c r="Z62" s="98"/>
      <c r="AA62" s="230">
        <v>704.87999999999943</v>
      </c>
      <c r="AB62" s="230">
        <v>437.56</v>
      </c>
      <c r="AE62">
        <v>306.29000000000002</v>
      </c>
    </row>
    <row r="63" spans="2:31">
      <c r="B63" s="98">
        <v>93</v>
      </c>
      <c r="C63" s="98">
        <v>148.19999999999999</v>
      </c>
      <c r="D63" s="98">
        <v>676.4</v>
      </c>
      <c r="E63" s="98">
        <v>222.2</v>
      </c>
      <c r="F63" s="98">
        <v>228.2</v>
      </c>
      <c r="G63" s="98">
        <v>188</v>
      </c>
      <c r="H63" s="98">
        <v>148</v>
      </c>
      <c r="I63" s="98">
        <v>179</v>
      </c>
      <c r="J63" s="98">
        <v>221.4</v>
      </c>
      <c r="K63" s="208">
        <v>158.5</v>
      </c>
      <c r="L63" s="208">
        <v>167.37999999999985</v>
      </c>
      <c r="M63" s="208">
        <v>229.36000000000044</v>
      </c>
      <c r="N63" s="98"/>
      <c r="O63" s="98"/>
      <c r="P63" s="98"/>
      <c r="Q63" s="208">
        <v>147.79999999999976</v>
      </c>
      <c r="R63" s="98">
        <v>199.54000000000005</v>
      </c>
      <c r="S63" s="98">
        <v>177.95999999999995</v>
      </c>
      <c r="T63" s="98">
        <v>265.53999999999883</v>
      </c>
      <c r="U63" s="98">
        <v>147.79999999999976</v>
      </c>
      <c r="V63" s="98">
        <v>531.67999999999961</v>
      </c>
      <c r="W63" s="98">
        <v>581.67999999999961</v>
      </c>
      <c r="X63" s="98"/>
      <c r="Y63" s="98"/>
      <c r="Z63" s="98"/>
      <c r="AA63" s="230">
        <v>704.51999999999941</v>
      </c>
      <c r="AB63" s="230">
        <v>436.83</v>
      </c>
      <c r="AE63">
        <v>305.77999999999997</v>
      </c>
    </row>
    <row r="64" spans="2:31">
      <c r="B64" s="98">
        <v>94</v>
      </c>
      <c r="C64" s="98">
        <v>147.9</v>
      </c>
      <c r="D64" s="98">
        <v>675.6</v>
      </c>
      <c r="E64" s="98">
        <v>221.9</v>
      </c>
      <c r="F64" s="98">
        <v>228</v>
      </c>
      <c r="G64" s="98">
        <v>187.6</v>
      </c>
      <c r="H64" s="98">
        <v>147.69999999999999</v>
      </c>
      <c r="I64" s="98">
        <v>178.7</v>
      </c>
      <c r="J64" s="98">
        <v>221.2</v>
      </c>
      <c r="K64" s="209">
        <v>158</v>
      </c>
      <c r="L64" s="209">
        <v>167.03999999999985</v>
      </c>
      <c r="M64" s="209">
        <v>228.88000000000045</v>
      </c>
      <c r="N64" s="98"/>
      <c r="O64" s="98"/>
      <c r="P64" s="98"/>
      <c r="Q64" s="208">
        <v>147.39999999999975</v>
      </c>
      <c r="R64" s="98">
        <v>199.32000000000005</v>
      </c>
      <c r="S64" s="98">
        <v>177.67999999999995</v>
      </c>
      <c r="T64" s="98">
        <v>265.3199999999988</v>
      </c>
      <c r="U64" s="98">
        <v>147.39999999999975</v>
      </c>
      <c r="V64" s="98">
        <v>531.4399999999996</v>
      </c>
      <c r="W64" s="98">
        <v>581.4399999999996</v>
      </c>
      <c r="X64" s="98"/>
      <c r="Y64" s="98"/>
      <c r="Z64" s="98"/>
      <c r="AA64" s="230">
        <v>704.1599999999994</v>
      </c>
      <c r="AB64" s="230">
        <v>436.1</v>
      </c>
      <c r="AE64">
        <v>305.27</v>
      </c>
    </row>
    <row r="65" spans="2:31">
      <c r="B65" s="98">
        <v>95</v>
      </c>
      <c r="C65" s="98">
        <v>147.6</v>
      </c>
      <c r="D65" s="98">
        <v>674.9</v>
      </c>
      <c r="E65" s="98">
        <v>221.6</v>
      </c>
      <c r="F65" s="98">
        <v>227.9</v>
      </c>
      <c r="G65" s="98">
        <v>187.1</v>
      </c>
      <c r="H65" s="98">
        <v>147.4</v>
      </c>
      <c r="I65" s="98">
        <v>178.4</v>
      </c>
      <c r="J65" s="98">
        <v>221</v>
      </c>
      <c r="K65" s="208">
        <v>157.5</v>
      </c>
      <c r="L65" s="208">
        <v>166.69999999999985</v>
      </c>
      <c r="M65" s="208">
        <v>228.40000000000046</v>
      </c>
      <c r="N65" s="98"/>
      <c r="O65" s="98"/>
      <c r="P65" s="98"/>
      <c r="Q65" s="208">
        <v>146.99999999999974</v>
      </c>
      <c r="R65" s="98">
        <v>199.10000000000005</v>
      </c>
      <c r="S65" s="98">
        <v>177.39999999999995</v>
      </c>
      <c r="T65" s="98">
        <v>265.09999999999877</v>
      </c>
      <c r="U65" s="98">
        <v>146.99999999999974</v>
      </c>
      <c r="V65" s="98">
        <v>531.19999999999959</v>
      </c>
      <c r="W65" s="98">
        <v>581.19999999999959</v>
      </c>
      <c r="X65" s="98"/>
      <c r="Y65" s="98"/>
      <c r="Z65" s="98"/>
      <c r="AA65" s="230">
        <v>703.79999999999939</v>
      </c>
      <c r="AB65" s="230">
        <v>435.37</v>
      </c>
      <c r="AE65">
        <v>304.76</v>
      </c>
    </row>
    <row r="66" spans="2:31">
      <c r="B66" s="98">
        <v>96</v>
      </c>
      <c r="C66" s="98">
        <v>147.30000000000001</v>
      </c>
      <c r="D66" s="98">
        <v>674.1</v>
      </c>
      <c r="E66" s="98">
        <v>221.3</v>
      </c>
      <c r="F66" s="98">
        <v>227.7</v>
      </c>
      <c r="G66" s="98">
        <v>186.7</v>
      </c>
      <c r="H66" s="98">
        <v>147</v>
      </c>
      <c r="I66" s="98">
        <v>178</v>
      </c>
      <c r="J66" s="98">
        <v>220.8</v>
      </c>
      <c r="K66" s="209">
        <v>157</v>
      </c>
      <c r="L66" s="209">
        <v>166.35999999999984</v>
      </c>
      <c r="M66" s="209">
        <v>227.92000000000047</v>
      </c>
      <c r="N66" s="98"/>
      <c r="O66" s="98"/>
      <c r="P66" s="98"/>
      <c r="Q66" s="208">
        <v>146.59999999999974</v>
      </c>
      <c r="R66" s="98">
        <v>198.88000000000005</v>
      </c>
      <c r="S66" s="98">
        <v>177.11999999999995</v>
      </c>
      <c r="T66" s="98">
        <v>264.87999999999874</v>
      </c>
      <c r="U66" s="98">
        <v>146.59999999999974</v>
      </c>
      <c r="V66" s="98">
        <v>530.95999999999958</v>
      </c>
      <c r="W66" s="98">
        <v>580.95999999999958</v>
      </c>
      <c r="X66" s="98"/>
      <c r="Y66" s="98"/>
      <c r="Z66" s="98"/>
      <c r="AA66" s="230">
        <v>703.43999999999937</v>
      </c>
      <c r="AB66" s="230">
        <v>434.63</v>
      </c>
      <c r="AE66">
        <v>304.24</v>
      </c>
    </row>
    <row r="67" spans="2:31">
      <c r="B67" s="98">
        <v>97</v>
      </c>
      <c r="C67" s="98">
        <v>146.9</v>
      </c>
      <c r="D67" s="98">
        <v>673.3</v>
      </c>
      <c r="E67" s="98">
        <v>221</v>
      </c>
      <c r="F67" s="98">
        <v>227.5</v>
      </c>
      <c r="G67" s="98">
        <v>186.3</v>
      </c>
      <c r="H67" s="98">
        <v>146.69999999999999</v>
      </c>
      <c r="I67" s="98">
        <v>177.7</v>
      </c>
      <c r="J67" s="98">
        <v>220.6</v>
      </c>
      <c r="K67" s="208">
        <v>156.5</v>
      </c>
      <c r="L67" s="208">
        <v>166.01999999999984</v>
      </c>
      <c r="M67" s="208">
        <v>227.44000000000048</v>
      </c>
      <c r="N67" s="98"/>
      <c r="O67" s="98"/>
      <c r="P67" s="98"/>
      <c r="Q67" s="208">
        <v>146.19999999999973</v>
      </c>
      <c r="R67" s="98">
        <v>198.66000000000005</v>
      </c>
      <c r="S67" s="98">
        <v>176.83999999999995</v>
      </c>
      <c r="T67" s="98">
        <v>264.65999999999872</v>
      </c>
      <c r="U67" s="98">
        <v>146.19999999999973</v>
      </c>
      <c r="V67" s="98">
        <v>530.71999999999957</v>
      </c>
      <c r="W67" s="98">
        <v>580.71999999999957</v>
      </c>
      <c r="X67" s="98"/>
      <c r="Y67" s="98"/>
      <c r="Z67" s="98"/>
      <c r="AA67" s="230">
        <v>703.07999999999936</v>
      </c>
      <c r="AB67" s="230">
        <v>433.9</v>
      </c>
      <c r="AE67">
        <v>303.73</v>
      </c>
    </row>
    <row r="68" spans="2:31">
      <c r="B68" s="98">
        <v>98</v>
      </c>
      <c r="C68" s="98">
        <v>146.6</v>
      </c>
      <c r="D68" s="98">
        <v>672.5</v>
      </c>
      <c r="E68" s="98">
        <v>220.6</v>
      </c>
      <c r="F68" s="98">
        <v>227.3</v>
      </c>
      <c r="G68" s="98">
        <v>185.9</v>
      </c>
      <c r="H68" s="98">
        <v>146.4</v>
      </c>
      <c r="I68" s="98">
        <v>177.4</v>
      </c>
      <c r="J68" s="98">
        <v>220.4</v>
      </c>
      <c r="K68" s="209">
        <v>156</v>
      </c>
      <c r="L68" s="209">
        <v>165.67999999999984</v>
      </c>
      <c r="M68" s="209">
        <v>226.96000000000049</v>
      </c>
      <c r="N68" s="98"/>
      <c r="O68" s="98"/>
      <c r="P68" s="98"/>
      <c r="Q68" s="208">
        <v>145.79999999999973</v>
      </c>
      <c r="R68" s="98">
        <v>198.44000000000005</v>
      </c>
      <c r="S68" s="98">
        <v>176.55999999999995</v>
      </c>
      <c r="T68" s="98">
        <v>264.43999999999869</v>
      </c>
      <c r="U68" s="98">
        <v>145.79999999999973</v>
      </c>
      <c r="V68" s="98">
        <v>530.47999999999956</v>
      </c>
      <c r="W68" s="98">
        <v>580.47999999999956</v>
      </c>
      <c r="X68" s="98"/>
      <c r="Y68" s="98"/>
      <c r="Z68" s="98"/>
      <c r="AA68" s="230">
        <v>702.71999999999935</v>
      </c>
      <c r="AB68" s="230">
        <v>433.17</v>
      </c>
      <c r="AE68">
        <v>303.22000000000003</v>
      </c>
    </row>
    <row r="69" spans="2:31">
      <c r="B69" s="98">
        <v>99</v>
      </c>
      <c r="C69" s="98">
        <v>146.30000000000001</v>
      </c>
      <c r="D69" s="98">
        <v>671.8</v>
      </c>
      <c r="E69" s="98">
        <v>220.3</v>
      </c>
      <c r="F69" s="98">
        <v>227.2</v>
      </c>
      <c r="G69" s="98">
        <v>185.4</v>
      </c>
      <c r="H69" s="98">
        <v>146.1</v>
      </c>
      <c r="I69" s="98">
        <v>177.1</v>
      </c>
      <c r="J69" s="98">
        <v>220.2</v>
      </c>
      <c r="K69" s="208">
        <v>155.5</v>
      </c>
      <c r="L69" s="208">
        <v>165.33999999999983</v>
      </c>
      <c r="M69" s="208">
        <v>226.4800000000005</v>
      </c>
      <c r="N69" s="98"/>
      <c r="O69" s="98"/>
      <c r="P69" s="98"/>
      <c r="Q69" s="208">
        <v>145.39999999999972</v>
      </c>
      <c r="R69" s="98">
        <v>198.22000000000006</v>
      </c>
      <c r="S69" s="98">
        <v>176.27999999999994</v>
      </c>
      <c r="T69" s="98">
        <v>264.21999999999866</v>
      </c>
      <c r="U69" s="98">
        <v>145.39999999999972</v>
      </c>
      <c r="V69" s="98">
        <v>530.23999999999955</v>
      </c>
      <c r="W69" s="98">
        <v>580.23999999999955</v>
      </c>
      <c r="X69" s="98"/>
      <c r="Y69" s="98"/>
      <c r="Z69" s="98"/>
      <c r="AA69" s="230">
        <v>702.35999999999933</v>
      </c>
      <c r="AB69" s="230">
        <v>432.44</v>
      </c>
      <c r="AE69">
        <v>302.70999999999998</v>
      </c>
    </row>
    <row r="70" spans="2:31">
      <c r="B70" s="98">
        <v>100</v>
      </c>
      <c r="C70" s="98">
        <v>146</v>
      </c>
      <c r="D70" s="98">
        <v>671</v>
      </c>
      <c r="E70" s="98">
        <v>220</v>
      </c>
      <c r="F70" s="98">
        <v>227</v>
      </c>
      <c r="G70" s="98">
        <v>185</v>
      </c>
      <c r="H70" s="98">
        <v>145.80000000000001</v>
      </c>
      <c r="I70" s="98">
        <v>176.8</v>
      </c>
      <c r="J70" s="98">
        <v>220</v>
      </c>
      <c r="K70" s="209">
        <v>155</v>
      </c>
      <c r="L70" s="209">
        <v>165</v>
      </c>
      <c r="M70" s="209">
        <v>226</v>
      </c>
      <c r="N70" s="98">
        <v>180</v>
      </c>
      <c r="O70" s="98">
        <v>180</v>
      </c>
      <c r="P70" s="98">
        <v>380</v>
      </c>
      <c r="Q70" s="209">
        <v>145</v>
      </c>
      <c r="R70" s="98">
        <v>198</v>
      </c>
      <c r="S70" s="98">
        <v>176</v>
      </c>
      <c r="T70" s="98">
        <v>264</v>
      </c>
      <c r="U70" s="98">
        <v>145</v>
      </c>
      <c r="V70" s="98">
        <v>530</v>
      </c>
      <c r="W70" s="98">
        <v>580</v>
      </c>
      <c r="X70" s="98">
        <v>314</v>
      </c>
      <c r="Y70" s="98">
        <v>268</v>
      </c>
      <c r="Z70" s="98">
        <v>314</v>
      </c>
      <c r="AA70" s="230">
        <v>702</v>
      </c>
      <c r="AB70" s="230">
        <v>431.71</v>
      </c>
      <c r="AE70">
        <v>302.2</v>
      </c>
    </row>
    <row r="71" spans="2:31">
      <c r="B71" s="98">
        <v>101</v>
      </c>
      <c r="C71" s="98">
        <v>145.80000000000001</v>
      </c>
      <c r="D71" s="98">
        <v>670.5</v>
      </c>
      <c r="E71" s="98">
        <v>219.9</v>
      </c>
      <c r="F71" s="98">
        <v>226.8</v>
      </c>
      <c r="G71" s="98">
        <v>184.8</v>
      </c>
      <c r="H71" s="98">
        <v>145.4</v>
      </c>
      <c r="I71" s="98">
        <v>176.4</v>
      </c>
      <c r="J71" s="98">
        <v>219.9</v>
      </c>
      <c r="K71" s="208">
        <v>154.69999999999999</v>
      </c>
      <c r="L71" s="208">
        <v>164.7</v>
      </c>
      <c r="M71" s="208">
        <v>225.74</v>
      </c>
      <c r="N71" s="98"/>
      <c r="O71" s="98"/>
      <c r="P71" s="98"/>
      <c r="Q71" s="208">
        <v>144.69999999999999</v>
      </c>
      <c r="R71" s="98">
        <v>197.78</v>
      </c>
      <c r="S71" s="98">
        <v>175.82</v>
      </c>
      <c r="T71" s="98">
        <v>263.77999999999997</v>
      </c>
      <c r="U71" s="98">
        <v>144.69999999999999</v>
      </c>
      <c r="V71" s="98">
        <v>529.70000000000005</v>
      </c>
      <c r="W71" s="98">
        <v>579.79999999999995</v>
      </c>
      <c r="X71" s="98"/>
      <c r="Y71" s="98"/>
      <c r="Z71" s="98"/>
      <c r="AA71" s="230">
        <v>701.5</v>
      </c>
      <c r="AB71" s="230">
        <v>430.98</v>
      </c>
      <c r="AE71">
        <v>301.69</v>
      </c>
    </row>
    <row r="72" spans="2:31">
      <c r="B72" s="98">
        <v>102</v>
      </c>
      <c r="C72" s="98">
        <v>145.69999999999999</v>
      </c>
      <c r="D72" s="98">
        <v>670</v>
      </c>
      <c r="E72" s="98">
        <v>219.8</v>
      </c>
      <c r="F72" s="98">
        <v>226.7</v>
      </c>
      <c r="G72" s="98">
        <v>184.7</v>
      </c>
      <c r="H72" s="98">
        <v>145.1</v>
      </c>
      <c r="I72" s="98">
        <v>176.1</v>
      </c>
      <c r="J72" s="98">
        <v>219.8</v>
      </c>
      <c r="K72" s="209">
        <v>154.39999999999998</v>
      </c>
      <c r="L72" s="209">
        <v>164.39999999999998</v>
      </c>
      <c r="M72" s="209">
        <v>225.48000000000002</v>
      </c>
      <c r="N72" s="98"/>
      <c r="O72" s="98"/>
      <c r="P72" s="98"/>
      <c r="Q72" s="208">
        <v>144.39999999999998</v>
      </c>
      <c r="R72" s="98">
        <v>197.56</v>
      </c>
      <c r="S72" s="98">
        <v>175.64</v>
      </c>
      <c r="T72" s="98">
        <v>263.55999999999995</v>
      </c>
      <c r="U72" s="98">
        <v>144.39999999999998</v>
      </c>
      <c r="V72" s="98">
        <v>529.40000000000009</v>
      </c>
      <c r="W72" s="98">
        <v>579.59999999999991</v>
      </c>
      <c r="X72" s="98"/>
      <c r="Y72" s="98"/>
      <c r="Z72" s="98"/>
      <c r="AA72" s="230">
        <v>701</v>
      </c>
      <c r="AB72" s="230">
        <v>430.24</v>
      </c>
      <c r="AE72">
        <v>301.17</v>
      </c>
    </row>
    <row r="73" spans="2:31">
      <c r="B73" s="98">
        <v>103</v>
      </c>
      <c r="C73" s="98">
        <v>145.6</v>
      </c>
      <c r="D73" s="98">
        <v>669.5</v>
      </c>
      <c r="E73" s="98">
        <v>219.7</v>
      </c>
      <c r="F73" s="98">
        <v>226.6</v>
      </c>
      <c r="G73" s="98">
        <v>184.6</v>
      </c>
      <c r="H73" s="98">
        <v>144.80000000000001</v>
      </c>
      <c r="I73" s="98">
        <v>175.8</v>
      </c>
      <c r="J73" s="98">
        <v>219.6</v>
      </c>
      <c r="K73" s="208">
        <v>154.09999999999997</v>
      </c>
      <c r="L73" s="208">
        <v>164.09999999999997</v>
      </c>
      <c r="M73" s="208">
        <v>225.22000000000003</v>
      </c>
      <c r="N73" s="98"/>
      <c r="O73" s="98"/>
      <c r="P73" s="98"/>
      <c r="Q73" s="208">
        <v>144.09999999999997</v>
      </c>
      <c r="R73" s="98">
        <v>197.34</v>
      </c>
      <c r="S73" s="98">
        <v>175.45999999999998</v>
      </c>
      <c r="T73" s="98">
        <v>263.33999999999992</v>
      </c>
      <c r="U73" s="98">
        <v>144.09999999999997</v>
      </c>
      <c r="V73" s="98">
        <v>529.10000000000014</v>
      </c>
      <c r="W73" s="98">
        <v>579.39999999999986</v>
      </c>
      <c r="X73" s="98"/>
      <c r="Y73" s="98"/>
      <c r="Z73" s="98"/>
      <c r="AA73" s="230">
        <v>700.5</v>
      </c>
      <c r="AB73" s="230">
        <v>429.51</v>
      </c>
      <c r="AE73">
        <v>300.66000000000003</v>
      </c>
    </row>
    <row r="74" spans="2:31">
      <c r="B74" s="98">
        <v>104</v>
      </c>
      <c r="C74" s="98">
        <v>145.4</v>
      </c>
      <c r="D74" s="98">
        <v>669</v>
      </c>
      <c r="E74" s="98">
        <v>219.6</v>
      </c>
      <c r="F74" s="98">
        <v>226.4</v>
      </c>
      <c r="G74" s="98">
        <v>184.4</v>
      </c>
      <c r="H74" s="98">
        <v>144.5</v>
      </c>
      <c r="I74" s="98">
        <v>175.5</v>
      </c>
      <c r="J74" s="98">
        <v>219.5</v>
      </c>
      <c r="K74" s="209">
        <v>153.79999999999995</v>
      </c>
      <c r="L74" s="209">
        <v>163.79999999999995</v>
      </c>
      <c r="M74" s="209">
        <v>224.96000000000004</v>
      </c>
      <c r="N74" s="98"/>
      <c r="O74" s="98"/>
      <c r="P74" s="98"/>
      <c r="Q74" s="208">
        <v>143.79999999999995</v>
      </c>
      <c r="R74" s="98">
        <v>197.12</v>
      </c>
      <c r="S74" s="98">
        <v>175.27999999999997</v>
      </c>
      <c r="T74" s="98">
        <v>263.11999999999989</v>
      </c>
      <c r="U74" s="98">
        <v>143.79999999999995</v>
      </c>
      <c r="V74" s="98">
        <v>528.80000000000018</v>
      </c>
      <c r="W74" s="98">
        <v>579.19999999999982</v>
      </c>
      <c r="X74" s="98"/>
      <c r="Y74" s="98"/>
      <c r="Z74" s="98"/>
      <c r="AA74" s="230">
        <v>700</v>
      </c>
      <c r="AB74" s="230">
        <v>428.78</v>
      </c>
      <c r="AE74">
        <v>300.14999999999998</v>
      </c>
    </row>
    <row r="75" spans="2:31">
      <c r="B75" s="98">
        <v>105</v>
      </c>
      <c r="C75" s="98">
        <v>145.19999999999999</v>
      </c>
      <c r="D75" s="98">
        <v>668.5</v>
      </c>
      <c r="E75" s="98">
        <v>219.5</v>
      </c>
      <c r="F75" s="98">
        <v>226.2</v>
      </c>
      <c r="G75" s="98">
        <v>184.2</v>
      </c>
      <c r="H75" s="98">
        <v>144.1</v>
      </c>
      <c r="I75" s="98">
        <v>175.1</v>
      </c>
      <c r="J75" s="98">
        <v>219.4</v>
      </c>
      <c r="K75" s="208">
        <v>153.49999999999994</v>
      </c>
      <c r="L75" s="208">
        <v>163.49999999999994</v>
      </c>
      <c r="M75" s="208">
        <v>224.70000000000005</v>
      </c>
      <c r="N75" s="98"/>
      <c r="O75" s="98"/>
      <c r="P75" s="98"/>
      <c r="Q75" s="208">
        <v>143.49999999999994</v>
      </c>
      <c r="R75" s="98">
        <v>196.9</v>
      </c>
      <c r="S75" s="98">
        <v>175.09999999999997</v>
      </c>
      <c r="T75" s="98">
        <v>262.89999999999986</v>
      </c>
      <c r="U75" s="98">
        <v>143.49999999999994</v>
      </c>
      <c r="V75" s="98">
        <v>528.50000000000023</v>
      </c>
      <c r="W75" s="98">
        <v>578.99999999999977</v>
      </c>
      <c r="X75" s="98"/>
      <c r="Y75" s="98"/>
      <c r="Z75" s="98"/>
      <c r="AA75" s="230">
        <v>699.5</v>
      </c>
      <c r="AB75" s="230">
        <v>428.05</v>
      </c>
      <c r="AE75">
        <v>299.64</v>
      </c>
    </row>
    <row r="76" spans="2:31">
      <c r="B76" s="98">
        <v>106</v>
      </c>
      <c r="C76" s="98">
        <v>145.1</v>
      </c>
      <c r="D76" s="98">
        <v>668</v>
      </c>
      <c r="E76" s="98">
        <v>219.4</v>
      </c>
      <c r="F76" s="98">
        <v>226.1</v>
      </c>
      <c r="G76" s="98">
        <v>184.1</v>
      </c>
      <c r="H76" s="98">
        <v>143.80000000000001</v>
      </c>
      <c r="I76" s="98">
        <v>174.8</v>
      </c>
      <c r="J76" s="98">
        <v>219.3</v>
      </c>
      <c r="K76" s="209">
        <v>153.19999999999993</v>
      </c>
      <c r="L76" s="209">
        <v>163.19999999999993</v>
      </c>
      <c r="M76" s="209">
        <v>224.44000000000005</v>
      </c>
      <c r="N76" s="98"/>
      <c r="O76" s="98"/>
      <c r="P76" s="98"/>
      <c r="Q76" s="208">
        <v>143.19999999999993</v>
      </c>
      <c r="R76" s="98">
        <v>196.68</v>
      </c>
      <c r="S76" s="98">
        <v>174.91999999999996</v>
      </c>
      <c r="T76" s="98">
        <v>262.67999999999984</v>
      </c>
      <c r="U76" s="98">
        <v>143.19999999999993</v>
      </c>
      <c r="V76" s="98">
        <v>528.20000000000027</v>
      </c>
      <c r="W76" s="98">
        <v>578.79999999999973</v>
      </c>
      <c r="X76" s="98"/>
      <c r="Y76" s="98"/>
      <c r="Z76" s="98"/>
      <c r="AA76" s="230">
        <v>699</v>
      </c>
      <c r="AB76" s="230">
        <v>427.32</v>
      </c>
      <c r="AE76">
        <v>299.12</v>
      </c>
    </row>
    <row r="77" spans="2:31">
      <c r="B77" s="98">
        <v>107</v>
      </c>
      <c r="C77" s="98">
        <v>145</v>
      </c>
      <c r="D77" s="98">
        <v>667.5</v>
      </c>
      <c r="E77" s="98">
        <v>219.3</v>
      </c>
      <c r="F77" s="98">
        <v>226</v>
      </c>
      <c r="G77" s="98">
        <v>184</v>
      </c>
      <c r="H77" s="98">
        <v>143.5</v>
      </c>
      <c r="I77" s="98">
        <v>174.5</v>
      </c>
      <c r="J77" s="98">
        <v>219.2</v>
      </c>
      <c r="K77" s="208">
        <v>152.89999999999992</v>
      </c>
      <c r="L77" s="208">
        <v>162.89999999999992</v>
      </c>
      <c r="M77" s="208">
        <v>224.18000000000006</v>
      </c>
      <c r="N77" s="98"/>
      <c r="O77" s="98"/>
      <c r="P77" s="98"/>
      <c r="Q77" s="208">
        <v>142.89999999999992</v>
      </c>
      <c r="R77" s="98">
        <v>196.46</v>
      </c>
      <c r="S77" s="98">
        <v>174.73999999999995</v>
      </c>
      <c r="T77" s="98">
        <v>262.45999999999981</v>
      </c>
      <c r="U77" s="98">
        <v>142.89999999999992</v>
      </c>
      <c r="V77" s="98">
        <v>527.90000000000032</v>
      </c>
      <c r="W77" s="98">
        <v>578.59999999999968</v>
      </c>
      <c r="X77" s="98"/>
      <c r="Y77" s="98"/>
      <c r="Z77" s="98"/>
      <c r="AA77" s="230">
        <v>698.5</v>
      </c>
      <c r="AB77" s="230">
        <v>426.59</v>
      </c>
      <c r="AE77">
        <v>298.61</v>
      </c>
    </row>
    <row r="78" spans="2:31">
      <c r="B78" s="98">
        <v>108</v>
      </c>
      <c r="C78" s="98">
        <v>144.80000000000001</v>
      </c>
      <c r="D78" s="98">
        <v>667</v>
      </c>
      <c r="E78" s="98">
        <v>219.2</v>
      </c>
      <c r="F78" s="98">
        <v>225.8</v>
      </c>
      <c r="G78" s="98">
        <v>183.8</v>
      </c>
      <c r="H78" s="98">
        <v>143.19999999999999</v>
      </c>
      <c r="I78" s="98">
        <v>174.2</v>
      </c>
      <c r="J78" s="98">
        <v>219</v>
      </c>
      <c r="K78" s="209">
        <v>152.59999999999991</v>
      </c>
      <c r="L78" s="209">
        <v>162.59999999999991</v>
      </c>
      <c r="M78" s="209">
        <v>223.92000000000007</v>
      </c>
      <c r="N78" s="98"/>
      <c r="O78" s="98"/>
      <c r="P78" s="98"/>
      <c r="Q78" s="208">
        <v>142.59999999999991</v>
      </c>
      <c r="R78" s="98">
        <v>196.24</v>
      </c>
      <c r="S78" s="98">
        <v>174.55999999999995</v>
      </c>
      <c r="T78" s="98">
        <v>262.23999999999978</v>
      </c>
      <c r="U78" s="98">
        <v>142.59999999999991</v>
      </c>
      <c r="V78" s="98">
        <v>527.60000000000036</v>
      </c>
      <c r="W78" s="98">
        <v>578.39999999999964</v>
      </c>
      <c r="X78" s="98"/>
      <c r="Y78" s="98"/>
      <c r="Z78" s="98"/>
      <c r="AA78" s="230">
        <v>698</v>
      </c>
      <c r="AB78" s="230">
        <v>425.85</v>
      </c>
      <c r="AE78">
        <v>298.10000000000002</v>
      </c>
    </row>
    <row r="79" spans="2:31">
      <c r="B79" s="98">
        <v>109</v>
      </c>
      <c r="C79" s="98">
        <v>144.6</v>
      </c>
      <c r="D79" s="98">
        <v>666.5</v>
      </c>
      <c r="E79" s="98">
        <v>219.1</v>
      </c>
      <c r="F79" s="98">
        <v>225.6</v>
      </c>
      <c r="G79" s="98">
        <v>183.6</v>
      </c>
      <c r="H79" s="98">
        <v>142.9</v>
      </c>
      <c r="I79" s="98">
        <v>173.9</v>
      </c>
      <c r="J79" s="98">
        <v>218.9</v>
      </c>
      <c r="K79" s="208">
        <v>152.2999999999999</v>
      </c>
      <c r="L79" s="208">
        <v>162.2999999999999</v>
      </c>
      <c r="M79" s="208">
        <v>223.66000000000008</v>
      </c>
      <c r="N79" s="98"/>
      <c r="O79" s="98"/>
      <c r="P79" s="98"/>
      <c r="Q79" s="208">
        <v>142.2999999999999</v>
      </c>
      <c r="R79" s="98">
        <v>196.02</v>
      </c>
      <c r="S79" s="98">
        <v>174.37999999999994</v>
      </c>
      <c r="T79" s="98">
        <v>262.01999999999975</v>
      </c>
      <c r="U79" s="98">
        <v>142.2999999999999</v>
      </c>
      <c r="V79" s="98">
        <v>527.30000000000041</v>
      </c>
      <c r="W79" s="98">
        <v>578.19999999999959</v>
      </c>
      <c r="X79" s="98"/>
      <c r="Y79" s="98"/>
      <c r="Z79" s="98"/>
      <c r="AA79" s="230">
        <v>697.5</v>
      </c>
      <c r="AB79" s="230">
        <v>425.12</v>
      </c>
      <c r="AE79">
        <v>297.58</v>
      </c>
    </row>
    <row r="80" spans="2:31">
      <c r="B80" s="98">
        <v>110</v>
      </c>
      <c r="C80" s="98">
        <v>144.5</v>
      </c>
      <c r="D80" s="98">
        <v>666</v>
      </c>
      <c r="E80" s="98">
        <v>219</v>
      </c>
      <c r="F80" s="98">
        <v>225.5</v>
      </c>
      <c r="G80" s="98">
        <v>183.5</v>
      </c>
      <c r="H80" s="98">
        <v>142.5</v>
      </c>
      <c r="I80" s="98">
        <v>173.5</v>
      </c>
      <c r="J80" s="98">
        <v>218.8</v>
      </c>
      <c r="K80" s="209">
        <v>151.99999999999989</v>
      </c>
      <c r="L80" s="209">
        <v>161.99999999999989</v>
      </c>
      <c r="M80" s="209">
        <v>223.40000000000009</v>
      </c>
      <c r="N80" s="98">
        <v>172</v>
      </c>
      <c r="O80" s="98">
        <v>172</v>
      </c>
      <c r="P80" s="98"/>
      <c r="Q80" s="208">
        <v>141.99999999999989</v>
      </c>
      <c r="R80" s="98">
        <v>195.8</v>
      </c>
      <c r="S80" s="98">
        <v>174.19999999999993</v>
      </c>
      <c r="T80" s="98">
        <v>261.79999999999973</v>
      </c>
      <c r="U80" s="98">
        <v>141.99999999999989</v>
      </c>
      <c r="V80" s="98">
        <v>527.00000000000045</v>
      </c>
      <c r="W80" s="98">
        <v>577.99999999999955</v>
      </c>
      <c r="X80" s="98"/>
      <c r="Y80" s="98"/>
      <c r="Z80" s="98"/>
      <c r="AA80" s="230">
        <v>697</v>
      </c>
      <c r="AB80" s="230">
        <v>424.39</v>
      </c>
      <c r="AE80">
        <v>297.07</v>
      </c>
    </row>
    <row r="81" spans="2:31">
      <c r="B81" s="98">
        <v>111</v>
      </c>
      <c r="C81" s="98">
        <v>144.4</v>
      </c>
      <c r="D81" s="98">
        <v>665.5</v>
      </c>
      <c r="E81" s="98">
        <v>218.9</v>
      </c>
      <c r="F81" s="98">
        <v>225.4</v>
      </c>
      <c r="G81" s="98">
        <v>183.4</v>
      </c>
      <c r="H81" s="98">
        <v>142.19999999999999</v>
      </c>
      <c r="I81" s="98">
        <v>173.2</v>
      </c>
      <c r="J81" s="98">
        <v>218.7</v>
      </c>
      <c r="K81" s="208">
        <v>151.69999999999987</v>
      </c>
      <c r="L81" s="208">
        <v>161.69999999999987</v>
      </c>
      <c r="M81" s="208">
        <v>223.1400000000001</v>
      </c>
      <c r="N81" s="98"/>
      <c r="O81" s="98"/>
      <c r="P81" s="98"/>
      <c r="Q81" s="208">
        <v>141.69999999999987</v>
      </c>
      <c r="R81" s="98">
        <v>195.58</v>
      </c>
      <c r="S81" s="98">
        <v>174.01999999999992</v>
      </c>
      <c r="T81" s="98">
        <v>261.5799999999997</v>
      </c>
      <c r="U81" s="98">
        <v>141.69999999999987</v>
      </c>
      <c r="V81" s="98">
        <v>526.7000000000005</v>
      </c>
      <c r="W81" s="98">
        <v>577.7999999999995</v>
      </c>
      <c r="X81" s="98"/>
      <c r="Y81" s="98"/>
      <c r="Z81" s="98"/>
      <c r="AA81" s="230">
        <v>696.5</v>
      </c>
      <c r="AB81" s="230">
        <v>423.66</v>
      </c>
      <c r="AE81">
        <v>296.56</v>
      </c>
    </row>
    <row r="82" spans="2:31">
      <c r="B82" s="98">
        <v>112</v>
      </c>
      <c r="C82" s="98">
        <v>144.19999999999999</v>
      </c>
      <c r="D82" s="98">
        <v>665</v>
      </c>
      <c r="E82" s="98">
        <v>218.8</v>
      </c>
      <c r="F82" s="98">
        <v>225.2</v>
      </c>
      <c r="G82" s="98">
        <v>183.2</v>
      </c>
      <c r="H82" s="98">
        <v>141.9</v>
      </c>
      <c r="I82" s="98">
        <v>172.9</v>
      </c>
      <c r="J82" s="98">
        <v>218.6</v>
      </c>
      <c r="K82" s="209">
        <v>151.39999999999986</v>
      </c>
      <c r="L82" s="209">
        <v>161.39999999999986</v>
      </c>
      <c r="M82" s="209">
        <v>222.88000000000011</v>
      </c>
      <c r="N82" s="98"/>
      <c r="O82" s="98"/>
      <c r="P82" s="98"/>
      <c r="Q82" s="208">
        <v>141.39999999999986</v>
      </c>
      <c r="R82" s="98">
        <v>195.36</v>
      </c>
      <c r="S82" s="98">
        <v>173.83999999999992</v>
      </c>
      <c r="T82" s="98">
        <v>261.35999999999967</v>
      </c>
      <c r="U82" s="98">
        <v>141.39999999999986</v>
      </c>
      <c r="V82" s="98">
        <v>526.40000000000055</v>
      </c>
      <c r="W82" s="98">
        <v>577.59999999999945</v>
      </c>
      <c r="X82" s="98"/>
      <c r="Y82" s="98"/>
      <c r="Z82" s="98"/>
      <c r="AA82" s="230">
        <v>696</v>
      </c>
      <c r="AB82" s="230">
        <v>422.93</v>
      </c>
      <c r="AE82">
        <v>296.05</v>
      </c>
    </row>
    <row r="83" spans="2:31">
      <c r="B83" s="98">
        <v>113</v>
      </c>
      <c r="C83" s="98">
        <v>144</v>
      </c>
      <c r="D83" s="98">
        <v>664.5</v>
      </c>
      <c r="E83" s="98">
        <v>218.7</v>
      </c>
      <c r="F83" s="98">
        <v>225</v>
      </c>
      <c r="G83" s="98">
        <v>183</v>
      </c>
      <c r="H83" s="98">
        <v>141.6</v>
      </c>
      <c r="I83" s="98">
        <v>172.6</v>
      </c>
      <c r="J83" s="98">
        <v>218.4</v>
      </c>
      <c r="K83" s="208">
        <v>151.09999999999985</v>
      </c>
      <c r="L83" s="208">
        <v>161.09999999999985</v>
      </c>
      <c r="M83" s="208">
        <v>222.62000000000012</v>
      </c>
      <c r="N83" s="98"/>
      <c r="O83" s="98"/>
      <c r="P83" s="98"/>
      <c r="Q83" s="208">
        <v>141.09999999999985</v>
      </c>
      <c r="R83" s="98">
        <v>195.14000000000001</v>
      </c>
      <c r="S83" s="98">
        <v>173.65999999999991</v>
      </c>
      <c r="T83" s="98">
        <v>261.13999999999965</v>
      </c>
      <c r="U83" s="98">
        <v>141.09999999999985</v>
      </c>
      <c r="V83" s="98">
        <v>526.10000000000059</v>
      </c>
      <c r="W83" s="98">
        <v>577.39999999999941</v>
      </c>
      <c r="X83" s="98"/>
      <c r="Y83" s="98"/>
      <c r="Z83" s="98"/>
      <c r="AA83" s="230">
        <v>695.5</v>
      </c>
      <c r="AB83" s="230">
        <v>422.2</v>
      </c>
      <c r="AE83">
        <v>295.54000000000002</v>
      </c>
    </row>
    <row r="84" spans="2:31">
      <c r="B84" s="98">
        <v>114</v>
      </c>
      <c r="C84" s="98">
        <v>143.9</v>
      </c>
      <c r="D84" s="98">
        <v>664</v>
      </c>
      <c r="E84" s="98">
        <v>218.6</v>
      </c>
      <c r="F84" s="98">
        <v>224.9</v>
      </c>
      <c r="G84" s="98">
        <v>182.9</v>
      </c>
      <c r="H84" s="98">
        <v>141.19999999999999</v>
      </c>
      <c r="I84" s="98">
        <v>172.2</v>
      </c>
      <c r="J84" s="98">
        <v>218.3</v>
      </c>
      <c r="K84" s="209">
        <v>150.79999999999984</v>
      </c>
      <c r="L84" s="209">
        <v>160.79999999999984</v>
      </c>
      <c r="M84" s="209">
        <v>222.36000000000013</v>
      </c>
      <c r="N84" s="98"/>
      <c r="O84" s="98"/>
      <c r="P84" s="98"/>
      <c r="Q84" s="208">
        <v>140.79999999999984</v>
      </c>
      <c r="R84" s="98">
        <v>194.92000000000002</v>
      </c>
      <c r="S84" s="98">
        <v>173.4799999999999</v>
      </c>
      <c r="T84" s="98">
        <v>260.91999999999962</v>
      </c>
      <c r="U84" s="98">
        <v>140.79999999999984</v>
      </c>
      <c r="V84" s="98">
        <v>525.80000000000064</v>
      </c>
      <c r="W84" s="98">
        <v>577.19999999999936</v>
      </c>
      <c r="X84" s="98"/>
      <c r="Y84" s="98"/>
      <c r="Z84" s="98"/>
      <c r="AA84" s="230">
        <v>695</v>
      </c>
      <c r="AB84" s="230">
        <v>421.46</v>
      </c>
      <c r="AE84">
        <v>295.02</v>
      </c>
    </row>
    <row r="85" spans="2:31">
      <c r="B85" s="98">
        <v>115</v>
      </c>
      <c r="C85" s="98">
        <v>143.80000000000001</v>
      </c>
      <c r="D85" s="98">
        <v>663.5</v>
      </c>
      <c r="E85" s="98">
        <v>218.5</v>
      </c>
      <c r="F85" s="98">
        <v>224.8</v>
      </c>
      <c r="G85" s="98">
        <v>182.8</v>
      </c>
      <c r="H85" s="98">
        <v>140.9</v>
      </c>
      <c r="I85" s="98">
        <v>171.9</v>
      </c>
      <c r="J85" s="98">
        <v>218.2</v>
      </c>
      <c r="K85" s="208">
        <v>150.49999999999983</v>
      </c>
      <c r="L85" s="208">
        <v>160.49999999999983</v>
      </c>
      <c r="M85" s="208">
        <v>222.10000000000014</v>
      </c>
      <c r="N85" s="98"/>
      <c r="O85" s="98"/>
      <c r="P85" s="98"/>
      <c r="Q85" s="208">
        <v>140.49999999999983</v>
      </c>
      <c r="R85" s="98">
        <v>194.70000000000002</v>
      </c>
      <c r="S85" s="98">
        <v>173.2999999999999</v>
      </c>
      <c r="T85" s="98">
        <v>260.69999999999959</v>
      </c>
      <c r="U85" s="98">
        <v>140.49999999999983</v>
      </c>
      <c r="V85" s="98">
        <v>525.50000000000068</v>
      </c>
      <c r="W85" s="98">
        <v>576.99999999999932</v>
      </c>
      <c r="X85" s="98"/>
      <c r="Y85" s="98"/>
      <c r="Z85" s="98"/>
      <c r="AA85" s="230">
        <v>694.5</v>
      </c>
      <c r="AB85" s="230">
        <v>420.73</v>
      </c>
      <c r="AE85">
        <v>294.51</v>
      </c>
    </row>
    <row r="86" spans="2:31">
      <c r="B86" s="98">
        <v>116</v>
      </c>
      <c r="C86" s="98">
        <v>143.6</v>
      </c>
      <c r="D86" s="98">
        <v>663</v>
      </c>
      <c r="E86" s="98">
        <v>218.4</v>
      </c>
      <c r="F86" s="98">
        <v>224.6</v>
      </c>
      <c r="G86" s="98">
        <v>182.6</v>
      </c>
      <c r="H86" s="98">
        <v>140.6</v>
      </c>
      <c r="I86" s="98">
        <v>171.6</v>
      </c>
      <c r="J86" s="98">
        <v>218.1</v>
      </c>
      <c r="K86" s="209">
        <v>150.19999999999982</v>
      </c>
      <c r="L86" s="209">
        <v>160.19999999999982</v>
      </c>
      <c r="M86" s="209">
        <v>221.84000000000015</v>
      </c>
      <c r="N86" s="98"/>
      <c r="O86" s="98"/>
      <c r="P86" s="98"/>
      <c r="Q86" s="208">
        <v>140.19999999999982</v>
      </c>
      <c r="R86" s="98">
        <v>194.48000000000002</v>
      </c>
      <c r="S86" s="98">
        <v>173.11999999999989</v>
      </c>
      <c r="T86" s="98">
        <v>260.47999999999956</v>
      </c>
      <c r="U86" s="98">
        <v>140.19999999999982</v>
      </c>
      <c r="V86" s="98">
        <v>525.20000000000073</v>
      </c>
      <c r="W86" s="98">
        <v>576.79999999999927</v>
      </c>
      <c r="X86" s="98"/>
      <c r="Y86" s="98"/>
      <c r="Z86" s="98"/>
      <c r="AA86" s="230">
        <v>694</v>
      </c>
      <c r="AB86" s="230">
        <v>420</v>
      </c>
      <c r="AE86">
        <v>294</v>
      </c>
    </row>
    <row r="87" spans="2:31">
      <c r="B87" s="98">
        <v>117</v>
      </c>
      <c r="C87" s="98">
        <v>143.4</v>
      </c>
      <c r="D87" s="98">
        <v>662.5</v>
      </c>
      <c r="E87" s="98">
        <v>218.3</v>
      </c>
      <c r="F87" s="98">
        <v>224.4</v>
      </c>
      <c r="G87" s="98">
        <v>182.4</v>
      </c>
      <c r="H87" s="98">
        <v>140.30000000000001</v>
      </c>
      <c r="I87" s="98">
        <v>171.3</v>
      </c>
      <c r="J87" s="98">
        <v>218</v>
      </c>
      <c r="K87" s="208">
        <v>149.89999999999981</v>
      </c>
      <c r="L87" s="208">
        <v>159.89999999999981</v>
      </c>
      <c r="M87" s="208">
        <v>221.58000000000015</v>
      </c>
      <c r="N87" s="98"/>
      <c r="O87" s="98"/>
      <c r="P87" s="98"/>
      <c r="Q87" s="208">
        <v>139.89999999999981</v>
      </c>
      <c r="R87" s="98">
        <v>194.26000000000002</v>
      </c>
      <c r="S87" s="98">
        <v>172.93999999999988</v>
      </c>
      <c r="T87" s="98">
        <v>260.25999999999954</v>
      </c>
      <c r="U87" s="98">
        <v>139.89999999999981</v>
      </c>
      <c r="V87" s="98">
        <v>524.90000000000077</v>
      </c>
      <c r="W87" s="98">
        <v>576.59999999999923</v>
      </c>
      <c r="X87" s="98"/>
      <c r="Y87" s="98"/>
      <c r="Z87" s="98"/>
      <c r="AA87" s="230">
        <v>693.5</v>
      </c>
      <c r="AB87" s="230">
        <v>419.27</v>
      </c>
      <c r="AE87">
        <v>293.49</v>
      </c>
    </row>
    <row r="88" spans="2:31">
      <c r="B88" s="98">
        <v>118</v>
      </c>
      <c r="C88" s="98">
        <v>143.30000000000001</v>
      </c>
      <c r="D88" s="98">
        <v>662</v>
      </c>
      <c r="E88" s="98">
        <v>218.2</v>
      </c>
      <c r="F88" s="98">
        <v>224.3</v>
      </c>
      <c r="G88" s="98">
        <v>182.3</v>
      </c>
      <c r="H88" s="98">
        <v>140</v>
      </c>
      <c r="I88" s="98">
        <v>171</v>
      </c>
      <c r="J88" s="98">
        <v>217.8</v>
      </c>
      <c r="K88" s="209">
        <v>149.5999999999998</v>
      </c>
      <c r="L88" s="209">
        <v>159.5999999999998</v>
      </c>
      <c r="M88" s="209">
        <v>221.32000000000016</v>
      </c>
      <c r="N88" s="98"/>
      <c r="O88" s="98"/>
      <c r="P88" s="98"/>
      <c r="Q88" s="208">
        <v>139.5999999999998</v>
      </c>
      <c r="R88" s="98">
        <v>194.04000000000002</v>
      </c>
      <c r="S88" s="98">
        <v>172.75999999999988</v>
      </c>
      <c r="T88" s="98">
        <v>260.03999999999951</v>
      </c>
      <c r="U88" s="98">
        <v>139.5999999999998</v>
      </c>
      <c r="V88" s="98">
        <v>524.60000000000082</v>
      </c>
      <c r="W88" s="98">
        <v>576.39999999999918</v>
      </c>
      <c r="X88" s="98"/>
      <c r="Y88" s="98"/>
      <c r="Z88" s="98"/>
      <c r="AA88" s="230">
        <v>693</v>
      </c>
      <c r="AB88" s="230">
        <v>418.54</v>
      </c>
      <c r="AE88">
        <v>292.98</v>
      </c>
    </row>
    <row r="89" spans="2:31">
      <c r="B89" s="98">
        <v>119</v>
      </c>
      <c r="C89" s="98">
        <v>143.19999999999999</v>
      </c>
      <c r="D89" s="98">
        <v>661.5</v>
      </c>
      <c r="E89" s="98">
        <v>218.1</v>
      </c>
      <c r="F89" s="98">
        <v>224.2</v>
      </c>
      <c r="G89" s="98">
        <v>182.2</v>
      </c>
      <c r="H89" s="98">
        <v>139.6</v>
      </c>
      <c r="I89" s="98">
        <v>170.6</v>
      </c>
      <c r="J89" s="98">
        <v>217.7</v>
      </c>
      <c r="K89" s="208">
        <v>149.29999999999978</v>
      </c>
      <c r="L89" s="208">
        <v>159.29999999999978</v>
      </c>
      <c r="M89" s="208">
        <v>221.06000000000017</v>
      </c>
      <c r="N89" s="98"/>
      <c r="O89" s="98"/>
      <c r="P89" s="98"/>
      <c r="Q89" s="208">
        <v>139.29999999999978</v>
      </c>
      <c r="R89" s="98">
        <v>193.82000000000002</v>
      </c>
      <c r="S89" s="98">
        <v>172.57999999999987</v>
      </c>
      <c r="T89" s="98">
        <v>259.81999999999948</v>
      </c>
      <c r="U89" s="98">
        <v>139.29999999999978</v>
      </c>
      <c r="V89" s="98">
        <v>524.30000000000086</v>
      </c>
      <c r="W89" s="98">
        <v>576.19999999999914</v>
      </c>
      <c r="X89" s="98"/>
      <c r="Y89" s="98"/>
      <c r="Z89" s="98"/>
      <c r="AA89" s="230">
        <v>692.5</v>
      </c>
      <c r="AB89" s="230">
        <v>417.8</v>
      </c>
      <c r="AE89">
        <v>292.45999999999998</v>
      </c>
    </row>
    <row r="90" spans="2:31">
      <c r="B90" s="98">
        <v>120</v>
      </c>
      <c r="C90" s="98">
        <v>143</v>
      </c>
      <c r="D90" s="98">
        <v>661</v>
      </c>
      <c r="E90" s="98">
        <v>218</v>
      </c>
      <c r="F90" s="98">
        <v>224</v>
      </c>
      <c r="G90" s="98">
        <v>182</v>
      </c>
      <c r="H90" s="98">
        <v>139.30000000000001</v>
      </c>
      <c r="I90" s="98">
        <v>170.3</v>
      </c>
      <c r="J90" s="98">
        <v>217.6</v>
      </c>
      <c r="K90" s="209">
        <v>148.99999999999977</v>
      </c>
      <c r="L90" s="209">
        <v>158.99999999999977</v>
      </c>
      <c r="M90" s="209">
        <v>220.80000000000018</v>
      </c>
      <c r="N90" s="98"/>
      <c r="O90" s="98"/>
      <c r="P90" s="98"/>
      <c r="Q90" s="208">
        <v>138.99999999999977</v>
      </c>
      <c r="R90" s="98">
        <v>193.60000000000002</v>
      </c>
      <c r="S90" s="98">
        <v>172.39999999999986</v>
      </c>
      <c r="T90" s="98">
        <v>259.59999999999945</v>
      </c>
      <c r="U90" s="98">
        <v>138.99999999999977</v>
      </c>
      <c r="V90" s="98">
        <v>524.00000000000091</v>
      </c>
      <c r="W90" s="98">
        <v>575.99999999999909</v>
      </c>
      <c r="X90" s="98"/>
      <c r="Y90" s="98"/>
      <c r="Z90" s="98"/>
      <c r="AA90" s="230">
        <v>692</v>
      </c>
      <c r="AB90" s="230">
        <v>417.07</v>
      </c>
      <c r="AE90">
        <v>291.95</v>
      </c>
    </row>
    <row r="91" spans="2:31">
      <c r="B91" s="98">
        <v>121</v>
      </c>
      <c r="C91" s="98">
        <v>142</v>
      </c>
      <c r="D91" s="98">
        <v>660.4</v>
      </c>
      <c r="E91" s="98">
        <v>217.8</v>
      </c>
      <c r="F91" s="98">
        <v>223.8</v>
      </c>
      <c r="G91" s="98">
        <v>181.8</v>
      </c>
      <c r="H91" s="98">
        <v>139</v>
      </c>
      <c r="I91" s="98">
        <v>170</v>
      </c>
      <c r="J91" s="98">
        <v>217.5</v>
      </c>
      <c r="K91" s="208">
        <v>148.69999999999976</v>
      </c>
      <c r="L91" s="208">
        <v>158.69999999999976</v>
      </c>
      <c r="M91" s="208">
        <v>220.54000000000019</v>
      </c>
      <c r="N91" s="98"/>
      <c r="O91" s="98"/>
      <c r="P91" s="98"/>
      <c r="Q91" s="208">
        <v>138.69999999999976</v>
      </c>
      <c r="R91" s="98">
        <v>193.38000000000002</v>
      </c>
      <c r="S91" s="98">
        <v>172.21999999999986</v>
      </c>
      <c r="T91" s="98">
        <v>259.37999999999943</v>
      </c>
      <c r="U91" s="98">
        <v>138.69999999999976</v>
      </c>
      <c r="V91" s="98">
        <v>523.70000000000095</v>
      </c>
      <c r="W91" s="98">
        <v>575.79999999999905</v>
      </c>
      <c r="X91" s="98"/>
      <c r="Y91" s="98"/>
      <c r="Z91" s="98"/>
      <c r="AA91" s="230">
        <v>691.5</v>
      </c>
      <c r="AB91" s="230">
        <v>416.34</v>
      </c>
    </row>
    <row r="92" spans="2:31">
      <c r="B92" s="98">
        <v>122</v>
      </c>
      <c r="C92" s="98">
        <v>141</v>
      </c>
      <c r="D92" s="98">
        <v>659.8</v>
      </c>
      <c r="E92" s="98">
        <v>217.6</v>
      </c>
      <c r="F92" s="98">
        <v>223.6</v>
      </c>
      <c r="G92" s="98">
        <v>181.6</v>
      </c>
      <c r="H92" s="98">
        <v>138.80000000000001</v>
      </c>
      <c r="I92" s="98">
        <v>169.7</v>
      </c>
      <c r="J92" s="98">
        <v>217.4</v>
      </c>
      <c r="K92" s="209">
        <v>148.39999999999975</v>
      </c>
      <c r="L92" s="209">
        <v>158.39999999999975</v>
      </c>
      <c r="M92" s="209">
        <v>220.2800000000002</v>
      </c>
      <c r="N92" s="98"/>
      <c r="O92" s="98"/>
      <c r="P92" s="98"/>
      <c r="Q92" s="208">
        <v>138.39999999999975</v>
      </c>
      <c r="R92" s="98">
        <v>193.16000000000003</v>
      </c>
      <c r="S92" s="98">
        <v>172.03999999999985</v>
      </c>
      <c r="T92" s="98">
        <v>259.1599999999994</v>
      </c>
      <c r="U92" s="98">
        <v>138.39999999999975</v>
      </c>
      <c r="V92" s="98">
        <v>523.400000000001</v>
      </c>
      <c r="W92" s="98">
        <v>575.599999999999</v>
      </c>
      <c r="X92" s="98"/>
      <c r="Y92" s="98"/>
      <c r="Z92" s="98"/>
      <c r="AA92" s="230">
        <v>691</v>
      </c>
      <c r="AB92" s="230">
        <v>415.61</v>
      </c>
    </row>
    <row r="93" spans="2:31">
      <c r="B93" s="98">
        <v>123</v>
      </c>
      <c r="C93" s="98">
        <v>140</v>
      </c>
      <c r="D93" s="98">
        <v>659.2</v>
      </c>
      <c r="E93" s="98">
        <v>217.4</v>
      </c>
      <c r="F93" s="98">
        <v>223.4</v>
      </c>
      <c r="G93" s="98">
        <v>181.4</v>
      </c>
      <c r="H93" s="98">
        <v>138.5</v>
      </c>
      <c r="I93" s="98">
        <v>169.4</v>
      </c>
      <c r="J93" s="98">
        <v>217.2</v>
      </c>
      <c r="K93" s="208">
        <v>148.09999999999974</v>
      </c>
      <c r="L93" s="208">
        <v>158.09999999999974</v>
      </c>
      <c r="M93" s="208">
        <v>220.02000000000021</v>
      </c>
      <c r="N93" s="98"/>
      <c r="O93" s="98"/>
      <c r="P93" s="98"/>
      <c r="Q93" s="208">
        <v>138.09999999999974</v>
      </c>
      <c r="R93" s="98">
        <v>192.94000000000003</v>
      </c>
      <c r="S93" s="98">
        <v>171.85999999999984</v>
      </c>
      <c r="T93" s="98">
        <v>258.93999999999937</v>
      </c>
      <c r="U93" s="98">
        <v>138.09999999999974</v>
      </c>
      <c r="V93" s="98">
        <v>523.10000000000105</v>
      </c>
      <c r="W93" s="98">
        <v>575.39999999999895</v>
      </c>
      <c r="X93" s="98"/>
      <c r="Y93" s="98"/>
      <c r="Z93" s="98"/>
      <c r="AA93" s="230">
        <v>690.5</v>
      </c>
      <c r="AB93" s="230">
        <v>414.88</v>
      </c>
    </row>
    <row r="94" spans="2:31">
      <c r="B94" s="98">
        <v>124</v>
      </c>
      <c r="C94" s="98">
        <v>139</v>
      </c>
      <c r="D94" s="98">
        <v>658.6</v>
      </c>
      <c r="E94" s="98">
        <v>217.2</v>
      </c>
      <c r="F94" s="98">
        <v>223.2</v>
      </c>
      <c r="G94" s="98">
        <v>181.2</v>
      </c>
      <c r="H94" s="98">
        <v>138.19999999999999</v>
      </c>
      <c r="I94" s="98">
        <v>169</v>
      </c>
      <c r="J94" s="98">
        <v>217.1</v>
      </c>
      <c r="K94" s="209">
        <v>147.79999999999973</v>
      </c>
      <c r="L94" s="209">
        <v>157.79999999999973</v>
      </c>
      <c r="M94" s="209">
        <v>219.76000000000022</v>
      </c>
      <c r="N94" s="98"/>
      <c r="O94" s="98"/>
      <c r="P94" s="98"/>
      <c r="Q94" s="208">
        <v>137.79999999999973</v>
      </c>
      <c r="R94" s="98">
        <v>192.72000000000003</v>
      </c>
      <c r="S94" s="98">
        <v>171.67999999999984</v>
      </c>
      <c r="T94" s="98">
        <v>258.71999999999935</v>
      </c>
      <c r="U94" s="98">
        <v>137.79999999999973</v>
      </c>
      <c r="V94" s="98">
        <v>522.80000000000109</v>
      </c>
      <c r="W94" s="98">
        <v>575.19999999999891</v>
      </c>
      <c r="X94" s="98"/>
      <c r="Y94" s="98"/>
      <c r="Z94" s="98"/>
      <c r="AA94" s="230">
        <v>690</v>
      </c>
      <c r="AB94" s="230">
        <v>414.15</v>
      </c>
    </row>
    <row r="95" spans="2:31">
      <c r="B95" s="98">
        <v>125</v>
      </c>
      <c r="C95" s="98">
        <v>138</v>
      </c>
      <c r="D95" s="98">
        <v>658</v>
      </c>
      <c r="E95" s="98">
        <v>217</v>
      </c>
      <c r="F95" s="98">
        <v>223</v>
      </c>
      <c r="G95" s="98">
        <v>181</v>
      </c>
      <c r="H95" s="98">
        <v>138</v>
      </c>
      <c r="I95" s="98">
        <v>168.7</v>
      </c>
      <c r="J95" s="98">
        <v>217</v>
      </c>
      <c r="K95" s="208">
        <v>147.49999999999972</v>
      </c>
      <c r="L95" s="208">
        <v>157.49999999999972</v>
      </c>
      <c r="M95" s="208">
        <v>219.50000000000023</v>
      </c>
      <c r="N95" s="98"/>
      <c r="O95" s="98"/>
      <c r="P95" s="98"/>
      <c r="Q95" s="208">
        <v>137.49999999999972</v>
      </c>
      <c r="R95" s="98">
        <v>192.50000000000003</v>
      </c>
      <c r="S95" s="98">
        <v>171.49999999999983</v>
      </c>
      <c r="T95" s="98">
        <v>258.49999999999932</v>
      </c>
      <c r="U95" s="98">
        <v>137.49999999999972</v>
      </c>
      <c r="V95" s="98">
        <v>522.50000000000114</v>
      </c>
      <c r="W95" s="98">
        <v>574.99999999999886</v>
      </c>
      <c r="X95" s="98"/>
      <c r="Y95" s="98"/>
      <c r="Z95" s="98"/>
      <c r="AA95" s="230">
        <v>689.5</v>
      </c>
      <c r="AB95" s="230">
        <v>413.41</v>
      </c>
    </row>
    <row r="96" spans="2:31">
      <c r="B96" s="98">
        <v>126</v>
      </c>
      <c r="C96" s="98">
        <v>137.69999999999999</v>
      </c>
      <c r="D96" s="98">
        <v>657.6</v>
      </c>
      <c r="E96" s="98">
        <v>216.9</v>
      </c>
      <c r="F96" s="98">
        <v>222.8</v>
      </c>
      <c r="G96" s="98">
        <v>180.8</v>
      </c>
      <c r="H96" s="98">
        <v>137.80000000000001</v>
      </c>
      <c r="I96" s="98">
        <v>168.4</v>
      </c>
      <c r="J96" s="98">
        <v>216.9</v>
      </c>
      <c r="K96" s="209">
        <v>147.1999999999997</v>
      </c>
      <c r="L96" s="209">
        <v>157.1999999999997</v>
      </c>
      <c r="M96" s="209">
        <v>219.24000000000024</v>
      </c>
      <c r="N96" s="98"/>
      <c r="O96" s="98"/>
      <c r="P96" s="98"/>
      <c r="Q96" s="208">
        <v>137.1999999999997</v>
      </c>
      <c r="R96" s="98">
        <v>192.28000000000003</v>
      </c>
      <c r="S96" s="98">
        <v>171.31999999999982</v>
      </c>
      <c r="T96" s="98">
        <v>258.27999999999929</v>
      </c>
      <c r="U96" s="98">
        <v>137.1999999999997</v>
      </c>
      <c r="V96" s="98">
        <v>522.20000000000118</v>
      </c>
      <c r="W96" s="98">
        <v>574.79999999999882</v>
      </c>
      <c r="X96" s="98"/>
      <c r="Y96" s="98"/>
      <c r="Z96" s="98"/>
      <c r="AA96" s="230">
        <v>689</v>
      </c>
      <c r="AB96" s="230">
        <v>412.68</v>
      </c>
    </row>
    <row r="97" spans="2:28">
      <c r="B97" s="98">
        <v>127</v>
      </c>
      <c r="C97" s="98">
        <v>137.4</v>
      </c>
      <c r="D97" s="98">
        <v>657.2</v>
      </c>
      <c r="E97" s="98">
        <v>216.8</v>
      </c>
      <c r="F97" s="98">
        <v>222.7</v>
      </c>
      <c r="G97" s="98">
        <v>180.6</v>
      </c>
      <c r="H97" s="98">
        <v>137.5</v>
      </c>
      <c r="I97" s="98">
        <v>168.1</v>
      </c>
      <c r="J97" s="98">
        <v>216.8</v>
      </c>
      <c r="K97" s="208">
        <v>146.89999999999969</v>
      </c>
      <c r="L97" s="208">
        <v>156.89999999999969</v>
      </c>
      <c r="M97" s="208">
        <v>218.98000000000025</v>
      </c>
      <c r="N97" s="98"/>
      <c r="O97" s="98"/>
      <c r="P97" s="98"/>
      <c r="Q97" s="208">
        <v>136.89999999999969</v>
      </c>
      <c r="R97" s="98">
        <v>192.06000000000003</v>
      </c>
      <c r="S97" s="98">
        <v>171.13999999999982</v>
      </c>
      <c r="T97" s="98">
        <v>258.05999999999926</v>
      </c>
      <c r="U97" s="98">
        <v>136.89999999999969</v>
      </c>
      <c r="V97" s="98">
        <v>521.90000000000123</v>
      </c>
      <c r="W97" s="98">
        <v>574.59999999999877</v>
      </c>
      <c r="X97" s="98"/>
      <c r="Y97" s="98"/>
      <c r="Z97" s="98"/>
      <c r="AA97" s="230">
        <v>688.5</v>
      </c>
      <c r="AB97" s="230">
        <v>411.95</v>
      </c>
    </row>
    <row r="98" spans="2:28">
      <c r="B98" s="98">
        <v>128</v>
      </c>
      <c r="C98" s="98">
        <v>137.1</v>
      </c>
      <c r="D98" s="98">
        <v>656.8</v>
      </c>
      <c r="E98" s="98">
        <v>216.6</v>
      </c>
      <c r="F98" s="98">
        <v>222.5</v>
      </c>
      <c r="G98" s="98">
        <v>180.4</v>
      </c>
      <c r="H98" s="98">
        <v>137.19999999999999</v>
      </c>
      <c r="I98" s="98">
        <v>167.8</v>
      </c>
      <c r="J98" s="98">
        <v>216.6</v>
      </c>
      <c r="K98" s="209">
        <v>146.59999999999968</v>
      </c>
      <c r="L98" s="209">
        <v>156.59999999999968</v>
      </c>
      <c r="M98" s="209">
        <v>218.72000000000025</v>
      </c>
      <c r="N98" s="98"/>
      <c r="O98" s="98"/>
      <c r="P98" s="98"/>
      <c r="Q98" s="208">
        <v>136.59999999999968</v>
      </c>
      <c r="R98" s="98">
        <v>191.84000000000003</v>
      </c>
      <c r="S98" s="98">
        <v>170.95999999999981</v>
      </c>
      <c r="T98" s="98">
        <v>257.83999999999924</v>
      </c>
      <c r="U98" s="98">
        <v>136.59999999999968</v>
      </c>
      <c r="V98" s="98">
        <v>521.60000000000127</v>
      </c>
      <c r="W98" s="98">
        <v>574.39999999999873</v>
      </c>
      <c r="X98" s="98"/>
      <c r="Y98" s="98"/>
      <c r="Z98" s="98"/>
      <c r="AA98" s="230">
        <v>688</v>
      </c>
      <c r="AB98" s="230">
        <v>411.22</v>
      </c>
    </row>
    <row r="99" spans="2:28">
      <c r="B99" s="98">
        <v>129</v>
      </c>
      <c r="C99" s="98">
        <v>136.80000000000001</v>
      </c>
      <c r="D99" s="98">
        <v>656.4</v>
      </c>
      <c r="E99" s="98">
        <v>216.5</v>
      </c>
      <c r="F99" s="98">
        <v>222.4</v>
      </c>
      <c r="G99" s="98">
        <v>180.2</v>
      </c>
      <c r="H99" s="98">
        <v>137</v>
      </c>
      <c r="I99" s="98">
        <v>167.4</v>
      </c>
      <c r="J99" s="98">
        <v>216.5</v>
      </c>
      <c r="K99" s="208">
        <v>146.29999999999967</v>
      </c>
      <c r="L99" s="208">
        <v>156.29999999999967</v>
      </c>
      <c r="M99" s="208">
        <v>218.46000000000026</v>
      </c>
      <c r="N99" s="98"/>
      <c r="O99" s="98"/>
      <c r="P99" s="98"/>
      <c r="Q99" s="208">
        <v>136.29999999999967</v>
      </c>
      <c r="R99" s="98">
        <v>191.62000000000003</v>
      </c>
      <c r="S99" s="98">
        <v>170.7799999999998</v>
      </c>
      <c r="T99" s="98">
        <v>257.61999999999921</v>
      </c>
      <c r="U99" s="98">
        <v>136.29999999999967</v>
      </c>
      <c r="V99" s="98">
        <v>521.30000000000132</v>
      </c>
      <c r="W99" s="98">
        <v>574.19999999999868</v>
      </c>
      <c r="X99" s="98"/>
      <c r="Y99" s="98"/>
      <c r="Z99" s="98"/>
      <c r="AA99" s="230">
        <v>687.5</v>
      </c>
      <c r="AB99" s="230">
        <v>410.49</v>
      </c>
    </row>
    <row r="100" spans="2:28">
      <c r="B100" s="98">
        <v>130</v>
      </c>
      <c r="C100" s="98">
        <v>136.5</v>
      </c>
      <c r="D100" s="98">
        <v>656</v>
      </c>
      <c r="E100" s="98">
        <v>216.4</v>
      </c>
      <c r="F100" s="98">
        <v>222.2</v>
      </c>
      <c r="G100" s="98">
        <v>180</v>
      </c>
      <c r="H100" s="98">
        <v>136.80000000000001</v>
      </c>
      <c r="I100" s="98">
        <v>167.1</v>
      </c>
      <c r="J100" s="98">
        <v>216.4</v>
      </c>
      <c r="K100" s="209">
        <v>145.99999999999966</v>
      </c>
      <c r="L100" s="209">
        <v>155.99999999999966</v>
      </c>
      <c r="M100" s="209">
        <v>218.20000000000027</v>
      </c>
      <c r="N100" s="98"/>
      <c r="O100" s="98"/>
      <c r="P100" s="98"/>
      <c r="Q100" s="208">
        <v>135.99999999999966</v>
      </c>
      <c r="R100" s="98">
        <v>191.40000000000003</v>
      </c>
      <c r="S100" s="98">
        <v>170.5999999999998</v>
      </c>
      <c r="T100" s="98">
        <v>257.39999999999918</v>
      </c>
      <c r="U100" s="98">
        <v>135.99999999999966</v>
      </c>
      <c r="V100" s="98">
        <v>521.00000000000136</v>
      </c>
      <c r="W100" s="98">
        <v>573.99999999999864</v>
      </c>
      <c r="X100" s="98"/>
      <c r="Y100" s="98"/>
      <c r="Z100" s="98"/>
      <c r="AA100" s="230">
        <v>687</v>
      </c>
      <c r="AB100" s="230">
        <v>409.76</v>
      </c>
    </row>
    <row r="101" spans="2:28">
      <c r="B101" s="98">
        <v>131</v>
      </c>
      <c r="C101" s="98">
        <v>136.19999999999999</v>
      </c>
      <c r="D101" s="98">
        <v>655.6</v>
      </c>
      <c r="E101" s="98">
        <v>216.3</v>
      </c>
      <c r="F101" s="98">
        <v>222</v>
      </c>
      <c r="G101" s="98">
        <v>179.8</v>
      </c>
      <c r="H101" s="98">
        <v>136.5</v>
      </c>
      <c r="I101" s="98">
        <v>166.8</v>
      </c>
      <c r="J101" s="98">
        <v>216.3</v>
      </c>
      <c r="K101" s="208">
        <v>145.69999999999965</v>
      </c>
      <c r="L101" s="208">
        <v>155.69999999999965</v>
      </c>
      <c r="M101" s="208">
        <v>217.94000000000028</v>
      </c>
      <c r="N101" s="98"/>
      <c r="O101" s="98"/>
      <c r="P101" s="98"/>
      <c r="Q101" s="208">
        <v>135.69999999999965</v>
      </c>
      <c r="R101" s="98">
        <v>191.18000000000004</v>
      </c>
      <c r="S101" s="98">
        <v>170.41999999999979</v>
      </c>
      <c r="T101" s="98">
        <v>257.17999999999915</v>
      </c>
      <c r="U101" s="98">
        <v>135.69999999999965</v>
      </c>
      <c r="V101" s="98">
        <v>520.70000000000141</v>
      </c>
      <c r="W101" s="98">
        <v>573.79999999999859</v>
      </c>
      <c r="X101" s="98"/>
      <c r="Y101" s="98"/>
      <c r="Z101" s="98"/>
      <c r="AA101" s="230">
        <v>686.5</v>
      </c>
      <c r="AB101" s="230">
        <v>409.02</v>
      </c>
    </row>
    <row r="102" spans="2:28">
      <c r="B102" s="98">
        <v>132</v>
      </c>
      <c r="C102" s="98">
        <v>135.9</v>
      </c>
      <c r="D102" s="98">
        <v>655.20000000000005</v>
      </c>
      <c r="E102" s="98">
        <v>216.2</v>
      </c>
      <c r="F102" s="98">
        <v>221.9</v>
      </c>
      <c r="G102" s="98">
        <v>179.6</v>
      </c>
      <c r="H102" s="98">
        <v>136.19999999999999</v>
      </c>
      <c r="I102" s="98">
        <v>166.5</v>
      </c>
      <c r="J102" s="98">
        <v>216.2</v>
      </c>
      <c r="K102" s="209">
        <v>145.39999999999964</v>
      </c>
      <c r="L102" s="209">
        <v>155.39999999999964</v>
      </c>
      <c r="M102" s="209">
        <v>217.68000000000029</v>
      </c>
      <c r="N102" s="98"/>
      <c r="O102" s="98"/>
      <c r="P102" s="98"/>
      <c r="Q102" s="208">
        <v>135.39999999999964</v>
      </c>
      <c r="R102" s="98">
        <v>190.96000000000004</v>
      </c>
      <c r="S102" s="98">
        <v>170.23999999999978</v>
      </c>
      <c r="T102" s="98">
        <v>256.95999999999913</v>
      </c>
      <c r="U102" s="98">
        <v>135.39999999999964</v>
      </c>
      <c r="V102" s="98">
        <v>520.40000000000146</v>
      </c>
      <c r="W102" s="98">
        <v>573.59999999999854</v>
      </c>
      <c r="X102" s="98"/>
      <c r="Y102" s="98"/>
      <c r="Z102" s="98"/>
      <c r="AA102" s="230">
        <v>686</v>
      </c>
      <c r="AB102" s="230">
        <v>408.29</v>
      </c>
    </row>
    <row r="103" spans="2:28">
      <c r="B103" s="98">
        <v>133</v>
      </c>
      <c r="C103" s="98">
        <v>135.6</v>
      </c>
      <c r="D103" s="98">
        <v>654.79999999999995</v>
      </c>
      <c r="E103" s="98">
        <v>216</v>
      </c>
      <c r="F103" s="98">
        <v>221.7</v>
      </c>
      <c r="G103" s="98">
        <v>179.4</v>
      </c>
      <c r="H103" s="98">
        <v>136</v>
      </c>
      <c r="I103" s="98">
        <v>166.1</v>
      </c>
      <c r="J103" s="98">
        <v>216</v>
      </c>
      <c r="K103" s="208">
        <v>145.09999999999962</v>
      </c>
      <c r="L103" s="208">
        <v>155.09999999999962</v>
      </c>
      <c r="M103" s="208">
        <v>217.4200000000003</v>
      </c>
      <c r="N103" s="98"/>
      <c r="O103" s="98"/>
      <c r="P103" s="98"/>
      <c r="Q103" s="208">
        <v>135.09999999999962</v>
      </c>
      <c r="R103" s="98">
        <v>190.74000000000004</v>
      </c>
      <c r="S103" s="98">
        <v>170.05999999999977</v>
      </c>
      <c r="T103" s="98">
        <v>256.7399999999991</v>
      </c>
      <c r="U103" s="98">
        <v>135.09999999999962</v>
      </c>
      <c r="V103" s="98">
        <v>520.1000000000015</v>
      </c>
      <c r="W103" s="98">
        <v>573.3999999999985</v>
      </c>
      <c r="X103" s="98"/>
      <c r="Y103" s="98"/>
      <c r="Z103" s="98"/>
      <c r="AA103" s="230">
        <v>685.5</v>
      </c>
      <c r="AB103" s="230">
        <v>407.56</v>
      </c>
    </row>
    <row r="104" spans="2:28">
      <c r="B104" s="98">
        <v>134</v>
      </c>
      <c r="C104" s="98">
        <v>135.30000000000001</v>
      </c>
      <c r="D104" s="98">
        <v>654.4</v>
      </c>
      <c r="E104" s="98">
        <v>215.9</v>
      </c>
      <c r="F104" s="98">
        <v>221.6</v>
      </c>
      <c r="G104" s="98">
        <v>179.2</v>
      </c>
      <c r="H104" s="98">
        <v>135.80000000000001</v>
      </c>
      <c r="I104" s="98">
        <v>165.8</v>
      </c>
      <c r="J104" s="98">
        <v>215.9</v>
      </c>
      <c r="K104" s="209">
        <v>144.79999999999961</v>
      </c>
      <c r="L104" s="209">
        <v>154.79999999999961</v>
      </c>
      <c r="M104" s="209">
        <v>217.16000000000031</v>
      </c>
      <c r="N104" s="98"/>
      <c r="O104" s="98"/>
      <c r="P104" s="98"/>
      <c r="Q104" s="208">
        <v>134.79999999999961</v>
      </c>
      <c r="R104" s="98">
        <v>190.52000000000004</v>
      </c>
      <c r="S104" s="98">
        <v>169.87999999999977</v>
      </c>
      <c r="T104" s="98">
        <v>256.51999999999907</v>
      </c>
      <c r="U104" s="98">
        <v>134.79999999999961</v>
      </c>
      <c r="V104" s="98">
        <v>519.80000000000155</v>
      </c>
      <c r="W104" s="98">
        <v>573.19999999999845</v>
      </c>
      <c r="X104" s="98"/>
      <c r="Y104" s="98"/>
      <c r="Z104" s="98"/>
      <c r="AA104" s="230">
        <v>685</v>
      </c>
      <c r="AB104" s="230">
        <v>406.83</v>
      </c>
    </row>
    <row r="105" spans="2:28">
      <c r="B105" s="98">
        <v>135</v>
      </c>
      <c r="C105" s="98">
        <v>135</v>
      </c>
      <c r="D105" s="98">
        <v>654</v>
      </c>
      <c r="E105" s="98">
        <v>215.8</v>
      </c>
      <c r="F105" s="98">
        <v>221.4</v>
      </c>
      <c r="G105" s="98">
        <v>179</v>
      </c>
      <c r="H105" s="98">
        <v>135.5</v>
      </c>
      <c r="I105" s="98">
        <v>165.5</v>
      </c>
      <c r="J105" s="98">
        <v>215.8</v>
      </c>
      <c r="K105" s="208">
        <v>144.4999999999996</v>
      </c>
      <c r="L105" s="208">
        <v>154.4999999999996</v>
      </c>
      <c r="M105" s="208">
        <v>216.90000000000032</v>
      </c>
      <c r="N105" s="98"/>
      <c r="O105" s="98"/>
      <c r="P105" s="98"/>
      <c r="Q105" s="208">
        <v>134.4999999999996</v>
      </c>
      <c r="R105" s="98">
        <v>190.30000000000004</v>
      </c>
      <c r="S105" s="98">
        <v>169.69999999999976</v>
      </c>
      <c r="T105" s="98">
        <v>256.29999999999905</v>
      </c>
      <c r="U105" s="98">
        <v>134.4999999999996</v>
      </c>
      <c r="V105" s="98">
        <v>519.50000000000159</v>
      </c>
      <c r="W105" s="98">
        <v>572.99999999999841</v>
      </c>
      <c r="X105" s="98"/>
      <c r="Y105" s="98"/>
      <c r="Z105" s="98"/>
      <c r="AA105" s="230">
        <v>684.5</v>
      </c>
      <c r="AB105" s="230">
        <v>406.1</v>
      </c>
    </row>
    <row r="106" spans="2:28">
      <c r="B106" s="98">
        <v>136</v>
      </c>
      <c r="C106" s="98">
        <v>134.80000000000001</v>
      </c>
      <c r="D106" s="98">
        <v>653.6</v>
      </c>
      <c r="E106" s="98">
        <v>215.7</v>
      </c>
      <c r="F106" s="98">
        <v>221.2</v>
      </c>
      <c r="G106" s="98">
        <v>178.9</v>
      </c>
      <c r="H106" s="98">
        <v>135.19999999999999</v>
      </c>
      <c r="I106" s="98">
        <v>165.2</v>
      </c>
      <c r="J106" s="98">
        <v>215.7</v>
      </c>
      <c r="K106" s="209">
        <v>144.19999999999959</v>
      </c>
      <c r="L106" s="209">
        <v>154.19999999999959</v>
      </c>
      <c r="M106" s="209">
        <v>216.64000000000033</v>
      </c>
      <c r="N106" s="98"/>
      <c r="O106" s="98"/>
      <c r="P106" s="98"/>
      <c r="Q106" s="208">
        <v>134.19999999999959</v>
      </c>
      <c r="R106" s="98">
        <v>190.08000000000004</v>
      </c>
      <c r="S106" s="98">
        <v>169.51999999999975</v>
      </c>
      <c r="T106" s="98">
        <v>256.07999999999902</v>
      </c>
      <c r="U106" s="98">
        <v>134.19999999999959</v>
      </c>
      <c r="V106" s="98">
        <v>519.20000000000164</v>
      </c>
      <c r="W106" s="98">
        <v>572.79999999999836</v>
      </c>
      <c r="X106" s="98"/>
      <c r="Y106" s="98"/>
      <c r="Z106" s="98"/>
      <c r="AA106" s="230">
        <v>684</v>
      </c>
      <c r="AB106" s="230">
        <v>405.37</v>
      </c>
    </row>
    <row r="107" spans="2:28">
      <c r="B107" s="98">
        <v>137</v>
      </c>
      <c r="C107" s="98">
        <v>134.6</v>
      </c>
      <c r="D107" s="98">
        <v>653.20000000000005</v>
      </c>
      <c r="E107" s="98">
        <v>215.6</v>
      </c>
      <c r="F107" s="98">
        <v>221.1</v>
      </c>
      <c r="G107" s="98">
        <v>178.7</v>
      </c>
      <c r="H107" s="98">
        <v>135</v>
      </c>
      <c r="I107" s="98">
        <v>164.9</v>
      </c>
      <c r="J107" s="98">
        <v>215.6</v>
      </c>
      <c r="K107" s="208">
        <v>143.89999999999958</v>
      </c>
      <c r="L107" s="208">
        <v>153.89999999999958</v>
      </c>
      <c r="M107" s="208">
        <v>216.38000000000034</v>
      </c>
      <c r="N107" s="98"/>
      <c r="O107" s="98"/>
      <c r="P107" s="98"/>
      <c r="Q107" s="208">
        <v>133.89999999999958</v>
      </c>
      <c r="R107" s="98">
        <v>189.86000000000004</v>
      </c>
      <c r="S107" s="98">
        <v>169.33999999999975</v>
      </c>
      <c r="T107" s="98">
        <v>255.85999999999902</v>
      </c>
      <c r="U107" s="98">
        <v>133.89999999999958</v>
      </c>
      <c r="V107" s="98">
        <v>518.90000000000168</v>
      </c>
      <c r="W107" s="98">
        <v>572.59999999999832</v>
      </c>
      <c r="X107" s="98"/>
      <c r="Y107" s="98"/>
      <c r="Z107" s="98"/>
      <c r="AA107" s="230">
        <v>683.5</v>
      </c>
      <c r="AB107" s="230">
        <v>404.63</v>
      </c>
    </row>
    <row r="108" spans="2:28">
      <c r="B108" s="98">
        <v>138</v>
      </c>
      <c r="C108" s="98">
        <v>134.4</v>
      </c>
      <c r="D108" s="98">
        <v>652.79999999999995</v>
      </c>
      <c r="E108" s="98">
        <v>215.4</v>
      </c>
      <c r="F108" s="98">
        <v>220.9</v>
      </c>
      <c r="G108" s="98">
        <v>178.6</v>
      </c>
      <c r="H108" s="98">
        <v>134.80000000000001</v>
      </c>
      <c r="I108" s="98">
        <v>164.5</v>
      </c>
      <c r="J108" s="98">
        <v>215.4</v>
      </c>
      <c r="K108" s="209">
        <v>143.59999999999957</v>
      </c>
      <c r="L108" s="209">
        <v>153.59999999999957</v>
      </c>
      <c r="M108" s="209">
        <v>216.12000000000035</v>
      </c>
      <c r="N108" s="98"/>
      <c r="O108" s="98"/>
      <c r="P108" s="98"/>
      <c r="Q108" s="208">
        <v>133.59999999999957</v>
      </c>
      <c r="R108" s="98">
        <v>189.64000000000004</v>
      </c>
      <c r="S108" s="98">
        <v>169.15999999999974</v>
      </c>
      <c r="T108" s="98">
        <v>255.63999999999902</v>
      </c>
      <c r="U108" s="98">
        <v>133.59999999999957</v>
      </c>
      <c r="V108" s="98">
        <v>518.60000000000173</v>
      </c>
      <c r="W108" s="98">
        <v>572.39999999999827</v>
      </c>
      <c r="X108" s="98"/>
      <c r="Y108" s="98"/>
      <c r="Z108" s="98"/>
      <c r="AA108" s="230">
        <v>683</v>
      </c>
      <c r="AB108" s="230">
        <v>403.9</v>
      </c>
    </row>
    <row r="109" spans="2:28">
      <c r="B109" s="98">
        <v>139</v>
      </c>
      <c r="C109" s="98">
        <v>134.19999999999999</v>
      </c>
      <c r="D109" s="98">
        <v>652.4</v>
      </c>
      <c r="E109" s="98">
        <v>215.3</v>
      </c>
      <c r="F109" s="98">
        <v>220.8</v>
      </c>
      <c r="G109" s="98">
        <v>178.5</v>
      </c>
      <c r="H109" s="98">
        <v>134.5</v>
      </c>
      <c r="I109" s="98">
        <v>164.2</v>
      </c>
      <c r="J109" s="98">
        <v>215.3</v>
      </c>
      <c r="K109" s="208">
        <v>143.29999999999956</v>
      </c>
      <c r="L109" s="208">
        <v>153.29999999999956</v>
      </c>
      <c r="M109" s="208">
        <v>215.86000000000035</v>
      </c>
      <c r="N109" s="98"/>
      <c r="O109" s="98"/>
      <c r="P109" s="98"/>
      <c r="Q109" s="208">
        <v>133.29999999999956</v>
      </c>
      <c r="R109" s="98">
        <v>189.42000000000004</v>
      </c>
      <c r="S109" s="98">
        <v>168.97999999999973</v>
      </c>
      <c r="T109" s="98">
        <v>255.41999999999902</v>
      </c>
      <c r="U109" s="98">
        <v>133.29999999999956</v>
      </c>
      <c r="V109" s="98">
        <v>518.30000000000177</v>
      </c>
      <c r="W109" s="98">
        <v>572.19999999999823</v>
      </c>
      <c r="X109" s="98"/>
      <c r="Y109" s="98"/>
      <c r="Z109" s="98"/>
      <c r="AA109" s="230">
        <v>682.5</v>
      </c>
      <c r="AB109" s="230">
        <v>403.17</v>
      </c>
    </row>
    <row r="110" spans="2:28">
      <c r="B110" s="98">
        <v>140</v>
      </c>
      <c r="C110" s="98">
        <v>134</v>
      </c>
      <c r="D110" s="98">
        <v>652</v>
      </c>
      <c r="E110" s="98">
        <v>215.2</v>
      </c>
      <c r="F110" s="98">
        <v>220.6</v>
      </c>
      <c r="G110" s="98">
        <v>178.3</v>
      </c>
      <c r="H110" s="98">
        <v>134.19999999999999</v>
      </c>
      <c r="I110" s="98">
        <v>163.9</v>
      </c>
      <c r="J110" s="206">
        <v>215.2</v>
      </c>
      <c r="K110" s="209">
        <v>142.99999999999955</v>
      </c>
      <c r="L110" s="209">
        <v>152.99999999999955</v>
      </c>
      <c r="M110" s="209">
        <v>215.60000000000036</v>
      </c>
      <c r="N110" s="98"/>
      <c r="O110" s="98"/>
      <c r="P110" s="98"/>
      <c r="Q110" s="208">
        <v>132.99999999999955</v>
      </c>
      <c r="R110" s="98">
        <v>189.20000000000005</v>
      </c>
      <c r="S110" s="98">
        <v>168.79999999999973</v>
      </c>
      <c r="T110" s="98">
        <v>255.19999999999902</v>
      </c>
      <c r="U110" s="98">
        <v>132.99999999999955</v>
      </c>
      <c r="V110" s="98">
        <v>518.00000000000182</v>
      </c>
      <c r="W110" s="98">
        <v>571.99999999999818</v>
      </c>
      <c r="X110" s="98"/>
      <c r="Y110" s="98"/>
      <c r="Z110" s="98"/>
      <c r="AA110" s="230">
        <v>682</v>
      </c>
      <c r="AB110" s="230">
        <v>402.44</v>
      </c>
    </row>
    <row r="111" spans="2:28">
      <c r="B111" s="98">
        <v>141</v>
      </c>
      <c r="C111" s="98">
        <v>133.80000000000001</v>
      </c>
      <c r="D111" s="98">
        <v>651.6</v>
      </c>
      <c r="E111" s="98">
        <v>215.1</v>
      </c>
      <c r="F111" s="98">
        <v>220.4</v>
      </c>
      <c r="G111" s="98">
        <v>178.2</v>
      </c>
      <c r="H111" s="98">
        <v>134</v>
      </c>
      <c r="I111" s="98">
        <v>163.6</v>
      </c>
      <c r="J111" s="98">
        <v>215.1</v>
      </c>
      <c r="K111" s="208">
        <v>142.69999999999953</v>
      </c>
      <c r="L111" s="208">
        <v>152.69999999999953</v>
      </c>
      <c r="M111" s="208">
        <v>215.34000000000037</v>
      </c>
      <c r="N111" s="98"/>
      <c r="O111" s="98"/>
      <c r="P111" s="98"/>
      <c r="Q111" s="208">
        <v>132.69999999999953</v>
      </c>
      <c r="R111" s="98">
        <v>188.98000000000005</v>
      </c>
      <c r="S111" s="98">
        <v>168.61999999999972</v>
      </c>
      <c r="T111" s="98">
        <v>254.97999999999902</v>
      </c>
      <c r="U111" s="98">
        <v>132.69999999999953</v>
      </c>
      <c r="V111" s="98">
        <v>517.70000000000186</v>
      </c>
      <c r="W111" s="98">
        <v>571.79999999999814</v>
      </c>
      <c r="X111" s="98"/>
      <c r="Y111" s="98"/>
      <c r="Z111" s="98"/>
      <c r="AA111" s="230">
        <v>681.5</v>
      </c>
      <c r="AB111" s="230">
        <v>401.71</v>
      </c>
    </row>
    <row r="112" spans="2:28">
      <c r="B112" s="98">
        <v>142</v>
      </c>
      <c r="C112" s="98">
        <v>133.6</v>
      </c>
      <c r="D112" s="98">
        <v>651.20000000000005</v>
      </c>
      <c r="E112" s="98">
        <v>215</v>
      </c>
      <c r="F112" s="98">
        <v>220.3</v>
      </c>
      <c r="G112" s="98">
        <v>178.1</v>
      </c>
      <c r="H112" s="98">
        <v>133.80000000000001</v>
      </c>
      <c r="I112" s="98">
        <v>163.19999999999999</v>
      </c>
      <c r="J112" s="98">
        <v>215</v>
      </c>
      <c r="K112" s="209">
        <v>142.39999999999952</v>
      </c>
      <c r="L112" s="209">
        <v>152.39999999999952</v>
      </c>
      <c r="M112" s="209">
        <v>215.08000000000038</v>
      </c>
      <c r="N112" s="98"/>
      <c r="O112" s="98"/>
      <c r="P112" s="98"/>
      <c r="Q112" s="208">
        <v>132.39999999999952</v>
      </c>
      <c r="R112" s="98">
        <v>188.76000000000005</v>
      </c>
      <c r="S112" s="98">
        <v>168.43999999999971</v>
      </c>
      <c r="T112" s="98">
        <v>254.75999999999902</v>
      </c>
      <c r="U112" s="98">
        <v>132.39999999999952</v>
      </c>
      <c r="V112" s="98">
        <v>517.40000000000191</v>
      </c>
      <c r="W112" s="98">
        <v>571.59999999999809</v>
      </c>
      <c r="X112" s="98"/>
      <c r="Y112" s="98"/>
      <c r="Z112" s="98"/>
      <c r="AA112" s="230">
        <v>681</v>
      </c>
      <c r="AB112" s="230">
        <v>400.98</v>
      </c>
    </row>
    <row r="113" spans="2:29">
      <c r="B113" s="98">
        <v>143</v>
      </c>
      <c r="C113" s="98">
        <v>133.4</v>
      </c>
      <c r="D113" s="98">
        <v>650.79999999999995</v>
      </c>
      <c r="E113" s="98">
        <v>214.8</v>
      </c>
      <c r="F113" s="98">
        <v>220.1</v>
      </c>
      <c r="G113" s="98">
        <v>177.9</v>
      </c>
      <c r="H113" s="98">
        <v>133.5</v>
      </c>
      <c r="I113" s="98">
        <v>162.9</v>
      </c>
      <c r="J113" s="98">
        <v>214.8</v>
      </c>
      <c r="K113" s="208">
        <v>142.09999999999951</v>
      </c>
      <c r="L113" s="208">
        <v>152.09999999999951</v>
      </c>
      <c r="M113" s="208">
        <v>214.82000000000039</v>
      </c>
      <c r="N113" s="98"/>
      <c r="O113" s="98"/>
      <c r="P113" s="98"/>
      <c r="Q113" s="208">
        <v>132.09999999999951</v>
      </c>
      <c r="R113" s="98">
        <v>188.54000000000005</v>
      </c>
      <c r="S113" s="98">
        <v>168.25999999999971</v>
      </c>
      <c r="T113" s="98">
        <v>254.53999999999903</v>
      </c>
      <c r="U113" s="98">
        <v>132.09999999999951</v>
      </c>
      <c r="V113" s="98">
        <v>517.10000000000196</v>
      </c>
      <c r="W113" s="98">
        <v>571.39999999999804</v>
      </c>
      <c r="X113" s="98"/>
      <c r="Y113" s="98"/>
      <c r="Z113" s="98"/>
      <c r="AA113" s="230">
        <v>680.5</v>
      </c>
      <c r="AB113" s="230">
        <v>400.24</v>
      </c>
    </row>
    <row r="114" spans="2:29">
      <c r="B114" s="98">
        <v>144</v>
      </c>
      <c r="C114" s="98">
        <v>133.19999999999999</v>
      </c>
      <c r="D114" s="98">
        <v>650.4</v>
      </c>
      <c r="E114" s="98">
        <v>214.7</v>
      </c>
      <c r="F114" s="98">
        <v>220</v>
      </c>
      <c r="G114" s="98">
        <v>177.8</v>
      </c>
      <c r="H114" s="98">
        <v>133.19999999999999</v>
      </c>
      <c r="I114" s="98">
        <v>162.6</v>
      </c>
      <c r="J114" s="98">
        <v>214.7</v>
      </c>
      <c r="K114" s="209">
        <v>141.7999999999995</v>
      </c>
      <c r="L114" s="209">
        <v>151.7999999999995</v>
      </c>
      <c r="M114" s="209">
        <v>214.5600000000004</v>
      </c>
      <c r="N114" s="98"/>
      <c r="O114" s="98"/>
      <c r="P114" s="98"/>
      <c r="Q114" s="208">
        <v>131.7999999999995</v>
      </c>
      <c r="R114" s="98">
        <v>188.32000000000005</v>
      </c>
      <c r="S114" s="98">
        <v>168.0799999999997</v>
      </c>
      <c r="T114" s="98">
        <v>254.31999999999903</v>
      </c>
      <c r="U114" s="98">
        <v>131.7999999999995</v>
      </c>
      <c r="V114" s="98">
        <v>516.800000000002</v>
      </c>
      <c r="W114" s="98">
        <v>571.199999999998</v>
      </c>
      <c r="X114" s="98"/>
      <c r="Y114" s="98"/>
      <c r="Z114" s="98"/>
      <c r="AA114" s="230">
        <v>680</v>
      </c>
      <c r="AB114" s="230">
        <v>399.51</v>
      </c>
    </row>
    <row r="115" spans="2:29">
      <c r="B115" s="98">
        <v>145</v>
      </c>
      <c r="C115" s="98">
        <v>133</v>
      </c>
      <c r="D115" s="98">
        <v>650</v>
      </c>
      <c r="E115" s="98">
        <v>214.6</v>
      </c>
      <c r="F115" s="98">
        <v>219.8</v>
      </c>
      <c r="G115" s="98">
        <v>177.7</v>
      </c>
      <c r="H115" s="98">
        <v>133</v>
      </c>
      <c r="I115" s="98">
        <v>162.30000000000001</v>
      </c>
      <c r="J115" s="98">
        <v>214.6</v>
      </c>
      <c r="K115" s="208">
        <v>141.49999999999949</v>
      </c>
      <c r="L115" s="208">
        <v>151.49999999999949</v>
      </c>
      <c r="M115" s="208">
        <v>214.30000000000041</v>
      </c>
      <c r="N115" s="98"/>
      <c r="O115" s="98"/>
      <c r="P115" s="98"/>
      <c r="Q115" s="208">
        <v>131.49999999999949</v>
      </c>
      <c r="R115" s="98">
        <v>188.10000000000005</v>
      </c>
      <c r="S115" s="98">
        <v>167.89999999999969</v>
      </c>
      <c r="T115" s="98">
        <v>254.09999999999903</v>
      </c>
      <c r="U115" s="98">
        <v>131.49999999999949</v>
      </c>
      <c r="V115" s="98">
        <v>516.50000000000205</v>
      </c>
      <c r="W115" s="98">
        <v>570.99999999999795</v>
      </c>
      <c r="X115" s="98"/>
      <c r="Y115" s="98"/>
      <c r="Z115" s="98"/>
      <c r="AA115" s="230">
        <v>679.5</v>
      </c>
      <c r="AB115" s="230">
        <v>398.78</v>
      </c>
    </row>
    <row r="116" spans="2:29">
      <c r="B116" s="98">
        <v>146</v>
      </c>
      <c r="C116" s="98">
        <v>132.80000000000001</v>
      </c>
      <c r="D116" s="98">
        <v>649.6</v>
      </c>
      <c r="E116" s="98">
        <v>214.5</v>
      </c>
      <c r="F116" s="98">
        <v>219.6</v>
      </c>
      <c r="G116" s="98">
        <v>177.5</v>
      </c>
      <c r="H116" s="98">
        <v>132.80000000000001</v>
      </c>
      <c r="I116" s="98">
        <v>162</v>
      </c>
      <c r="J116" s="98">
        <v>214.5</v>
      </c>
      <c r="K116" s="209">
        <v>141.19999999999948</v>
      </c>
      <c r="L116" s="209">
        <v>151.19999999999948</v>
      </c>
      <c r="M116" s="209">
        <v>214.04000000000042</v>
      </c>
      <c r="N116" s="98"/>
      <c r="O116" s="98"/>
      <c r="P116" s="98"/>
      <c r="Q116" s="208">
        <v>131.19999999999948</v>
      </c>
      <c r="R116" s="98">
        <v>187.88000000000005</v>
      </c>
      <c r="S116" s="98">
        <v>167.71999999999969</v>
      </c>
      <c r="T116" s="98">
        <v>253.87999999999903</v>
      </c>
      <c r="U116" s="98">
        <v>131.19999999999948</v>
      </c>
      <c r="V116" s="98">
        <v>516.20000000000209</v>
      </c>
      <c r="W116" s="98">
        <v>570.79999999999791</v>
      </c>
      <c r="X116" s="98"/>
      <c r="Y116" s="98"/>
      <c r="Z116" s="98"/>
      <c r="AA116" s="230">
        <v>679</v>
      </c>
      <c r="AB116" s="230">
        <v>398.05</v>
      </c>
    </row>
    <row r="117" spans="2:29">
      <c r="B117" s="98">
        <v>147</v>
      </c>
      <c r="C117" s="98">
        <v>132.6</v>
      </c>
      <c r="D117" s="98">
        <v>649.20000000000005</v>
      </c>
      <c r="E117" s="98">
        <v>214.4</v>
      </c>
      <c r="F117" s="98">
        <v>219.5</v>
      </c>
      <c r="G117" s="98">
        <v>177.4</v>
      </c>
      <c r="H117" s="98">
        <v>132.5</v>
      </c>
      <c r="I117" s="98">
        <v>161.6</v>
      </c>
      <c r="J117" s="98">
        <v>214.4</v>
      </c>
      <c r="K117" s="208">
        <v>140.89999999999947</v>
      </c>
      <c r="L117" s="208">
        <v>150.89999999999947</v>
      </c>
      <c r="M117" s="208">
        <v>213.78000000000043</v>
      </c>
      <c r="N117" s="98"/>
      <c r="O117" s="98"/>
      <c r="P117" s="98"/>
      <c r="Q117" s="208">
        <v>130.89999999999947</v>
      </c>
      <c r="R117" s="98">
        <v>187.66000000000005</v>
      </c>
      <c r="S117" s="98">
        <v>167.53999999999968</v>
      </c>
      <c r="T117" s="98">
        <v>253.65999999999903</v>
      </c>
      <c r="U117" s="98">
        <v>130.89999999999947</v>
      </c>
      <c r="V117" s="98">
        <v>515.90000000000214</v>
      </c>
      <c r="W117" s="98">
        <v>570.59999999999786</v>
      </c>
      <c r="X117" s="98"/>
      <c r="Y117" s="98"/>
      <c r="Z117" s="98"/>
      <c r="AA117" s="230">
        <v>678.5</v>
      </c>
      <c r="AB117" s="230">
        <v>397.32</v>
      </c>
    </row>
    <row r="118" spans="2:29">
      <c r="B118" s="98">
        <v>148</v>
      </c>
      <c r="C118" s="98">
        <v>132.4</v>
      </c>
      <c r="D118" s="98">
        <v>648.79999999999995</v>
      </c>
      <c r="E118" s="98">
        <v>214.2</v>
      </c>
      <c r="F118" s="98">
        <v>219.3</v>
      </c>
      <c r="G118" s="98">
        <v>177.3</v>
      </c>
      <c r="H118" s="98">
        <v>132.19999999999999</v>
      </c>
      <c r="I118" s="98">
        <v>161.30000000000001</v>
      </c>
      <c r="J118" s="98">
        <v>214.2</v>
      </c>
      <c r="K118" s="209">
        <v>140.59999999999945</v>
      </c>
      <c r="L118" s="209">
        <v>150.59999999999945</v>
      </c>
      <c r="M118" s="209">
        <v>213.52000000000044</v>
      </c>
      <c r="N118" s="98"/>
      <c r="O118" s="98"/>
      <c r="P118" s="98"/>
      <c r="Q118" s="208">
        <v>130.59999999999945</v>
      </c>
      <c r="R118" s="98">
        <v>187.44000000000005</v>
      </c>
      <c r="S118" s="98">
        <v>167.35999999999967</v>
      </c>
      <c r="T118" s="98">
        <v>253.43999999999903</v>
      </c>
      <c r="U118" s="98">
        <v>130.59999999999945</v>
      </c>
      <c r="V118" s="98">
        <v>515.60000000000218</v>
      </c>
      <c r="W118" s="98">
        <v>570.39999999999782</v>
      </c>
      <c r="X118" s="98"/>
      <c r="Y118" s="98"/>
      <c r="Z118" s="98"/>
      <c r="AA118" s="230">
        <v>678</v>
      </c>
      <c r="AB118" s="230">
        <v>396.59</v>
      </c>
    </row>
    <row r="119" spans="2:29">
      <c r="B119" s="98">
        <v>149</v>
      </c>
      <c r="C119" s="98">
        <v>132.19999999999999</v>
      </c>
      <c r="D119" s="98">
        <v>648.4</v>
      </c>
      <c r="E119" s="98">
        <v>214.1</v>
      </c>
      <c r="F119" s="98">
        <v>219.2</v>
      </c>
      <c r="G119" s="98">
        <v>177.1</v>
      </c>
      <c r="H119" s="98">
        <v>132</v>
      </c>
      <c r="I119" s="98">
        <v>161</v>
      </c>
      <c r="J119" s="98">
        <v>214.1</v>
      </c>
      <c r="K119" s="208">
        <v>140.29999999999944</v>
      </c>
      <c r="L119" s="208">
        <v>150.29999999999944</v>
      </c>
      <c r="M119" s="208">
        <v>213.26000000000045</v>
      </c>
      <c r="N119" s="98"/>
      <c r="O119" s="98"/>
      <c r="P119" s="98"/>
      <c r="Q119" s="208">
        <v>130.29999999999944</v>
      </c>
      <c r="R119" s="98">
        <v>187.22000000000006</v>
      </c>
      <c r="S119" s="98">
        <v>167.17999999999967</v>
      </c>
      <c r="T119" s="98">
        <v>253.21999999999903</v>
      </c>
      <c r="U119" s="98">
        <v>130.29999999999944</v>
      </c>
      <c r="V119" s="98">
        <v>515.30000000000223</v>
      </c>
      <c r="W119" s="98">
        <v>570.19999999999777</v>
      </c>
      <c r="X119" s="98"/>
      <c r="Y119" s="98"/>
      <c r="Z119" s="98"/>
      <c r="AA119" s="230">
        <v>677.5</v>
      </c>
      <c r="AB119" s="230">
        <v>395.85</v>
      </c>
      <c r="AC119">
        <f>Table2__27[[#This Row],[1.4401]]-AB120</f>
        <v>0.73000000000001819</v>
      </c>
    </row>
    <row r="120" spans="2:29">
      <c r="B120" s="98">
        <v>150</v>
      </c>
      <c r="C120" s="98">
        <v>132</v>
      </c>
      <c r="D120" s="98">
        <v>648</v>
      </c>
      <c r="E120" s="98">
        <v>214</v>
      </c>
      <c r="F120" s="98">
        <v>219</v>
      </c>
      <c r="G120" s="98">
        <v>177</v>
      </c>
      <c r="H120" s="98">
        <v>131.80000000000001</v>
      </c>
      <c r="I120" s="98">
        <v>160.80000000000001</v>
      </c>
      <c r="J120" s="98">
        <v>214</v>
      </c>
      <c r="K120" s="209">
        <v>140</v>
      </c>
      <c r="L120" s="209">
        <v>150</v>
      </c>
      <c r="M120" s="209">
        <v>213</v>
      </c>
      <c r="N120" s="98"/>
      <c r="O120" s="98"/>
      <c r="P120" s="98"/>
      <c r="Q120" s="209">
        <v>130</v>
      </c>
      <c r="R120" s="98">
        <v>187</v>
      </c>
      <c r="S120" s="98">
        <v>167</v>
      </c>
      <c r="T120" s="98">
        <v>253</v>
      </c>
      <c r="U120" s="98">
        <v>130</v>
      </c>
      <c r="V120" s="98">
        <v>515</v>
      </c>
      <c r="W120" s="98">
        <v>570</v>
      </c>
      <c r="X120" s="98"/>
      <c r="Y120" s="98"/>
      <c r="Z120" s="98"/>
      <c r="AA120" s="230">
        <v>677</v>
      </c>
      <c r="AB120" s="230">
        <v>395.12</v>
      </c>
    </row>
    <row r="121" spans="2:29">
      <c r="B121" s="98">
        <v>151</v>
      </c>
      <c r="C121" s="98">
        <v>131.80000000000001</v>
      </c>
      <c r="D121" s="98">
        <v>647.70000000000005</v>
      </c>
      <c r="E121" s="98">
        <v>213.9</v>
      </c>
      <c r="F121" s="98">
        <v>218.9</v>
      </c>
      <c r="G121" s="98">
        <v>176.8</v>
      </c>
      <c r="H121" s="98">
        <v>131.6</v>
      </c>
      <c r="I121" s="98">
        <v>160.5</v>
      </c>
      <c r="J121" s="98">
        <v>213.8</v>
      </c>
      <c r="K121" s="208">
        <v>139.74</v>
      </c>
      <c r="L121" s="208">
        <v>149.74</v>
      </c>
      <c r="M121" s="208">
        <v>212.58</v>
      </c>
      <c r="N121" s="98"/>
      <c r="O121" s="98"/>
      <c r="P121" s="98"/>
      <c r="Q121" s="208">
        <v>129.76</v>
      </c>
      <c r="R121" s="98">
        <v>186.66</v>
      </c>
      <c r="S121" s="98">
        <v>166.8</v>
      </c>
      <c r="T121" s="98">
        <v>252.84</v>
      </c>
      <c r="U121" s="98">
        <v>129.76</v>
      </c>
      <c r="V121" s="98">
        <v>514.70000000000005</v>
      </c>
      <c r="W121" s="98">
        <v>569.79999999999995</v>
      </c>
      <c r="X121" s="98"/>
      <c r="Y121" s="98"/>
      <c r="Z121" s="98"/>
      <c r="AA121" s="230"/>
      <c r="AB121" s="230">
        <f>AB120-$AC$119</f>
        <v>394.39</v>
      </c>
    </row>
    <row r="122" spans="2:29">
      <c r="B122" s="98">
        <v>152</v>
      </c>
      <c r="C122" s="98">
        <v>131.5</v>
      </c>
      <c r="D122" s="98">
        <v>647.4</v>
      </c>
      <c r="E122" s="98">
        <v>213.8</v>
      </c>
      <c r="F122" s="98">
        <v>218.8</v>
      </c>
      <c r="G122" s="98">
        <v>176.6</v>
      </c>
      <c r="H122" s="98">
        <v>131.4</v>
      </c>
      <c r="I122" s="98">
        <v>160.30000000000001</v>
      </c>
      <c r="J122" s="98">
        <v>213.7</v>
      </c>
      <c r="K122" s="209">
        <v>139.48000000000002</v>
      </c>
      <c r="L122" s="209">
        <v>149.48000000000002</v>
      </c>
      <c r="M122" s="209">
        <v>212.16000000000003</v>
      </c>
      <c r="N122" s="98"/>
      <c r="O122" s="98"/>
      <c r="P122" s="98"/>
      <c r="Q122" s="208">
        <v>129.51999999999998</v>
      </c>
      <c r="R122" s="98">
        <v>186.32</v>
      </c>
      <c r="S122" s="98">
        <v>166.60000000000002</v>
      </c>
      <c r="T122" s="98">
        <v>252.68</v>
      </c>
      <c r="U122" s="98">
        <v>129.51999999999998</v>
      </c>
      <c r="V122" s="98">
        <v>514.40000000000009</v>
      </c>
      <c r="W122" s="98">
        <v>569.59999999999991</v>
      </c>
      <c r="X122" s="98"/>
      <c r="Y122" s="98"/>
      <c r="Z122" s="98"/>
      <c r="AA122" s="230"/>
      <c r="AB122" s="230">
        <f t="shared" ref="AB122:AB140" si="0">AB121-$AC$119</f>
        <v>393.65999999999997</v>
      </c>
    </row>
    <row r="123" spans="2:29">
      <c r="B123" s="98">
        <v>153</v>
      </c>
      <c r="C123" s="98">
        <v>131.30000000000001</v>
      </c>
      <c r="D123" s="98">
        <v>647</v>
      </c>
      <c r="E123" s="98">
        <v>213.6</v>
      </c>
      <c r="F123" s="98">
        <v>218.6</v>
      </c>
      <c r="G123" s="98">
        <v>176.4</v>
      </c>
      <c r="H123" s="98">
        <v>131.19999999999999</v>
      </c>
      <c r="I123" s="98">
        <v>160.1</v>
      </c>
      <c r="J123" s="98">
        <v>213.5</v>
      </c>
      <c r="K123" s="208">
        <v>139.22000000000003</v>
      </c>
      <c r="L123" s="208">
        <v>149.22000000000003</v>
      </c>
      <c r="M123" s="208">
        <v>211.74000000000004</v>
      </c>
      <c r="N123" s="98"/>
      <c r="O123" s="98"/>
      <c r="P123" s="98"/>
      <c r="Q123" s="208">
        <v>129.27999999999997</v>
      </c>
      <c r="R123" s="98">
        <v>185.98</v>
      </c>
      <c r="S123" s="98">
        <v>166.40000000000003</v>
      </c>
      <c r="T123" s="98">
        <v>252.52</v>
      </c>
      <c r="U123" s="98">
        <v>129.27999999999997</v>
      </c>
      <c r="V123" s="98">
        <v>514.10000000000014</v>
      </c>
      <c r="W123" s="98">
        <v>569.39999999999986</v>
      </c>
      <c r="X123" s="98"/>
      <c r="Y123" s="98"/>
      <c r="Z123" s="98"/>
      <c r="AA123" s="230"/>
      <c r="AB123" s="230">
        <f>AB122-$AC$119</f>
        <v>392.92999999999995</v>
      </c>
    </row>
    <row r="124" spans="2:29">
      <c r="B124" s="98">
        <v>154</v>
      </c>
      <c r="C124" s="98">
        <v>131</v>
      </c>
      <c r="D124" s="98">
        <v>646.70000000000005</v>
      </c>
      <c r="E124" s="98">
        <v>213.5</v>
      </c>
      <c r="F124" s="98">
        <v>218.5</v>
      </c>
      <c r="G124" s="98">
        <v>176.2</v>
      </c>
      <c r="H124" s="98">
        <v>131</v>
      </c>
      <c r="I124" s="98">
        <v>159.80000000000001</v>
      </c>
      <c r="J124" s="98">
        <v>213.4</v>
      </c>
      <c r="K124" s="209">
        <v>138.96000000000004</v>
      </c>
      <c r="L124" s="209">
        <v>148.96000000000004</v>
      </c>
      <c r="M124" s="209">
        <v>211.32000000000005</v>
      </c>
      <c r="N124" s="98"/>
      <c r="O124" s="98"/>
      <c r="P124" s="98"/>
      <c r="Q124" s="208">
        <v>129.03999999999996</v>
      </c>
      <c r="R124" s="98">
        <v>185.64</v>
      </c>
      <c r="S124" s="98">
        <v>166.20000000000005</v>
      </c>
      <c r="T124" s="98">
        <v>252.36</v>
      </c>
      <c r="U124" s="98">
        <v>129.03999999999996</v>
      </c>
      <c r="V124" s="98">
        <v>513.80000000000018</v>
      </c>
      <c r="W124" s="98">
        <v>569.19999999999982</v>
      </c>
      <c r="X124" s="98"/>
      <c r="Y124" s="98"/>
      <c r="Z124" s="98"/>
      <c r="AA124" s="230"/>
      <c r="AB124" s="230">
        <f t="shared" si="0"/>
        <v>392.19999999999993</v>
      </c>
    </row>
    <row r="125" spans="2:29">
      <c r="B125" s="98">
        <v>155</v>
      </c>
      <c r="C125" s="98">
        <v>130.80000000000001</v>
      </c>
      <c r="D125" s="98">
        <v>646.4</v>
      </c>
      <c r="E125" s="98">
        <v>213.4</v>
      </c>
      <c r="F125" s="98">
        <v>218.4</v>
      </c>
      <c r="G125" s="98">
        <v>176</v>
      </c>
      <c r="H125" s="98">
        <v>130.80000000000001</v>
      </c>
      <c r="I125" s="98">
        <v>159.6</v>
      </c>
      <c r="J125" s="98">
        <v>213.2</v>
      </c>
      <c r="K125" s="208">
        <v>138.70000000000005</v>
      </c>
      <c r="L125" s="208">
        <v>148.70000000000005</v>
      </c>
      <c r="M125" s="208">
        <v>210.90000000000006</v>
      </c>
      <c r="N125" s="98"/>
      <c r="O125" s="98"/>
      <c r="P125" s="98"/>
      <c r="Q125" s="208">
        <v>128.79999999999995</v>
      </c>
      <c r="R125" s="98">
        <v>185.29999999999998</v>
      </c>
      <c r="S125" s="98">
        <v>166.00000000000006</v>
      </c>
      <c r="T125" s="98">
        <v>252.20000000000002</v>
      </c>
      <c r="U125" s="98">
        <v>128.79999999999995</v>
      </c>
      <c r="V125" s="98">
        <v>513.50000000000023</v>
      </c>
      <c r="W125" s="98">
        <v>568.99999999999977</v>
      </c>
      <c r="X125" s="98"/>
      <c r="Y125" s="98"/>
      <c r="Z125" s="98"/>
      <c r="AA125" s="230"/>
      <c r="AB125" s="230">
        <f t="shared" si="0"/>
        <v>391.46999999999991</v>
      </c>
    </row>
    <row r="126" spans="2:29">
      <c r="B126" s="98">
        <v>156</v>
      </c>
      <c r="C126" s="98">
        <v>130.6</v>
      </c>
      <c r="D126" s="98">
        <v>646.1</v>
      </c>
      <c r="E126" s="98">
        <v>213.3</v>
      </c>
      <c r="F126" s="98">
        <v>218.3</v>
      </c>
      <c r="G126" s="98">
        <v>175.8</v>
      </c>
      <c r="H126" s="98">
        <v>130.6</v>
      </c>
      <c r="I126" s="98">
        <v>159.30000000000001</v>
      </c>
      <c r="J126" s="98">
        <v>213</v>
      </c>
      <c r="K126" s="209">
        <v>138.44000000000005</v>
      </c>
      <c r="L126" s="209">
        <v>148.44000000000005</v>
      </c>
      <c r="M126" s="209">
        <v>210.48000000000008</v>
      </c>
      <c r="N126" s="98"/>
      <c r="O126" s="98"/>
      <c r="P126" s="98"/>
      <c r="Q126" s="208">
        <v>128.55999999999995</v>
      </c>
      <c r="R126" s="98">
        <v>184.95999999999998</v>
      </c>
      <c r="S126" s="98">
        <v>165.80000000000007</v>
      </c>
      <c r="T126" s="98">
        <v>252.04000000000002</v>
      </c>
      <c r="U126" s="98">
        <v>128.55999999999995</v>
      </c>
      <c r="V126" s="98">
        <v>513.20000000000027</v>
      </c>
      <c r="W126" s="98">
        <v>568.79999999999973</v>
      </c>
      <c r="X126" s="98"/>
      <c r="Y126" s="98"/>
      <c r="Z126" s="98"/>
      <c r="AA126" s="230"/>
      <c r="AB126" s="230">
        <f t="shared" si="0"/>
        <v>390.7399999999999</v>
      </c>
    </row>
    <row r="127" spans="2:29">
      <c r="B127" s="98">
        <v>157</v>
      </c>
      <c r="C127" s="98">
        <v>130.30000000000001</v>
      </c>
      <c r="D127" s="98">
        <v>645.79999999999995</v>
      </c>
      <c r="E127" s="98">
        <v>213.2</v>
      </c>
      <c r="F127" s="98">
        <v>218.2</v>
      </c>
      <c r="G127" s="98">
        <v>175.6</v>
      </c>
      <c r="H127" s="98">
        <v>130.4</v>
      </c>
      <c r="I127" s="98">
        <v>159.1</v>
      </c>
      <c r="J127" s="98">
        <v>212.9</v>
      </c>
      <c r="K127" s="208">
        <v>138.18000000000006</v>
      </c>
      <c r="L127" s="208">
        <v>148.18000000000006</v>
      </c>
      <c r="M127" s="208">
        <v>210.06000000000009</v>
      </c>
      <c r="N127" s="98"/>
      <c r="O127" s="98"/>
      <c r="P127" s="98"/>
      <c r="Q127" s="208">
        <v>128.31999999999994</v>
      </c>
      <c r="R127" s="98">
        <v>184.61999999999998</v>
      </c>
      <c r="S127" s="98">
        <v>165.60000000000008</v>
      </c>
      <c r="T127" s="98">
        <v>251.88000000000002</v>
      </c>
      <c r="U127" s="98">
        <v>128.31999999999994</v>
      </c>
      <c r="V127" s="98">
        <v>512.90000000000032</v>
      </c>
      <c r="W127" s="98">
        <v>568.59999999999968</v>
      </c>
      <c r="X127" s="98"/>
      <c r="Y127" s="98"/>
      <c r="Z127" s="98"/>
      <c r="AA127" s="230"/>
      <c r="AB127" s="230">
        <f t="shared" si="0"/>
        <v>390.00999999999988</v>
      </c>
    </row>
    <row r="128" spans="2:29">
      <c r="B128" s="98">
        <v>158</v>
      </c>
      <c r="C128" s="98">
        <v>130.1</v>
      </c>
      <c r="D128" s="98">
        <v>645.4</v>
      </c>
      <c r="E128" s="98">
        <v>213</v>
      </c>
      <c r="F128" s="98">
        <v>218</v>
      </c>
      <c r="G128" s="98">
        <v>175.4</v>
      </c>
      <c r="H128" s="98">
        <v>130.19999999999999</v>
      </c>
      <c r="I128" s="98">
        <v>158.9</v>
      </c>
      <c r="J128" s="98">
        <v>212.7</v>
      </c>
      <c r="K128" s="209">
        <v>137.92000000000007</v>
      </c>
      <c r="L128" s="209">
        <v>147.92000000000007</v>
      </c>
      <c r="M128" s="209">
        <v>209.6400000000001</v>
      </c>
      <c r="N128" s="98"/>
      <c r="O128" s="98"/>
      <c r="P128" s="98"/>
      <c r="Q128" s="208">
        <v>128.07999999999993</v>
      </c>
      <c r="R128" s="98">
        <v>184.27999999999997</v>
      </c>
      <c r="S128" s="98">
        <v>165.40000000000009</v>
      </c>
      <c r="T128" s="98">
        <v>251.72000000000003</v>
      </c>
      <c r="U128" s="98">
        <v>128.07999999999993</v>
      </c>
      <c r="V128" s="98">
        <v>512.60000000000036</v>
      </c>
      <c r="W128" s="98">
        <v>568.39999999999964</v>
      </c>
      <c r="X128" s="98"/>
      <c r="Y128" s="98"/>
      <c r="Z128" s="98"/>
      <c r="AA128" s="230"/>
      <c r="AB128" s="230">
        <f t="shared" si="0"/>
        <v>389.27999999999986</v>
      </c>
    </row>
    <row r="129" spans="2:28">
      <c r="B129" s="98">
        <v>159</v>
      </c>
      <c r="C129" s="98">
        <v>129.80000000000001</v>
      </c>
      <c r="D129" s="98">
        <v>645.1</v>
      </c>
      <c r="E129" s="98">
        <v>212.9</v>
      </c>
      <c r="F129" s="98">
        <v>217.9</v>
      </c>
      <c r="G129" s="98">
        <v>175.2</v>
      </c>
      <c r="H129" s="98">
        <v>130</v>
      </c>
      <c r="I129" s="98">
        <v>158.6</v>
      </c>
      <c r="J129" s="98">
        <v>212.6</v>
      </c>
      <c r="K129" s="208">
        <v>137.66000000000008</v>
      </c>
      <c r="L129" s="208">
        <v>147.66000000000008</v>
      </c>
      <c r="M129" s="208">
        <v>209.22000000000011</v>
      </c>
      <c r="N129" s="98"/>
      <c r="O129" s="98"/>
      <c r="P129" s="98"/>
      <c r="Q129" s="208">
        <v>127.83999999999993</v>
      </c>
      <c r="R129" s="98">
        <v>183.93999999999997</v>
      </c>
      <c r="S129" s="98">
        <v>165.2000000000001</v>
      </c>
      <c r="T129" s="98">
        <v>251.56000000000003</v>
      </c>
      <c r="U129" s="98">
        <v>127.83999999999993</v>
      </c>
      <c r="V129" s="98">
        <v>512.30000000000041</v>
      </c>
      <c r="W129" s="98">
        <v>568.19999999999959</v>
      </c>
      <c r="X129" s="98"/>
      <c r="Y129" s="98"/>
      <c r="Z129" s="98"/>
      <c r="AA129" s="230"/>
      <c r="AB129" s="230">
        <f t="shared" si="0"/>
        <v>388.54999999999984</v>
      </c>
    </row>
    <row r="130" spans="2:28">
      <c r="B130" s="98">
        <v>160</v>
      </c>
      <c r="C130" s="98">
        <v>129.6</v>
      </c>
      <c r="D130" s="98">
        <v>644.79999999999995</v>
      </c>
      <c r="E130" s="98">
        <v>212.8</v>
      </c>
      <c r="F130" s="98">
        <v>217.8</v>
      </c>
      <c r="G130" s="98">
        <v>175</v>
      </c>
      <c r="H130" s="98">
        <v>129.80000000000001</v>
      </c>
      <c r="I130" s="98">
        <v>158.4</v>
      </c>
      <c r="J130" s="98">
        <v>212.4</v>
      </c>
      <c r="K130" s="209">
        <v>137.40000000000009</v>
      </c>
      <c r="L130" s="209">
        <v>147.40000000000009</v>
      </c>
      <c r="M130" s="209">
        <v>208.80000000000013</v>
      </c>
      <c r="N130" s="98"/>
      <c r="O130" s="98"/>
      <c r="P130" s="98"/>
      <c r="Q130" s="208">
        <v>127.59999999999994</v>
      </c>
      <c r="R130" s="98">
        <v>183.59999999999997</v>
      </c>
      <c r="S130" s="98">
        <v>165.00000000000011</v>
      </c>
      <c r="T130" s="98">
        <v>251.40000000000003</v>
      </c>
      <c r="U130" s="98">
        <v>127.59999999999994</v>
      </c>
      <c r="V130" s="98">
        <v>512.00000000000045</v>
      </c>
      <c r="W130" s="98">
        <v>567.99999999999955</v>
      </c>
      <c r="X130" s="98"/>
      <c r="Y130" s="98"/>
      <c r="Z130" s="98"/>
      <c r="AA130" s="230"/>
      <c r="AB130" s="230">
        <f t="shared" si="0"/>
        <v>387.81999999999982</v>
      </c>
    </row>
    <row r="131" spans="2:28">
      <c r="B131" s="98">
        <v>161</v>
      </c>
      <c r="C131" s="98">
        <v>129.4</v>
      </c>
      <c r="D131" s="98">
        <v>644.5</v>
      </c>
      <c r="E131" s="98">
        <v>212.7</v>
      </c>
      <c r="F131" s="98">
        <v>217.7</v>
      </c>
      <c r="G131" s="98">
        <v>174.8</v>
      </c>
      <c r="H131" s="98">
        <v>129.6</v>
      </c>
      <c r="I131" s="98">
        <v>158.19999999999999</v>
      </c>
      <c r="J131" s="98">
        <v>212.2</v>
      </c>
      <c r="K131" s="208">
        <v>137.1400000000001</v>
      </c>
      <c r="L131" s="208">
        <v>147.1400000000001</v>
      </c>
      <c r="M131" s="208">
        <v>208.38000000000014</v>
      </c>
      <c r="N131" s="98"/>
      <c r="O131" s="98"/>
      <c r="P131" s="98"/>
      <c r="Q131" s="208">
        <v>127.35999999999994</v>
      </c>
      <c r="R131" s="98">
        <v>183.25999999999996</v>
      </c>
      <c r="S131" s="98">
        <v>164.80000000000013</v>
      </c>
      <c r="T131" s="98">
        <v>251.24000000000004</v>
      </c>
      <c r="U131" s="98">
        <v>127.35999999999994</v>
      </c>
      <c r="V131" s="98">
        <v>511.70000000000044</v>
      </c>
      <c r="W131" s="98">
        <v>567.7999999999995</v>
      </c>
      <c r="X131" s="98"/>
      <c r="Y131" s="98"/>
      <c r="Z131" s="98"/>
      <c r="AA131" s="230"/>
      <c r="AB131" s="230">
        <f t="shared" si="0"/>
        <v>387.0899999999998</v>
      </c>
    </row>
    <row r="132" spans="2:28">
      <c r="B132" s="98">
        <v>162</v>
      </c>
      <c r="C132" s="98">
        <v>129.1</v>
      </c>
      <c r="D132" s="98">
        <v>644.20000000000005</v>
      </c>
      <c r="E132" s="98">
        <v>212.6</v>
      </c>
      <c r="F132" s="98">
        <v>217.6</v>
      </c>
      <c r="G132" s="98">
        <v>174.6</v>
      </c>
      <c r="H132" s="98">
        <v>129.4</v>
      </c>
      <c r="I132" s="98">
        <v>157.9</v>
      </c>
      <c r="J132" s="98">
        <v>212.1</v>
      </c>
      <c r="K132" s="209">
        <v>136.88000000000011</v>
      </c>
      <c r="L132" s="209">
        <v>146.88000000000011</v>
      </c>
      <c r="M132" s="209">
        <v>207.96000000000015</v>
      </c>
      <c r="N132" s="98"/>
      <c r="O132" s="98"/>
      <c r="P132" s="98"/>
      <c r="Q132" s="208">
        <v>127.11999999999995</v>
      </c>
      <c r="R132" s="98">
        <v>182.91999999999996</v>
      </c>
      <c r="S132" s="98">
        <v>164.60000000000014</v>
      </c>
      <c r="T132" s="98">
        <v>251.08000000000004</v>
      </c>
      <c r="U132" s="98">
        <v>127.11999999999995</v>
      </c>
      <c r="V132" s="98">
        <v>511.40000000000043</v>
      </c>
      <c r="W132" s="98">
        <v>567.59999999999945</v>
      </c>
      <c r="X132" s="98"/>
      <c r="Y132" s="98"/>
      <c r="Z132" s="98"/>
      <c r="AA132" s="230"/>
      <c r="AB132" s="230">
        <f t="shared" si="0"/>
        <v>386.35999999999979</v>
      </c>
    </row>
    <row r="133" spans="2:28">
      <c r="B133" s="98">
        <v>163</v>
      </c>
      <c r="C133" s="98">
        <v>128.9</v>
      </c>
      <c r="D133" s="98">
        <v>643.79999999999995</v>
      </c>
      <c r="E133" s="98">
        <v>212.4</v>
      </c>
      <c r="F133" s="98">
        <v>217.4</v>
      </c>
      <c r="G133" s="98">
        <v>174.4</v>
      </c>
      <c r="H133" s="98">
        <v>129.19999999999999</v>
      </c>
      <c r="I133" s="98">
        <v>157.69999999999999</v>
      </c>
      <c r="J133" s="98">
        <v>211.9</v>
      </c>
      <c r="K133" s="208">
        <v>136.62000000000012</v>
      </c>
      <c r="L133" s="208">
        <v>146.62000000000012</v>
      </c>
      <c r="M133" s="208">
        <v>207.54000000000016</v>
      </c>
      <c r="N133" s="98"/>
      <c r="O133" s="98"/>
      <c r="P133" s="98"/>
      <c r="Q133" s="208">
        <v>126.87999999999995</v>
      </c>
      <c r="R133" s="98">
        <v>182.57999999999996</v>
      </c>
      <c r="S133" s="98">
        <v>164.40000000000015</v>
      </c>
      <c r="T133" s="98">
        <v>250.92000000000004</v>
      </c>
      <c r="U133" s="98">
        <v>126.87999999999995</v>
      </c>
      <c r="V133" s="98">
        <v>511.10000000000042</v>
      </c>
      <c r="W133" s="98">
        <v>567.39999999999941</v>
      </c>
      <c r="X133" s="98"/>
      <c r="Y133" s="98"/>
      <c r="Z133" s="98"/>
      <c r="AA133" s="230"/>
      <c r="AB133" s="230">
        <f t="shared" si="0"/>
        <v>385.62999999999977</v>
      </c>
    </row>
    <row r="134" spans="2:28">
      <c r="B134" s="98">
        <v>164</v>
      </c>
      <c r="C134" s="98">
        <v>128.6</v>
      </c>
      <c r="D134" s="98">
        <v>643.5</v>
      </c>
      <c r="E134" s="98">
        <v>212.3</v>
      </c>
      <c r="F134" s="98">
        <v>217.3</v>
      </c>
      <c r="G134" s="98">
        <v>174.2</v>
      </c>
      <c r="H134" s="98">
        <v>129</v>
      </c>
      <c r="I134" s="98">
        <v>157.5</v>
      </c>
      <c r="J134" s="98">
        <v>211.8</v>
      </c>
      <c r="K134" s="209">
        <v>136.36000000000013</v>
      </c>
      <c r="L134" s="209">
        <v>146.36000000000013</v>
      </c>
      <c r="M134" s="209">
        <v>207.12000000000018</v>
      </c>
      <c r="N134" s="98"/>
      <c r="O134" s="98"/>
      <c r="P134" s="98"/>
      <c r="Q134" s="208">
        <v>126.63999999999996</v>
      </c>
      <c r="R134" s="98">
        <v>182.23999999999995</v>
      </c>
      <c r="S134" s="98">
        <v>164.20000000000016</v>
      </c>
      <c r="T134" s="98">
        <v>250.76000000000005</v>
      </c>
      <c r="U134" s="98">
        <v>126.63999999999996</v>
      </c>
      <c r="V134" s="98">
        <v>510.80000000000041</v>
      </c>
      <c r="W134" s="98">
        <v>567.19999999999936</v>
      </c>
      <c r="X134" s="98"/>
      <c r="Y134" s="98"/>
      <c r="Z134" s="98"/>
      <c r="AA134" s="230"/>
      <c r="AB134" s="230">
        <f t="shared" si="0"/>
        <v>384.89999999999975</v>
      </c>
    </row>
    <row r="135" spans="2:28">
      <c r="B135" s="98">
        <v>165</v>
      </c>
      <c r="C135" s="98">
        <v>128.4</v>
      </c>
      <c r="D135" s="98">
        <v>643.20000000000005</v>
      </c>
      <c r="E135" s="98">
        <v>212.2</v>
      </c>
      <c r="F135" s="98">
        <v>217.2</v>
      </c>
      <c r="G135" s="98">
        <v>174</v>
      </c>
      <c r="H135" s="98">
        <v>128.80000000000001</v>
      </c>
      <c r="I135" s="98">
        <v>157.19999999999999</v>
      </c>
      <c r="J135" s="98">
        <v>211.6</v>
      </c>
      <c r="K135" s="208">
        <v>136.10000000000014</v>
      </c>
      <c r="L135" s="208">
        <v>146.10000000000014</v>
      </c>
      <c r="M135" s="208">
        <v>206.70000000000019</v>
      </c>
      <c r="N135" s="98"/>
      <c r="O135" s="98"/>
      <c r="P135" s="98"/>
      <c r="Q135" s="208">
        <v>126.39999999999996</v>
      </c>
      <c r="R135" s="98">
        <v>181.89999999999995</v>
      </c>
      <c r="S135" s="98">
        <v>164.00000000000017</v>
      </c>
      <c r="T135" s="98">
        <v>250.60000000000005</v>
      </c>
      <c r="U135" s="98">
        <v>126.39999999999996</v>
      </c>
      <c r="V135" s="98">
        <v>510.5000000000004</v>
      </c>
      <c r="W135" s="98">
        <v>566.99999999999932</v>
      </c>
      <c r="X135" s="98"/>
      <c r="Y135" s="98"/>
      <c r="Z135" s="98"/>
      <c r="AA135" s="230"/>
      <c r="AB135" s="230">
        <f t="shared" si="0"/>
        <v>384.16999999999973</v>
      </c>
    </row>
    <row r="136" spans="2:28">
      <c r="B136" s="98">
        <v>166</v>
      </c>
      <c r="C136" s="98">
        <v>128.19999999999999</v>
      </c>
      <c r="D136" s="98">
        <v>642.9</v>
      </c>
      <c r="E136" s="98">
        <v>212.1</v>
      </c>
      <c r="F136" s="98">
        <v>217.1</v>
      </c>
      <c r="G136" s="98">
        <v>173.8</v>
      </c>
      <c r="H136" s="98">
        <v>128.6</v>
      </c>
      <c r="I136" s="98">
        <v>157</v>
      </c>
      <c r="J136" s="98">
        <v>211.4</v>
      </c>
      <c r="K136" s="209">
        <v>135.84000000000015</v>
      </c>
      <c r="L136" s="209">
        <v>145.84000000000015</v>
      </c>
      <c r="M136" s="209">
        <v>206.2800000000002</v>
      </c>
      <c r="N136" s="98"/>
      <c r="O136" s="98"/>
      <c r="P136" s="98"/>
      <c r="Q136" s="208">
        <v>126.15999999999997</v>
      </c>
      <c r="R136" s="98">
        <v>181.55999999999995</v>
      </c>
      <c r="S136" s="98">
        <v>163.80000000000018</v>
      </c>
      <c r="T136" s="98">
        <v>250.44000000000005</v>
      </c>
      <c r="U136" s="98">
        <v>126.15999999999997</v>
      </c>
      <c r="V136" s="98">
        <v>510.20000000000039</v>
      </c>
      <c r="W136" s="98">
        <v>566.79999999999927</v>
      </c>
      <c r="X136" s="98"/>
      <c r="Y136" s="98"/>
      <c r="Z136" s="98"/>
      <c r="AA136" s="230"/>
      <c r="AB136" s="230">
        <f t="shared" si="0"/>
        <v>383.43999999999971</v>
      </c>
    </row>
    <row r="137" spans="2:28">
      <c r="B137" s="98">
        <v>167</v>
      </c>
      <c r="C137" s="98">
        <v>127.9</v>
      </c>
      <c r="D137" s="98">
        <v>642.6</v>
      </c>
      <c r="E137" s="98">
        <v>212</v>
      </c>
      <c r="F137" s="98">
        <v>217</v>
      </c>
      <c r="G137" s="98">
        <v>173.6</v>
      </c>
      <c r="H137" s="98">
        <v>128.4</v>
      </c>
      <c r="I137" s="98">
        <v>156.69999999999999</v>
      </c>
      <c r="J137" s="98">
        <v>211.3</v>
      </c>
      <c r="K137" s="208">
        <v>135.58000000000015</v>
      </c>
      <c r="L137" s="208">
        <v>145.58000000000015</v>
      </c>
      <c r="M137" s="208">
        <v>205.86000000000021</v>
      </c>
      <c r="N137" s="98"/>
      <c r="O137" s="98"/>
      <c r="P137" s="98"/>
      <c r="Q137" s="208">
        <v>125.91999999999997</v>
      </c>
      <c r="R137" s="98">
        <v>181.21999999999994</v>
      </c>
      <c r="S137" s="98">
        <v>163.60000000000019</v>
      </c>
      <c r="T137" s="98">
        <v>250.28000000000006</v>
      </c>
      <c r="U137" s="98">
        <v>125.91999999999997</v>
      </c>
      <c r="V137" s="98">
        <v>509.90000000000038</v>
      </c>
      <c r="W137" s="98">
        <v>566.59999999999923</v>
      </c>
      <c r="X137" s="98"/>
      <c r="Y137" s="98"/>
      <c r="Z137" s="98"/>
      <c r="AA137" s="230"/>
      <c r="AB137" s="230">
        <f t="shared" si="0"/>
        <v>382.7099999999997</v>
      </c>
    </row>
    <row r="138" spans="2:28">
      <c r="B138" s="98">
        <v>168</v>
      </c>
      <c r="C138" s="98">
        <v>127.7</v>
      </c>
      <c r="D138" s="98">
        <v>642.20000000000005</v>
      </c>
      <c r="E138" s="98">
        <v>211.8</v>
      </c>
      <c r="F138" s="98">
        <v>216.8</v>
      </c>
      <c r="G138" s="98">
        <v>173.4</v>
      </c>
      <c r="H138" s="98">
        <v>128.19999999999999</v>
      </c>
      <c r="I138" s="98">
        <v>156.5</v>
      </c>
      <c r="J138" s="98">
        <v>211.1</v>
      </c>
      <c r="K138" s="209">
        <v>135.32000000000016</v>
      </c>
      <c r="L138" s="209">
        <v>145.32000000000016</v>
      </c>
      <c r="M138" s="209">
        <v>205.44000000000023</v>
      </c>
      <c r="N138" s="98"/>
      <c r="O138" s="98"/>
      <c r="P138" s="98"/>
      <c r="Q138" s="208">
        <v>125.67999999999998</v>
      </c>
      <c r="R138" s="98">
        <v>180.87999999999994</v>
      </c>
      <c r="S138" s="98">
        <v>163.4000000000002</v>
      </c>
      <c r="T138" s="98">
        <v>250.12000000000006</v>
      </c>
      <c r="U138" s="98">
        <v>125.67999999999998</v>
      </c>
      <c r="V138" s="98">
        <v>509.60000000000036</v>
      </c>
      <c r="W138" s="98">
        <v>566.39999999999918</v>
      </c>
      <c r="X138" s="98"/>
      <c r="Y138" s="98"/>
      <c r="Z138" s="98"/>
      <c r="AA138" s="230"/>
      <c r="AB138" s="230">
        <f t="shared" si="0"/>
        <v>381.97999999999968</v>
      </c>
    </row>
    <row r="139" spans="2:28">
      <c r="B139" s="98">
        <v>169</v>
      </c>
      <c r="C139" s="98">
        <v>127.4</v>
      </c>
      <c r="D139" s="98">
        <v>641.9</v>
      </c>
      <c r="E139" s="98">
        <v>211.7</v>
      </c>
      <c r="F139" s="98">
        <v>216.7</v>
      </c>
      <c r="G139" s="98">
        <v>173.2</v>
      </c>
      <c r="H139" s="98">
        <v>128</v>
      </c>
      <c r="I139" s="98">
        <v>156.30000000000001</v>
      </c>
      <c r="J139" s="98">
        <v>211</v>
      </c>
      <c r="K139" s="208">
        <v>135.06000000000017</v>
      </c>
      <c r="L139" s="208">
        <v>145.06000000000017</v>
      </c>
      <c r="M139" s="208">
        <v>205.02000000000024</v>
      </c>
      <c r="N139" s="98"/>
      <c r="O139" s="98"/>
      <c r="P139" s="98"/>
      <c r="Q139" s="208">
        <v>125.43999999999998</v>
      </c>
      <c r="R139" s="98">
        <v>180.53999999999994</v>
      </c>
      <c r="S139" s="98">
        <v>163.20000000000022</v>
      </c>
      <c r="T139" s="98">
        <v>249.96000000000006</v>
      </c>
      <c r="U139" s="98">
        <v>125.43999999999998</v>
      </c>
      <c r="V139" s="98">
        <v>509.30000000000035</v>
      </c>
      <c r="W139" s="98">
        <v>566.19999999999914</v>
      </c>
      <c r="X139" s="98"/>
      <c r="Y139" s="98"/>
      <c r="Z139" s="98"/>
      <c r="AA139" s="230"/>
      <c r="AB139" s="230">
        <f t="shared" si="0"/>
        <v>381.24999999999966</v>
      </c>
    </row>
    <row r="140" spans="2:28">
      <c r="B140" s="98">
        <v>170</v>
      </c>
      <c r="C140" s="98">
        <v>127.2</v>
      </c>
      <c r="D140" s="98">
        <v>641.6</v>
      </c>
      <c r="E140" s="98">
        <v>211.6</v>
      </c>
      <c r="F140" s="98">
        <v>216.6</v>
      </c>
      <c r="G140" s="98">
        <v>173</v>
      </c>
      <c r="H140" s="98">
        <v>127.8</v>
      </c>
      <c r="I140" s="98">
        <v>156</v>
      </c>
      <c r="J140" s="98">
        <v>210.8</v>
      </c>
      <c r="K140" s="209">
        <v>134.80000000000018</v>
      </c>
      <c r="L140" s="209">
        <v>144.80000000000018</v>
      </c>
      <c r="M140" s="209">
        <v>204.60000000000025</v>
      </c>
      <c r="N140" s="98"/>
      <c r="O140" s="98"/>
      <c r="P140" s="98"/>
      <c r="Q140" s="208">
        <v>125.19999999999999</v>
      </c>
      <c r="R140" s="98">
        <v>180.19999999999993</v>
      </c>
      <c r="S140" s="98">
        <v>163.00000000000023</v>
      </c>
      <c r="T140" s="98">
        <v>249.80000000000007</v>
      </c>
      <c r="U140" s="98">
        <v>125.19999999999999</v>
      </c>
      <c r="V140" s="98">
        <v>509.00000000000034</v>
      </c>
      <c r="W140" s="98">
        <v>565.99999999999909</v>
      </c>
      <c r="X140" s="98"/>
      <c r="Y140" s="98"/>
      <c r="Z140" s="98"/>
      <c r="AA140" s="230"/>
      <c r="AB140" s="230">
        <f t="shared" si="0"/>
        <v>380.51999999999964</v>
      </c>
    </row>
    <row r="141" spans="2:28">
      <c r="B141" s="98">
        <v>171</v>
      </c>
      <c r="C141" s="98">
        <v>127</v>
      </c>
      <c r="D141" s="98">
        <v>641.29999999999995</v>
      </c>
      <c r="E141" s="98">
        <v>211.5</v>
      </c>
      <c r="F141" s="98">
        <v>216.5</v>
      </c>
      <c r="G141" s="98">
        <v>172.8</v>
      </c>
      <c r="H141" s="98">
        <v>127.6</v>
      </c>
      <c r="I141" s="98">
        <v>155.80000000000001</v>
      </c>
      <c r="J141" s="98">
        <v>210.6</v>
      </c>
      <c r="K141" s="208">
        <v>134.54000000000019</v>
      </c>
      <c r="L141" s="208">
        <v>144.54000000000019</v>
      </c>
      <c r="M141" s="208">
        <v>204.18000000000026</v>
      </c>
      <c r="N141" s="98"/>
      <c r="O141" s="98"/>
      <c r="P141" s="98"/>
      <c r="Q141" s="208">
        <v>124.96</v>
      </c>
      <c r="R141" s="98">
        <v>179.85999999999993</v>
      </c>
      <c r="S141" s="98">
        <v>162.80000000000024</v>
      </c>
      <c r="T141" s="98">
        <v>249.64000000000007</v>
      </c>
      <c r="U141" s="98">
        <v>124.96</v>
      </c>
      <c r="V141" s="98">
        <v>508.70000000000033</v>
      </c>
      <c r="W141" s="98">
        <v>565.79999999999905</v>
      </c>
      <c r="X141" s="98"/>
      <c r="Y141" s="98"/>
      <c r="Z141" s="98"/>
      <c r="AA141" s="230"/>
      <c r="AB141" s="230"/>
    </row>
    <row r="142" spans="2:28">
      <c r="B142" s="98">
        <v>172</v>
      </c>
      <c r="C142" s="98">
        <v>126.7</v>
      </c>
      <c r="D142" s="98">
        <v>641</v>
      </c>
      <c r="E142" s="98">
        <v>211.4</v>
      </c>
      <c r="F142" s="98">
        <v>216.4</v>
      </c>
      <c r="G142" s="98">
        <v>172.6</v>
      </c>
      <c r="H142" s="98">
        <v>127.4</v>
      </c>
      <c r="I142" s="98">
        <v>155.6</v>
      </c>
      <c r="J142" s="98">
        <v>210.5</v>
      </c>
      <c r="K142" s="209">
        <v>134.2800000000002</v>
      </c>
      <c r="L142" s="209">
        <v>144.2800000000002</v>
      </c>
      <c r="M142" s="209">
        <v>203.76000000000028</v>
      </c>
      <c r="N142" s="98"/>
      <c r="O142" s="98"/>
      <c r="P142" s="98"/>
      <c r="Q142" s="208">
        <v>124.72</v>
      </c>
      <c r="R142" s="98">
        <v>179.51999999999992</v>
      </c>
      <c r="S142" s="98">
        <v>162.60000000000025</v>
      </c>
      <c r="T142" s="98">
        <v>249.48000000000008</v>
      </c>
      <c r="U142" s="98">
        <v>124.72</v>
      </c>
      <c r="V142" s="98">
        <v>508.40000000000032</v>
      </c>
      <c r="W142" s="98">
        <v>565.599999999999</v>
      </c>
      <c r="X142" s="98"/>
      <c r="Y142" s="98"/>
      <c r="Z142" s="98"/>
      <c r="AA142" s="230"/>
      <c r="AB142" s="230"/>
    </row>
    <row r="143" spans="2:28">
      <c r="B143" s="98">
        <v>173</v>
      </c>
      <c r="C143" s="98">
        <v>126.5</v>
      </c>
      <c r="D143" s="98">
        <v>640.6</v>
      </c>
      <c r="E143" s="98">
        <v>211.2</v>
      </c>
      <c r="F143" s="98">
        <v>216.2</v>
      </c>
      <c r="G143" s="98">
        <v>172.4</v>
      </c>
      <c r="H143" s="98">
        <v>127.2</v>
      </c>
      <c r="I143" s="98">
        <v>155.30000000000001</v>
      </c>
      <c r="J143" s="98">
        <v>210.3</v>
      </c>
      <c r="K143" s="208">
        <v>134.02000000000021</v>
      </c>
      <c r="L143" s="208">
        <v>144.02000000000021</v>
      </c>
      <c r="M143" s="208">
        <v>203.34000000000029</v>
      </c>
      <c r="N143" s="98"/>
      <c r="O143" s="98"/>
      <c r="P143" s="98"/>
      <c r="Q143" s="208">
        <v>124.48</v>
      </c>
      <c r="R143" s="98">
        <v>179.17999999999992</v>
      </c>
      <c r="S143" s="98">
        <v>162.40000000000026</v>
      </c>
      <c r="T143" s="98">
        <v>249.32000000000008</v>
      </c>
      <c r="U143" s="98">
        <v>124.48</v>
      </c>
      <c r="V143" s="98">
        <v>508.10000000000031</v>
      </c>
      <c r="W143" s="98">
        <v>565.39999999999895</v>
      </c>
      <c r="X143" s="98"/>
      <c r="Y143" s="98"/>
      <c r="Z143" s="98"/>
      <c r="AA143" s="230"/>
      <c r="AB143" s="230"/>
    </row>
    <row r="144" spans="2:28">
      <c r="B144" s="98">
        <v>174</v>
      </c>
      <c r="C144" s="98">
        <v>126.2</v>
      </c>
      <c r="D144" s="98">
        <v>640.29999999999995</v>
      </c>
      <c r="E144" s="98">
        <v>211.1</v>
      </c>
      <c r="F144" s="98">
        <v>216.1</v>
      </c>
      <c r="G144" s="98">
        <v>172.2</v>
      </c>
      <c r="H144" s="98">
        <v>127</v>
      </c>
      <c r="I144" s="98">
        <v>155.1</v>
      </c>
      <c r="J144" s="98">
        <v>210.2</v>
      </c>
      <c r="K144" s="209">
        <v>133.76000000000022</v>
      </c>
      <c r="L144" s="209">
        <v>143.76000000000022</v>
      </c>
      <c r="M144" s="209">
        <v>202.9200000000003</v>
      </c>
      <c r="N144" s="98"/>
      <c r="O144" s="98"/>
      <c r="P144" s="98"/>
      <c r="Q144" s="208">
        <v>124.24000000000001</v>
      </c>
      <c r="R144" s="98">
        <v>178.83999999999992</v>
      </c>
      <c r="S144" s="98">
        <v>162.20000000000027</v>
      </c>
      <c r="T144" s="98">
        <v>249.16000000000008</v>
      </c>
      <c r="U144" s="98">
        <v>124.24000000000001</v>
      </c>
      <c r="V144" s="98">
        <v>507.8000000000003</v>
      </c>
      <c r="W144" s="98">
        <v>565.19999999999891</v>
      </c>
      <c r="X144" s="98"/>
      <c r="Y144" s="98"/>
      <c r="Z144" s="98"/>
      <c r="AA144" s="230"/>
      <c r="AB144" s="230"/>
    </row>
    <row r="145" spans="2:28">
      <c r="B145" s="98">
        <v>175</v>
      </c>
      <c r="C145" s="98">
        <v>126</v>
      </c>
      <c r="D145" s="98">
        <v>640</v>
      </c>
      <c r="E145" s="98">
        <v>211</v>
      </c>
      <c r="F145" s="98">
        <v>216</v>
      </c>
      <c r="G145" s="98">
        <v>172</v>
      </c>
      <c r="H145" s="98">
        <v>126.8</v>
      </c>
      <c r="I145" s="98">
        <v>154.9</v>
      </c>
      <c r="J145" s="98">
        <v>210</v>
      </c>
      <c r="K145" s="208">
        <v>133.50000000000023</v>
      </c>
      <c r="L145" s="208">
        <v>143.50000000000023</v>
      </c>
      <c r="M145" s="208">
        <v>202.50000000000031</v>
      </c>
      <c r="N145" s="98"/>
      <c r="O145" s="98"/>
      <c r="P145" s="98"/>
      <c r="Q145" s="208">
        <v>124.00000000000001</v>
      </c>
      <c r="R145" s="98">
        <v>178.49999999999991</v>
      </c>
      <c r="S145" s="98">
        <v>162.00000000000028</v>
      </c>
      <c r="T145" s="98">
        <v>249.00000000000009</v>
      </c>
      <c r="U145" s="98">
        <v>124.00000000000001</v>
      </c>
      <c r="V145" s="98">
        <v>507.50000000000028</v>
      </c>
      <c r="W145" s="98">
        <v>564.99999999999886</v>
      </c>
      <c r="X145" s="98"/>
      <c r="Y145" s="98"/>
      <c r="Z145" s="98"/>
      <c r="AA145" s="230"/>
      <c r="AB145" s="230"/>
    </row>
    <row r="146" spans="2:28">
      <c r="B146" s="98">
        <v>176</v>
      </c>
      <c r="C146" s="98">
        <v>125.8</v>
      </c>
      <c r="D146" s="98">
        <v>639.70000000000005</v>
      </c>
      <c r="E146" s="98">
        <v>210.8</v>
      </c>
      <c r="F146" s="98">
        <v>215.9</v>
      </c>
      <c r="G146" s="98">
        <v>171.8</v>
      </c>
      <c r="H146" s="98">
        <v>126.6</v>
      </c>
      <c r="I146" s="98">
        <v>154.6</v>
      </c>
      <c r="J146" s="98">
        <v>209.9</v>
      </c>
      <c r="K146" s="209">
        <v>133.24000000000024</v>
      </c>
      <c r="L146" s="209">
        <v>143.24000000000024</v>
      </c>
      <c r="M146" s="209">
        <v>202.08000000000033</v>
      </c>
      <c r="N146" s="98"/>
      <c r="O146" s="98"/>
      <c r="P146" s="98"/>
      <c r="Q146" s="208">
        <v>123.76000000000002</v>
      </c>
      <c r="R146" s="98">
        <v>178.15999999999991</v>
      </c>
      <c r="S146" s="98">
        <v>161.8000000000003</v>
      </c>
      <c r="T146" s="98">
        <v>248.84000000000009</v>
      </c>
      <c r="U146" s="98">
        <v>123.76000000000002</v>
      </c>
      <c r="V146" s="98">
        <v>507.20000000000027</v>
      </c>
      <c r="W146" s="98">
        <v>564.79999999999882</v>
      </c>
      <c r="X146" s="98"/>
      <c r="Y146" s="98"/>
      <c r="Z146" s="98"/>
      <c r="AA146" s="230"/>
      <c r="AB146" s="230"/>
    </row>
    <row r="147" spans="2:28">
      <c r="B147" s="98">
        <v>177</v>
      </c>
      <c r="C147" s="98">
        <v>125.6</v>
      </c>
      <c r="D147" s="98">
        <v>639.4</v>
      </c>
      <c r="E147" s="98">
        <v>210.7</v>
      </c>
      <c r="F147" s="98">
        <v>215.8</v>
      </c>
      <c r="G147" s="98">
        <v>171.6</v>
      </c>
      <c r="H147" s="98">
        <v>126.4</v>
      </c>
      <c r="I147" s="98">
        <v>154.4</v>
      </c>
      <c r="J147" s="98">
        <v>209.8</v>
      </c>
      <c r="K147" s="208">
        <v>132.98000000000025</v>
      </c>
      <c r="L147" s="208">
        <v>142.98000000000025</v>
      </c>
      <c r="M147" s="208">
        <v>201.66000000000034</v>
      </c>
      <c r="N147" s="98"/>
      <c r="O147" s="98"/>
      <c r="P147" s="98"/>
      <c r="Q147" s="208">
        <v>123.52000000000002</v>
      </c>
      <c r="R147" s="98">
        <v>177.81999999999991</v>
      </c>
      <c r="S147" s="98">
        <v>161.60000000000031</v>
      </c>
      <c r="T147" s="98">
        <v>248.68000000000009</v>
      </c>
      <c r="U147" s="98">
        <v>123.52000000000002</v>
      </c>
      <c r="V147" s="98">
        <v>506.90000000000026</v>
      </c>
      <c r="W147" s="98">
        <v>564.59999999999877</v>
      </c>
      <c r="X147" s="98"/>
      <c r="Y147" s="98"/>
      <c r="Z147" s="98"/>
      <c r="AA147" s="230"/>
      <c r="AB147" s="230"/>
    </row>
    <row r="148" spans="2:28">
      <c r="B148" s="98">
        <v>178</v>
      </c>
      <c r="C148" s="98">
        <v>125.4</v>
      </c>
      <c r="D148" s="98">
        <v>639</v>
      </c>
      <c r="E148" s="98">
        <v>210.5</v>
      </c>
      <c r="F148" s="98">
        <v>215.6</v>
      </c>
      <c r="G148" s="98">
        <v>171.4</v>
      </c>
      <c r="H148" s="98">
        <v>126.2</v>
      </c>
      <c r="I148" s="98">
        <v>154.1</v>
      </c>
      <c r="J148" s="98">
        <v>209.6</v>
      </c>
      <c r="K148" s="209">
        <v>132.72000000000025</v>
      </c>
      <c r="L148" s="209">
        <v>142.72000000000025</v>
      </c>
      <c r="M148" s="209">
        <v>201.24000000000035</v>
      </c>
      <c r="N148" s="98"/>
      <c r="O148" s="98"/>
      <c r="P148" s="98"/>
      <c r="Q148" s="208">
        <v>123.28000000000003</v>
      </c>
      <c r="R148" s="98">
        <v>177.4799999999999</v>
      </c>
      <c r="S148" s="98">
        <v>161.40000000000032</v>
      </c>
      <c r="T148" s="98">
        <v>248.5200000000001</v>
      </c>
      <c r="U148" s="98">
        <v>123.28000000000003</v>
      </c>
      <c r="V148" s="98">
        <v>506.60000000000025</v>
      </c>
      <c r="W148" s="98">
        <v>564.39999999999873</v>
      </c>
      <c r="X148" s="98"/>
      <c r="Y148" s="98"/>
      <c r="Z148" s="98"/>
      <c r="AA148" s="230"/>
      <c r="AB148" s="230"/>
    </row>
    <row r="149" spans="2:28">
      <c r="B149" s="98">
        <v>179</v>
      </c>
      <c r="C149" s="98">
        <v>125.2</v>
      </c>
      <c r="D149" s="98">
        <v>638.70000000000005</v>
      </c>
      <c r="E149" s="98">
        <v>210.4</v>
      </c>
      <c r="F149" s="98">
        <v>215.5</v>
      </c>
      <c r="G149" s="98">
        <v>171.2</v>
      </c>
      <c r="H149" s="98">
        <v>126</v>
      </c>
      <c r="I149" s="98">
        <v>153.9</v>
      </c>
      <c r="J149" s="98">
        <v>209.5</v>
      </c>
      <c r="K149" s="208">
        <v>132.46000000000026</v>
      </c>
      <c r="L149" s="208">
        <v>142.46000000000026</v>
      </c>
      <c r="M149" s="208">
        <v>200.82000000000036</v>
      </c>
      <c r="N149" s="98"/>
      <c r="O149" s="98"/>
      <c r="P149" s="98"/>
      <c r="Q149" s="208">
        <v>123.04000000000003</v>
      </c>
      <c r="R149" s="98">
        <v>177.1399999999999</v>
      </c>
      <c r="S149" s="98">
        <v>161.20000000000033</v>
      </c>
      <c r="T149" s="98">
        <v>248.3600000000001</v>
      </c>
      <c r="U149" s="98">
        <v>123.04000000000003</v>
      </c>
      <c r="V149" s="98">
        <v>506.30000000000024</v>
      </c>
      <c r="W149" s="98">
        <v>564.19999999999868</v>
      </c>
      <c r="X149" s="98"/>
      <c r="Y149" s="98"/>
      <c r="Z149" s="98"/>
      <c r="AA149" s="230"/>
      <c r="AB149" s="230"/>
    </row>
    <row r="150" spans="2:28">
      <c r="B150" s="98">
        <v>180</v>
      </c>
      <c r="C150" s="98">
        <v>125</v>
      </c>
      <c r="D150" s="98">
        <v>638.4</v>
      </c>
      <c r="E150" s="98">
        <v>210.2</v>
      </c>
      <c r="F150" s="98">
        <v>215.4</v>
      </c>
      <c r="G150" s="98">
        <v>171</v>
      </c>
      <c r="H150" s="98">
        <v>125.8</v>
      </c>
      <c r="I150" s="98">
        <v>153.69999999999999</v>
      </c>
      <c r="J150" s="98">
        <v>209.4</v>
      </c>
      <c r="K150" s="209">
        <v>132.20000000000027</v>
      </c>
      <c r="L150" s="209">
        <v>142.20000000000027</v>
      </c>
      <c r="M150" s="209">
        <v>200.40000000000038</v>
      </c>
      <c r="N150" s="98">
        <v>159</v>
      </c>
      <c r="O150" s="98">
        <v>159</v>
      </c>
      <c r="P150" s="98">
        <v>365.2</v>
      </c>
      <c r="Q150" s="208">
        <v>122.80000000000004</v>
      </c>
      <c r="R150" s="98">
        <v>176.7999999999999</v>
      </c>
      <c r="S150" s="98">
        <v>161.00000000000034</v>
      </c>
      <c r="T150" s="98">
        <v>248.2000000000001</v>
      </c>
      <c r="U150" s="98">
        <v>122.80000000000004</v>
      </c>
      <c r="V150" s="98">
        <v>506.00000000000023</v>
      </c>
      <c r="W150" s="98">
        <v>563.99999999999864</v>
      </c>
      <c r="X150" s="98"/>
      <c r="Y150" s="98"/>
      <c r="Z150" s="98"/>
      <c r="AA150" s="230"/>
      <c r="AB150" s="230"/>
    </row>
    <row r="151" spans="2:28">
      <c r="B151" s="98">
        <v>181</v>
      </c>
      <c r="C151" s="98">
        <v>124.8</v>
      </c>
      <c r="D151" s="98">
        <v>638.1</v>
      </c>
      <c r="E151" s="98">
        <v>210</v>
      </c>
      <c r="F151" s="98">
        <v>215.3</v>
      </c>
      <c r="G151" s="98">
        <v>170.8</v>
      </c>
      <c r="H151" s="98">
        <v>125.6</v>
      </c>
      <c r="I151" s="98">
        <v>153.4</v>
      </c>
      <c r="J151" s="98">
        <v>209.3</v>
      </c>
      <c r="K151" s="208">
        <v>131.94000000000028</v>
      </c>
      <c r="L151" s="208">
        <v>141.94000000000028</v>
      </c>
      <c r="M151" s="208">
        <v>199.98000000000039</v>
      </c>
      <c r="N151" s="98"/>
      <c r="O151" s="98"/>
      <c r="P151" s="98"/>
      <c r="Q151" s="208">
        <v>122.56000000000004</v>
      </c>
      <c r="R151" s="98">
        <v>176.45999999999989</v>
      </c>
      <c r="S151" s="98">
        <v>160.80000000000035</v>
      </c>
      <c r="T151" s="98">
        <v>248.04000000000011</v>
      </c>
      <c r="U151" s="98">
        <v>122.56000000000004</v>
      </c>
      <c r="V151" s="98">
        <v>505.70000000000022</v>
      </c>
      <c r="W151" s="98">
        <v>563.79999999999859</v>
      </c>
      <c r="X151" s="98"/>
      <c r="Y151" s="98"/>
      <c r="Z151" s="98"/>
      <c r="AA151" s="230"/>
      <c r="AB151" s="230"/>
    </row>
    <row r="152" spans="2:28">
      <c r="B152" s="98">
        <v>182</v>
      </c>
      <c r="C152" s="98">
        <v>124.6</v>
      </c>
      <c r="D152" s="98">
        <v>637.79999999999995</v>
      </c>
      <c r="E152" s="98">
        <v>209.9</v>
      </c>
      <c r="F152" s="98">
        <v>215.2</v>
      </c>
      <c r="G152" s="98">
        <v>170.6</v>
      </c>
      <c r="H152" s="98">
        <v>125.4</v>
      </c>
      <c r="I152" s="98">
        <v>153.19999999999999</v>
      </c>
      <c r="J152" s="98">
        <v>209.2</v>
      </c>
      <c r="K152" s="209">
        <v>131.68000000000029</v>
      </c>
      <c r="L152" s="209">
        <v>141.68000000000029</v>
      </c>
      <c r="M152" s="209">
        <v>199.5600000000004</v>
      </c>
      <c r="N152" s="98"/>
      <c r="O152" s="98"/>
      <c r="P152" s="98"/>
      <c r="Q152" s="208">
        <v>122.32000000000005</v>
      </c>
      <c r="R152" s="98">
        <v>176.11999999999989</v>
      </c>
      <c r="S152" s="98">
        <v>160.60000000000036</v>
      </c>
      <c r="T152" s="98">
        <v>247.88000000000011</v>
      </c>
      <c r="U152" s="98">
        <v>122.32000000000005</v>
      </c>
      <c r="V152" s="98">
        <v>505.4000000000002</v>
      </c>
      <c r="W152" s="98">
        <v>563.59999999999854</v>
      </c>
      <c r="X152" s="98"/>
      <c r="Y152" s="98"/>
      <c r="Z152" s="98"/>
      <c r="AA152" s="230"/>
      <c r="AB152" s="230"/>
    </row>
    <row r="153" spans="2:28">
      <c r="B153" s="98">
        <v>183</v>
      </c>
      <c r="C153" s="98">
        <v>124.4</v>
      </c>
      <c r="D153" s="98">
        <v>637.4</v>
      </c>
      <c r="E153" s="98">
        <v>209.7</v>
      </c>
      <c r="F153" s="98">
        <v>215</v>
      </c>
      <c r="G153" s="98">
        <v>170.4</v>
      </c>
      <c r="H153" s="98">
        <v>125.2</v>
      </c>
      <c r="I153" s="98">
        <v>153</v>
      </c>
      <c r="J153" s="98">
        <v>209</v>
      </c>
      <c r="K153" s="208">
        <v>131.4200000000003</v>
      </c>
      <c r="L153" s="208">
        <v>141.4200000000003</v>
      </c>
      <c r="M153" s="208">
        <v>199.14000000000041</v>
      </c>
      <c r="N153" s="98"/>
      <c r="O153" s="98"/>
      <c r="P153" s="98"/>
      <c r="Q153" s="208">
        <v>122.08000000000006</v>
      </c>
      <c r="R153" s="98">
        <v>175.77999999999989</v>
      </c>
      <c r="S153" s="98">
        <v>160.40000000000038</v>
      </c>
      <c r="T153" s="98">
        <v>247.72000000000011</v>
      </c>
      <c r="U153" s="98">
        <v>122.08000000000006</v>
      </c>
      <c r="V153" s="98">
        <v>505.10000000000019</v>
      </c>
      <c r="W153" s="98">
        <v>563.3999999999985</v>
      </c>
      <c r="X153" s="98"/>
      <c r="Y153" s="98"/>
      <c r="Z153" s="98"/>
      <c r="AA153" s="230"/>
      <c r="AB153" s="230"/>
    </row>
    <row r="154" spans="2:28">
      <c r="B154" s="98">
        <v>184</v>
      </c>
      <c r="C154" s="98">
        <v>124.2</v>
      </c>
      <c r="D154" s="98">
        <v>637.1</v>
      </c>
      <c r="E154" s="98">
        <v>209.6</v>
      </c>
      <c r="F154" s="98">
        <v>214.9</v>
      </c>
      <c r="G154" s="98">
        <v>170.2</v>
      </c>
      <c r="H154" s="98">
        <v>125</v>
      </c>
      <c r="I154" s="98">
        <v>152.69999999999999</v>
      </c>
      <c r="J154" s="98">
        <v>208.9</v>
      </c>
      <c r="K154" s="209">
        <v>131.16000000000031</v>
      </c>
      <c r="L154" s="209">
        <v>141.16000000000031</v>
      </c>
      <c r="M154" s="209">
        <v>198.72000000000043</v>
      </c>
      <c r="N154" s="98"/>
      <c r="O154" s="98"/>
      <c r="P154" s="98"/>
      <c r="Q154" s="208">
        <v>121.84000000000006</v>
      </c>
      <c r="R154" s="98">
        <v>175.43999999999988</v>
      </c>
      <c r="S154" s="98">
        <v>160.20000000000039</v>
      </c>
      <c r="T154" s="98">
        <v>247.56000000000012</v>
      </c>
      <c r="U154" s="98">
        <v>121.84000000000006</v>
      </c>
      <c r="V154" s="98">
        <v>504.80000000000018</v>
      </c>
      <c r="W154" s="98">
        <v>563.19999999999845</v>
      </c>
      <c r="X154" s="98"/>
      <c r="Y154" s="98"/>
      <c r="Z154" s="98"/>
      <c r="AA154" s="230"/>
      <c r="AB154" s="230"/>
    </row>
    <row r="155" spans="2:28">
      <c r="B155" s="98">
        <v>185</v>
      </c>
      <c r="C155" s="98">
        <v>124</v>
      </c>
      <c r="D155" s="98">
        <v>636.79999999999995</v>
      </c>
      <c r="E155" s="98">
        <v>209.4</v>
      </c>
      <c r="F155" s="98">
        <v>214.8</v>
      </c>
      <c r="G155" s="98">
        <v>170</v>
      </c>
      <c r="H155" s="98">
        <v>124.8</v>
      </c>
      <c r="I155" s="98">
        <v>152.5</v>
      </c>
      <c r="J155" s="98">
        <v>208.8</v>
      </c>
      <c r="K155" s="208">
        <v>130.90000000000032</v>
      </c>
      <c r="L155" s="208">
        <v>140.90000000000032</v>
      </c>
      <c r="M155" s="208">
        <v>198.30000000000044</v>
      </c>
      <c r="N155" s="98"/>
      <c r="O155" s="98"/>
      <c r="P155" s="98"/>
      <c r="Q155" s="208">
        <v>121.60000000000007</v>
      </c>
      <c r="R155" s="98">
        <v>175.09999999999988</v>
      </c>
      <c r="S155" s="98">
        <v>160.0000000000004</v>
      </c>
      <c r="T155" s="98">
        <v>247.40000000000012</v>
      </c>
      <c r="U155" s="98">
        <v>121.60000000000007</v>
      </c>
      <c r="V155" s="98">
        <v>504.50000000000017</v>
      </c>
      <c r="W155" s="98">
        <v>562.99999999999841</v>
      </c>
      <c r="X155" s="98"/>
      <c r="Y155" s="98"/>
      <c r="Z155" s="98"/>
      <c r="AA155" s="230"/>
      <c r="AB155" s="230"/>
    </row>
    <row r="156" spans="2:28">
      <c r="B156" s="98">
        <v>186</v>
      </c>
      <c r="C156" s="98">
        <v>123.8</v>
      </c>
      <c r="D156" s="98">
        <v>636.5</v>
      </c>
      <c r="E156" s="98">
        <v>209.2</v>
      </c>
      <c r="F156" s="98">
        <v>214.7</v>
      </c>
      <c r="G156" s="98">
        <v>169.8</v>
      </c>
      <c r="H156" s="98">
        <v>124.6</v>
      </c>
      <c r="I156" s="98">
        <v>152.30000000000001</v>
      </c>
      <c r="J156" s="98">
        <v>208.7</v>
      </c>
      <c r="K156" s="209">
        <v>130.64000000000033</v>
      </c>
      <c r="L156" s="209">
        <v>140.64000000000033</v>
      </c>
      <c r="M156" s="209">
        <v>197.88000000000045</v>
      </c>
      <c r="N156" s="98"/>
      <c r="O156" s="98"/>
      <c r="P156" s="98"/>
      <c r="Q156" s="208">
        <v>121.36000000000007</v>
      </c>
      <c r="R156" s="98">
        <v>174.75999999999988</v>
      </c>
      <c r="S156" s="98">
        <v>159.80000000000041</v>
      </c>
      <c r="T156" s="98">
        <v>247.24000000000012</v>
      </c>
      <c r="U156" s="98">
        <v>121.36000000000007</v>
      </c>
      <c r="V156" s="98">
        <v>504.20000000000016</v>
      </c>
      <c r="W156" s="98">
        <v>562.79999999999836</v>
      </c>
      <c r="X156" s="98"/>
      <c r="Y156" s="98"/>
      <c r="Z156" s="98"/>
      <c r="AA156" s="230"/>
      <c r="AB156" s="230"/>
    </row>
    <row r="157" spans="2:28">
      <c r="B157" s="98">
        <v>187</v>
      </c>
      <c r="C157" s="98">
        <v>123.6</v>
      </c>
      <c r="D157" s="98">
        <v>636.20000000000005</v>
      </c>
      <c r="E157" s="98">
        <v>209.1</v>
      </c>
      <c r="F157" s="98">
        <v>214.6</v>
      </c>
      <c r="G157" s="98">
        <v>169.6</v>
      </c>
      <c r="H157" s="98">
        <v>124.4</v>
      </c>
      <c r="I157" s="98">
        <v>152</v>
      </c>
      <c r="J157" s="98">
        <v>208.6</v>
      </c>
      <c r="K157" s="208">
        <v>130.38000000000034</v>
      </c>
      <c r="L157" s="208">
        <v>140.38000000000034</v>
      </c>
      <c r="M157" s="208">
        <v>197.46000000000046</v>
      </c>
      <c r="N157" s="98"/>
      <c r="O157" s="98"/>
      <c r="P157" s="98"/>
      <c r="Q157" s="208">
        <v>121.12000000000008</v>
      </c>
      <c r="R157" s="98">
        <v>174.41999999999987</v>
      </c>
      <c r="S157" s="98">
        <v>159.60000000000042</v>
      </c>
      <c r="T157" s="98">
        <v>247.08000000000013</v>
      </c>
      <c r="U157" s="98">
        <v>121.12000000000008</v>
      </c>
      <c r="V157" s="98">
        <v>503.90000000000015</v>
      </c>
      <c r="W157" s="98">
        <v>562.59999999999832</v>
      </c>
      <c r="X157" s="98"/>
      <c r="Y157" s="98"/>
      <c r="Z157" s="98"/>
      <c r="AA157" s="230"/>
      <c r="AB157" s="230"/>
    </row>
    <row r="158" spans="2:28">
      <c r="B158" s="98">
        <v>188</v>
      </c>
      <c r="C158" s="98">
        <v>123.4</v>
      </c>
      <c r="D158" s="98">
        <v>635.79999999999995</v>
      </c>
      <c r="E158" s="98">
        <v>208.9</v>
      </c>
      <c r="F158" s="98">
        <v>214.4</v>
      </c>
      <c r="G158" s="98">
        <v>169.4</v>
      </c>
      <c r="H158" s="98">
        <v>124.2</v>
      </c>
      <c r="I158" s="98">
        <v>151.80000000000001</v>
      </c>
      <c r="J158" s="98">
        <v>208.4</v>
      </c>
      <c r="K158" s="209">
        <v>130.12000000000035</v>
      </c>
      <c r="L158" s="209">
        <v>140.12000000000035</v>
      </c>
      <c r="M158" s="209">
        <v>197.04000000000048</v>
      </c>
      <c r="N158" s="98"/>
      <c r="O158" s="98"/>
      <c r="P158" s="98"/>
      <c r="Q158" s="208">
        <v>120.88000000000008</v>
      </c>
      <c r="R158" s="98">
        <v>174.07999999999987</v>
      </c>
      <c r="S158" s="98">
        <v>159.40000000000043</v>
      </c>
      <c r="T158" s="98">
        <v>246.92000000000013</v>
      </c>
      <c r="U158" s="98">
        <v>120.88000000000008</v>
      </c>
      <c r="V158" s="98">
        <v>503.60000000000014</v>
      </c>
      <c r="W158" s="98">
        <v>562.39999999999827</v>
      </c>
      <c r="X158" s="98"/>
      <c r="Y158" s="98"/>
      <c r="Z158" s="98"/>
      <c r="AA158" s="230"/>
      <c r="AB158" s="230"/>
    </row>
    <row r="159" spans="2:28">
      <c r="B159" s="98">
        <v>189</v>
      </c>
      <c r="C159" s="98">
        <v>123.2</v>
      </c>
      <c r="D159" s="98">
        <v>635.5</v>
      </c>
      <c r="E159" s="98">
        <v>208.8</v>
      </c>
      <c r="F159" s="98">
        <v>214.3</v>
      </c>
      <c r="G159" s="98">
        <v>169.2</v>
      </c>
      <c r="H159" s="98">
        <v>124</v>
      </c>
      <c r="I159" s="98">
        <v>151.5</v>
      </c>
      <c r="J159" s="98">
        <v>208.3</v>
      </c>
      <c r="K159" s="208">
        <v>129.86000000000035</v>
      </c>
      <c r="L159" s="208">
        <v>139.86000000000035</v>
      </c>
      <c r="M159" s="208">
        <v>196.62000000000049</v>
      </c>
      <c r="N159" s="98"/>
      <c r="O159" s="98"/>
      <c r="P159" s="98"/>
      <c r="Q159" s="208">
        <v>120.64000000000009</v>
      </c>
      <c r="R159" s="98">
        <v>173.73999999999987</v>
      </c>
      <c r="S159" s="98">
        <v>159.20000000000044</v>
      </c>
      <c r="T159" s="98">
        <v>246.76000000000013</v>
      </c>
      <c r="U159" s="98">
        <v>120.64000000000009</v>
      </c>
      <c r="V159" s="98">
        <v>503.30000000000013</v>
      </c>
      <c r="W159" s="98">
        <v>562.19999999999823</v>
      </c>
      <c r="X159" s="98"/>
      <c r="Y159" s="98"/>
      <c r="Z159" s="98"/>
      <c r="AA159" s="230"/>
      <c r="AB159" s="230"/>
    </row>
    <row r="160" spans="2:28">
      <c r="B160" s="98">
        <v>190</v>
      </c>
      <c r="C160" s="98">
        <v>123</v>
      </c>
      <c r="D160" s="98">
        <v>635.20000000000005</v>
      </c>
      <c r="E160" s="98">
        <v>208.6</v>
      </c>
      <c r="F160" s="98">
        <v>214.2</v>
      </c>
      <c r="G160" s="98">
        <v>169</v>
      </c>
      <c r="H160" s="98">
        <v>123.8</v>
      </c>
      <c r="I160" s="98">
        <v>151.30000000000001</v>
      </c>
      <c r="J160" s="98">
        <v>208.2</v>
      </c>
      <c r="K160" s="209">
        <v>129.60000000000036</v>
      </c>
      <c r="L160" s="209">
        <v>139.60000000000036</v>
      </c>
      <c r="M160" s="209">
        <v>196.2000000000005</v>
      </c>
      <c r="N160" s="98"/>
      <c r="O160" s="98"/>
      <c r="P160" s="98"/>
      <c r="Q160" s="208">
        <v>120.40000000000009</v>
      </c>
      <c r="R160" s="98">
        <v>173.39999999999986</v>
      </c>
      <c r="S160" s="98">
        <v>159.00000000000045</v>
      </c>
      <c r="T160" s="98">
        <v>246.60000000000014</v>
      </c>
      <c r="U160" s="98">
        <v>120.40000000000009</v>
      </c>
      <c r="V160" s="98">
        <v>503.00000000000011</v>
      </c>
      <c r="W160" s="98">
        <v>561.99999999999818</v>
      </c>
      <c r="X160" s="98"/>
      <c r="Y160" s="98"/>
      <c r="Z160" s="98"/>
      <c r="AA160" s="230"/>
      <c r="AB160" s="230"/>
    </row>
    <row r="161" spans="2:28">
      <c r="B161" s="98">
        <v>191</v>
      </c>
      <c r="C161" s="98">
        <v>122.8</v>
      </c>
      <c r="D161" s="98">
        <v>634.9</v>
      </c>
      <c r="E161" s="98">
        <v>208.4</v>
      </c>
      <c r="F161" s="98">
        <v>214.1</v>
      </c>
      <c r="G161" s="98">
        <v>168.8</v>
      </c>
      <c r="H161" s="98">
        <v>123.6</v>
      </c>
      <c r="I161" s="98">
        <v>151.1</v>
      </c>
      <c r="J161" s="98">
        <v>208.1</v>
      </c>
      <c r="K161" s="208">
        <v>129.34000000000037</v>
      </c>
      <c r="L161" s="208">
        <v>139.34000000000037</v>
      </c>
      <c r="M161" s="208">
        <v>195.78000000000051</v>
      </c>
      <c r="N161" s="98"/>
      <c r="O161" s="98"/>
      <c r="P161" s="98"/>
      <c r="Q161" s="208">
        <v>120.1600000000001</v>
      </c>
      <c r="R161" s="98">
        <v>173.05999999999986</v>
      </c>
      <c r="S161" s="98">
        <v>158.80000000000047</v>
      </c>
      <c r="T161" s="98">
        <v>246.44000000000014</v>
      </c>
      <c r="U161" s="98">
        <v>120.1600000000001</v>
      </c>
      <c r="V161" s="98">
        <v>502.7000000000001</v>
      </c>
      <c r="W161" s="98">
        <v>561.79999999999814</v>
      </c>
      <c r="X161" s="98"/>
      <c r="Y161" s="98"/>
      <c r="Z161" s="98"/>
      <c r="AA161" s="230"/>
      <c r="AB161" s="230"/>
    </row>
    <row r="162" spans="2:28">
      <c r="B162" s="98">
        <v>192</v>
      </c>
      <c r="C162" s="98">
        <v>122.6</v>
      </c>
      <c r="D162" s="98">
        <v>634.6</v>
      </c>
      <c r="E162" s="98">
        <v>208.3</v>
      </c>
      <c r="F162" s="98">
        <v>214</v>
      </c>
      <c r="G162" s="98">
        <v>168.6</v>
      </c>
      <c r="H162" s="98">
        <v>123.4</v>
      </c>
      <c r="I162" s="98">
        <v>150.80000000000001</v>
      </c>
      <c r="J162" s="98">
        <v>208</v>
      </c>
      <c r="K162" s="209">
        <v>129.08000000000038</v>
      </c>
      <c r="L162" s="209">
        <v>139.08000000000038</v>
      </c>
      <c r="M162" s="209">
        <v>195.36000000000053</v>
      </c>
      <c r="N162" s="98"/>
      <c r="O162" s="98"/>
      <c r="P162" s="98"/>
      <c r="Q162" s="208">
        <v>119.9200000000001</v>
      </c>
      <c r="R162" s="98">
        <v>172.71999999999986</v>
      </c>
      <c r="S162" s="98">
        <v>158.60000000000048</v>
      </c>
      <c r="T162" s="98">
        <v>246.28000000000014</v>
      </c>
      <c r="U162" s="98">
        <v>119.9200000000001</v>
      </c>
      <c r="V162" s="98">
        <v>502.40000000000009</v>
      </c>
      <c r="W162" s="98">
        <v>561.59999999999809</v>
      </c>
      <c r="X162" s="98"/>
      <c r="Y162" s="98"/>
      <c r="Z162" s="98"/>
      <c r="AA162" s="230"/>
      <c r="AB162" s="230"/>
    </row>
    <row r="163" spans="2:28">
      <c r="B163" s="98">
        <v>193</v>
      </c>
      <c r="C163" s="98">
        <v>122.4</v>
      </c>
      <c r="D163" s="98">
        <v>634.20000000000005</v>
      </c>
      <c r="E163" s="98">
        <v>208.1</v>
      </c>
      <c r="F163" s="98">
        <v>213.8</v>
      </c>
      <c r="G163" s="98">
        <v>168.4</v>
      </c>
      <c r="H163" s="98">
        <v>123.2</v>
      </c>
      <c r="I163" s="98">
        <v>150.6</v>
      </c>
      <c r="J163" s="98">
        <v>207.8</v>
      </c>
      <c r="K163" s="208">
        <v>128.82000000000039</v>
      </c>
      <c r="L163" s="208">
        <v>138.82000000000039</v>
      </c>
      <c r="M163" s="208">
        <v>194.94000000000054</v>
      </c>
      <c r="N163" s="98"/>
      <c r="O163" s="98"/>
      <c r="P163" s="98"/>
      <c r="Q163" s="208">
        <v>119.68000000000011</v>
      </c>
      <c r="R163" s="98">
        <v>172.37999999999985</v>
      </c>
      <c r="S163" s="98">
        <v>158.40000000000049</v>
      </c>
      <c r="T163" s="98">
        <v>246.12000000000015</v>
      </c>
      <c r="U163" s="98">
        <v>119.68000000000011</v>
      </c>
      <c r="V163" s="98">
        <v>502.10000000000008</v>
      </c>
      <c r="W163" s="98">
        <v>561.39999999999804</v>
      </c>
      <c r="X163" s="98"/>
      <c r="Y163" s="98"/>
      <c r="Z163" s="98"/>
      <c r="AA163" s="230"/>
      <c r="AB163" s="230"/>
    </row>
    <row r="164" spans="2:28">
      <c r="B164" s="98">
        <v>194</v>
      </c>
      <c r="C164" s="98">
        <v>122.2</v>
      </c>
      <c r="D164" s="98">
        <v>633.9</v>
      </c>
      <c r="E164" s="98">
        <v>208</v>
      </c>
      <c r="F164" s="98">
        <v>213.7</v>
      </c>
      <c r="G164" s="98">
        <v>168.2</v>
      </c>
      <c r="H164" s="98">
        <v>123</v>
      </c>
      <c r="I164" s="98">
        <v>150.4</v>
      </c>
      <c r="J164" s="98">
        <v>207.7</v>
      </c>
      <c r="K164" s="209">
        <v>128.5600000000004</v>
      </c>
      <c r="L164" s="209">
        <v>138.5600000000004</v>
      </c>
      <c r="M164" s="209">
        <v>194.52000000000055</v>
      </c>
      <c r="N164" s="98"/>
      <c r="O164" s="98"/>
      <c r="P164" s="98"/>
      <c r="Q164" s="208">
        <v>119.44000000000011</v>
      </c>
      <c r="R164" s="98">
        <v>172.03999999999985</v>
      </c>
      <c r="S164" s="98">
        <v>158.2000000000005</v>
      </c>
      <c r="T164" s="98">
        <v>245.96000000000015</v>
      </c>
      <c r="U164" s="98">
        <v>119.44000000000011</v>
      </c>
      <c r="V164" s="98">
        <v>501.80000000000007</v>
      </c>
      <c r="W164" s="98">
        <v>561.199999999998</v>
      </c>
      <c r="X164" s="98"/>
      <c r="Y164" s="98"/>
      <c r="Z164" s="98"/>
      <c r="AA164" s="230"/>
      <c r="AB164" s="230"/>
    </row>
    <row r="165" spans="2:28">
      <c r="B165" s="98">
        <v>195</v>
      </c>
      <c r="C165" s="98">
        <v>122</v>
      </c>
      <c r="D165" s="98">
        <v>633.6</v>
      </c>
      <c r="E165" s="98">
        <v>207.8</v>
      </c>
      <c r="F165" s="98">
        <v>213.6</v>
      </c>
      <c r="G165" s="98">
        <v>168</v>
      </c>
      <c r="H165" s="98">
        <v>122.8</v>
      </c>
      <c r="I165" s="98">
        <v>150.1</v>
      </c>
      <c r="J165" s="98">
        <v>207.6</v>
      </c>
      <c r="K165" s="208">
        <v>128.30000000000041</v>
      </c>
      <c r="L165" s="208">
        <v>138.30000000000041</v>
      </c>
      <c r="M165" s="208">
        <v>194.10000000000056</v>
      </c>
      <c r="N165" s="98"/>
      <c r="O165" s="98"/>
      <c r="P165" s="98"/>
      <c r="Q165" s="208">
        <v>119.20000000000012</v>
      </c>
      <c r="R165" s="98">
        <v>171.69999999999985</v>
      </c>
      <c r="S165" s="98">
        <v>158.00000000000051</v>
      </c>
      <c r="T165" s="98">
        <v>245.80000000000015</v>
      </c>
      <c r="U165" s="98">
        <v>119.20000000000012</v>
      </c>
      <c r="V165" s="98">
        <v>501.50000000000006</v>
      </c>
      <c r="W165" s="98">
        <v>560.99999999999795</v>
      </c>
      <c r="X165" s="98"/>
      <c r="Y165" s="98"/>
      <c r="Z165" s="98"/>
      <c r="AA165" s="230"/>
      <c r="AB165" s="230"/>
    </row>
    <row r="166" spans="2:28">
      <c r="B166" s="98">
        <v>196</v>
      </c>
      <c r="C166" s="98">
        <v>121.8</v>
      </c>
      <c r="D166" s="98">
        <v>633.29999999999995</v>
      </c>
      <c r="E166" s="98">
        <v>207.6</v>
      </c>
      <c r="F166" s="98">
        <v>213.5</v>
      </c>
      <c r="G166" s="98">
        <v>167.8</v>
      </c>
      <c r="H166" s="98">
        <v>122.6</v>
      </c>
      <c r="I166" s="98">
        <v>149.9</v>
      </c>
      <c r="J166" s="98">
        <v>207.5</v>
      </c>
      <c r="K166" s="209">
        <v>128.04000000000042</v>
      </c>
      <c r="L166" s="209">
        <v>138.04000000000042</v>
      </c>
      <c r="M166" s="209">
        <v>193.68000000000058</v>
      </c>
      <c r="N166" s="98"/>
      <c r="O166" s="98"/>
      <c r="P166" s="98"/>
      <c r="Q166" s="208">
        <v>118.96000000000012</v>
      </c>
      <c r="R166" s="98">
        <v>171.35999999999984</v>
      </c>
      <c r="S166" s="98">
        <v>157.80000000000052</v>
      </c>
      <c r="T166" s="98">
        <v>245.64000000000016</v>
      </c>
      <c r="U166" s="98">
        <v>118.96000000000012</v>
      </c>
      <c r="V166" s="98">
        <v>501.20000000000005</v>
      </c>
      <c r="W166" s="98">
        <v>560.79999999999791</v>
      </c>
      <c r="X166" s="98"/>
      <c r="Y166" s="98"/>
      <c r="Z166" s="98"/>
      <c r="AA166" s="230"/>
      <c r="AB166" s="230"/>
    </row>
    <row r="167" spans="2:28">
      <c r="B167" s="98">
        <v>197</v>
      </c>
      <c r="C167" s="98">
        <v>121.6</v>
      </c>
      <c r="D167" s="98">
        <v>633</v>
      </c>
      <c r="E167" s="98">
        <v>207.5</v>
      </c>
      <c r="F167" s="98">
        <v>213.4</v>
      </c>
      <c r="G167" s="98">
        <v>167.6</v>
      </c>
      <c r="H167" s="98">
        <v>122.4</v>
      </c>
      <c r="I167" s="98">
        <v>149.69999999999999</v>
      </c>
      <c r="J167" s="98">
        <v>207.4</v>
      </c>
      <c r="K167" s="208">
        <v>127.78000000000041</v>
      </c>
      <c r="L167" s="208">
        <v>137.78000000000043</v>
      </c>
      <c r="M167" s="208">
        <v>193.26000000000059</v>
      </c>
      <c r="N167" s="98"/>
      <c r="O167" s="98"/>
      <c r="P167" s="98"/>
      <c r="Q167" s="208">
        <v>118.72000000000013</v>
      </c>
      <c r="R167" s="98">
        <v>171.01999999999984</v>
      </c>
      <c r="S167" s="98">
        <v>157.60000000000053</v>
      </c>
      <c r="T167" s="98">
        <v>245.48000000000016</v>
      </c>
      <c r="U167" s="98">
        <v>118.72000000000013</v>
      </c>
      <c r="V167" s="98">
        <v>500.90000000000003</v>
      </c>
      <c r="W167" s="98">
        <v>560.59999999999786</v>
      </c>
      <c r="X167" s="98"/>
      <c r="Y167" s="98"/>
      <c r="Z167" s="98"/>
      <c r="AA167" s="230"/>
      <c r="AB167" s="230"/>
    </row>
    <row r="168" spans="2:28">
      <c r="B168" s="98">
        <v>198</v>
      </c>
      <c r="C168" s="98">
        <v>121.4</v>
      </c>
      <c r="D168" s="98">
        <v>632.6</v>
      </c>
      <c r="E168" s="98">
        <v>207.3</v>
      </c>
      <c r="F168" s="98">
        <v>213.2</v>
      </c>
      <c r="G168" s="98">
        <v>167.4</v>
      </c>
      <c r="H168" s="98">
        <v>122.2</v>
      </c>
      <c r="I168" s="98">
        <v>149.4</v>
      </c>
      <c r="J168" s="98">
        <v>207.2</v>
      </c>
      <c r="K168" s="209">
        <v>127.52000000000041</v>
      </c>
      <c r="L168" s="209">
        <v>137.52000000000044</v>
      </c>
      <c r="M168" s="209">
        <v>192.8400000000006</v>
      </c>
      <c r="N168" s="98"/>
      <c r="O168" s="98"/>
      <c r="P168" s="98"/>
      <c r="Q168" s="208">
        <v>118.48000000000013</v>
      </c>
      <c r="R168" s="98">
        <v>170.67999999999984</v>
      </c>
      <c r="S168" s="98">
        <v>157.40000000000055</v>
      </c>
      <c r="T168" s="98">
        <v>245.32000000000016</v>
      </c>
      <c r="U168" s="98">
        <v>118.48000000000013</v>
      </c>
      <c r="V168" s="98">
        <v>500.6</v>
      </c>
      <c r="W168" s="98">
        <v>560.39999999999782</v>
      </c>
      <c r="X168" s="98"/>
      <c r="Y168" s="98"/>
      <c r="Z168" s="98"/>
      <c r="AA168" s="230"/>
      <c r="AB168" s="230"/>
    </row>
    <row r="169" spans="2:28">
      <c r="B169" s="98">
        <v>199</v>
      </c>
      <c r="C169" s="98">
        <v>121.2</v>
      </c>
      <c r="D169" s="98">
        <v>632.29999999999995</v>
      </c>
      <c r="E169" s="98">
        <v>207.2</v>
      </c>
      <c r="F169" s="98">
        <v>213.1</v>
      </c>
      <c r="G169" s="98">
        <v>167.2</v>
      </c>
      <c r="H169" s="98">
        <v>122</v>
      </c>
      <c r="I169" s="98">
        <v>149.19999999999999</v>
      </c>
      <c r="J169" s="98">
        <v>207.1</v>
      </c>
      <c r="K169" s="208">
        <v>127.2600000000004</v>
      </c>
      <c r="L169" s="208">
        <v>137.26000000000045</v>
      </c>
      <c r="M169" s="208">
        <v>192.42000000000061</v>
      </c>
      <c r="N169" s="98"/>
      <c r="O169" s="98"/>
      <c r="P169" s="98"/>
      <c r="Q169" s="208">
        <v>118.24000000000014</v>
      </c>
      <c r="R169" s="98">
        <v>170.33999999999983</v>
      </c>
      <c r="S169" s="98">
        <v>157.20000000000056</v>
      </c>
      <c r="T169" s="98">
        <v>245.16000000000017</v>
      </c>
      <c r="U169" s="98">
        <v>118.24000000000014</v>
      </c>
      <c r="V169" s="98">
        <v>500.3</v>
      </c>
      <c r="W169" s="98">
        <v>560.19999999999777</v>
      </c>
      <c r="X169" s="98"/>
      <c r="Y169" s="98"/>
      <c r="Z169" s="98"/>
      <c r="AA169" s="230"/>
      <c r="AB169" s="230"/>
    </row>
    <row r="170" spans="2:28">
      <c r="B170" s="98">
        <v>200</v>
      </c>
      <c r="C170" s="98">
        <v>121</v>
      </c>
      <c r="D170" s="98">
        <v>632</v>
      </c>
      <c r="E170" s="98">
        <v>207</v>
      </c>
      <c r="F170" s="98">
        <v>213</v>
      </c>
      <c r="G170" s="98">
        <v>167</v>
      </c>
      <c r="H170" s="98">
        <v>121.8</v>
      </c>
      <c r="I170" s="98">
        <v>148.9</v>
      </c>
      <c r="J170" s="98">
        <v>207</v>
      </c>
      <c r="K170" s="209">
        <v>127</v>
      </c>
      <c r="L170" s="209">
        <v>137</v>
      </c>
      <c r="M170" s="209">
        <v>192</v>
      </c>
      <c r="N170" s="98">
        <v>155</v>
      </c>
      <c r="O170" s="98">
        <v>155</v>
      </c>
      <c r="P170" s="98">
        <v>360</v>
      </c>
      <c r="Q170" s="209">
        <v>118</v>
      </c>
      <c r="R170" s="98">
        <v>170</v>
      </c>
      <c r="S170" s="98">
        <v>157</v>
      </c>
      <c r="T170" s="98">
        <v>245</v>
      </c>
      <c r="U170" s="98">
        <v>118</v>
      </c>
      <c r="V170" s="98">
        <v>500</v>
      </c>
      <c r="W170" s="98">
        <v>560</v>
      </c>
      <c r="X170" s="98"/>
      <c r="Y170" s="98"/>
      <c r="Z170" s="98"/>
      <c r="AA170" s="230">
        <v>640</v>
      </c>
      <c r="AB170" s="230"/>
    </row>
    <row r="171" spans="2:28">
      <c r="B171" s="98">
        <v>201</v>
      </c>
      <c r="C171" s="98">
        <v>120.8</v>
      </c>
      <c r="D171" s="98">
        <v>631.6</v>
      </c>
      <c r="E171" s="98">
        <v>206.8</v>
      </c>
      <c r="F171" s="98">
        <v>212.8</v>
      </c>
      <c r="G171" s="98">
        <v>166.8</v>
      </c>
      <c r="H171" s="98">
        <v>121.6</v>
      </c>
      <c r="I171" s="98">
        <v>148.69999999999999</v>
      </c>
      <c r="J171" s="98">
        <v>206.8</v>
      </c>
      <c r="K171" s="208">
        <v>126.82</v>
      </c>
      <c r="L171" s="208">
        <v>136.80000000000001</v>
      </c>
      <c r="M171" s="208">
        <v>191.58</v>
      </c>
      <c r="N171" s="98"/>
      <c r="O171" s="98"/>
      <c r="P171" s="98"/>
      <c r="Q171" s="208">
        <v>117.8</v>
      </c>
      <c r="R171" s="98">
        <v>169.6</v>
      </c>
      <c r="S171" s="98">
        <v>156.80000000000001</v>
      </c>
      <c r="T171" s="98">
        <v>244.82</v>
      </c>
      <c r="U171" s="98">
        <v>117.8</v>
      </c>
      <c r="V171" s="98">
        <v>499.6</v>
      </c>
      <c r="W171" s="98">
        <v>559.79999999999995</v>
      </c>
      <c r="X171" s="98"/>
      <c r="Y171" s="98"/>
      <c r="Z171" s="98"/>
      <c r="AA171" s="230"/>
      <c r="AB171" s="230"/>
    </row>
    <row r="172" spans="2:28">
      <c r="B172" s="98">
        <v>202</v>
      </c>
      <c r="C172" s="98">
        <v>120.7</v>
      </c>
      <c r="D172" s="98">
        <v>631.29999999999995</v>
      </c>
      <c r="E172" s="98">
        <v>206.7</v>
      </c>
      <c r="F172" s="98">
        <v>212.7</v>
      </c>
      <c r="G172" s="98">
        <v>166.6</v>
      </c>
      <c r="H172" s="98">
        <v>121.4</v>
      </c>
      <c r="I172" s="98">
        <v>148.5</v>
      </c>
      <c r="J172" s="98">
        <v>206.7</v>
      </c>
      <c r="K172" s="209">
        <v>126.63999999999999</v>
      </c>
      <c r="L172" s="209">
        <v>136.60000000000002</v>
      </c>
      <c r="M172" s="209">
        <v>191.16000000000003</v>
      </c>
      <c r="N172" s="98"/>
      <c r="O172" s="98"/>
      <c r="P172" s="98"/>
      <c r="Q172" s="208">
        <v>117.6</v>
      </c>
      <c r="R172" s="98">
        <v>169.2</v>
      </c>
      <c r="S172" s="98">
        <v>156.60000000000002</v>
      </c>
      <c r="T172" s="98">
        <v>244.64</v>
      </c>
      <c r="U172" s="98">
        <v>117.6</v>
      </c>
      <c r="V172" s="98">
        <v>499.20000000000005</v>
      </c>
      <c r="W172" s="98">
        <v>559.59999999999991</v>
      </c>
      <c r="X172" s="98"/>
      <c r="Y172" s="98"/>
      <c r="Z172" s="98"/>
      <c r="AA172" s="230"/>
      <c r="AB172" s="230"/>
    </row>
    <row r="173" spans="2:28">
      <c r="B173" s="98">
        <v>203</v>
      </c>
      <c r="C173" s="98">
        <v>120.5</v>
      </c>
      <c r="D173" s="98">
        <v>630.9</v>
      </c>
      <c r="E173" s="98">
        <v>206.5</v>
      </c>
      <c r="F173" s="98">
        <v>212.5</v>
      </c>
      <c r="G173" s="98">
        <v>166.4</v>
      </c>
      <c r="H173" s="98">
        <v>121.2</v>
      </c>
      <c r="I173" s="98">
        <v>148.19999999999999</v>
      </c>
      <c r="J173" s="98">
        <v>206.5</v>
      </c>
      <c r="K173" s="208">
        <v>126.45999999999998</v>
      </c>
      <c r="L173" s="208">
        <v>136.40000000000003</v>
      </c>
      <c r="M173" s="208">
        <v>190.74000000000004</v>
      </c>
      <c r="N173" s="98"/>
      <c r="O173" s="98"/>
      <c r="P173" s="98"/>
      <c r="Q173" s="208">
        <v>117.39999999999999</v>
      </c>
      <c r="R173" s="98">
        <v>168.79999999999998</v>
      </c>
      <c r="S173" s="98">
        <v>156.40000000000003</v>
      </c>
      <c r="T173" s="98">
        <v>244.45999999999998</v>
      </c>
      <c r="U173" s="98">
        <v>117.39999999999999</v>
      </c>
      <c r="V173" s="98">
        <v>498.80000000000007</v>
      </c>
      <c r="W173" s="98">
        <v>559.39999999999986</v>
      </c>
      <c r="X173" s="98"/>
      <c r="Y173" s="98"/>
      <c r="Z173" s="98"/>
      <c r="AA173" s="230"/>
      <c r="AB173" s="230"/>
    </row>
    <row r="174" spans="2:28">
      <c r="B174" s="98">
        <v>204</v>
      </c>
      <c r="C174" s="98">
        <v>120.4</v>
      </c>
      <c r="D174" s="98">
        <v>630.6</v>
      </c>
      <c r="E174" s="98">
        <v>206.4</v>
      </c>
      <c r="F174" s="98">
        <v>212.4</v>
      </c>
      <c r="G174" s="98">
        <v>166.2</v>
      </c>
      <c r="H174" s="98">
        <v>121</v>
      </c>
      <c r="I174" s="98">
        <v>148</v>
      </c>
      <c r="J174" s="98">
        <v>206.4</v>
      </c>
      <c r="K174" s="209">
        <v>126.27999999999997</v>
      </c>
      <c r="L174" s="209">
        <v>136.20000000000005</v>
      </c>
      <c r="M174" s="209">
        <v>190.32000000000005</v>
      </c>
      <c r="N174" s="98"/>
      <c r="O174" s="98"/>
      <c r="P174" s="98"/>
      <c r="Q174" s="208">
        <v>117.19999999999999</v>
      </c>
      <c r="R174" s="98">
        <v>168.39999999999998</v>
      </c>
      <c r="S174" s="98">
        <v>156.20000000000005</v>
      </c>
      <c r="T174" s="98">
        <v>244.27999999999997</v>
      </c>
      <c r="U174" s="98">
        <v>117.19999999999999</v>
      </c>
      <c r="V174" s="98">
        <v>498.40000000000009</v>
      </c>
      <c r="W174" s="98">
        <v>559.19999999999982</v>
      </c>
      <c r="X174" s="98"/>
      <c r="Y174" s="98"/>
      <c r="Z174" s="98"/>
      <c r="AA174" s="230"/>
      <c r="AB174" s="230"/>
    </row>
    <row r="175" spans="2:28">
      <c r="B175" s="98">
        <v>205</v>
      </c>
      <c r="C175" s="98">
        <v>120.2</v>
      </c>
      <c r="D175" s="98">
        <v>630.20000000000005</v>
      </c>
      <c r="E175" s="98">
        <v>206.2</v>
      </c>
      <c r="F175" s="98">
        <v>212.2</v>
      </c>
      <c r="G175" s="98">
        <v>166</v>
      </c>
      <c r="H175" s="98">
        <v>120.9</v>
      </c>
      <c r="I175" s="98">
        <v>147.80000000000001</v>
      </c>
      <c r="J175" s="98">
        <v>206.2</v>
      </c>
      <c r="K175" s="208">
        <v>126.09999999999997</v>
      </c>
      <c r="L175" s="208">
        <v>136.00000000000006</v>
      </c>
      <c r="M175" s="208">
        <v>189.90000000000006</v>
      </c>
      <c r="N175" s="98"/>
      <c r="O175" s="98"/>
      <c r="P175" s="98"/>
      <c r="Q175" s="208">
        <v>116.99999999999999</v>
      </c>
      <c r="R175" s="98">
        <v>167.99999999999997</v>
      </c>
      <c r="S175" s="98">
        <v>156.00000000000006</v>
      </c>
      <c r="T175" s="98">
        <v>244.09999999999997</v>
      </c>
      <c r="U175" s="98">
        <v>116.99999999999999</v>
      </c>
      <c r="V175" s="98">
        <v>498.00000000000011</v>
      </c>
      <c r="W175" s="98">
        <v>558.99999999999977</v>
      </c>
      <c r="X175" s="98"/>
      <c r="Y175" s="98"/>
      <c r="Z175" s="98"/>
      <c r="AA175" s="230"/>
      <c r="AB175" s="230"/>
    </row>
    <row r="176" spans="2:28">
      <c r="B176" s="98">
        <v>206</v>
      </c>
      <c r="C176" s="98">
        <v>120</v>
      </c>
      <c r="D176" s="98">
        <v>629.79999999999995</v>
      </c>
      <c r="E176" s="98">
        <v>206</v>
      </c>
      <c r="F176" s="98">
        <v>212</v>
      </c>
      <c r="G176" s="98">
        <v>165.8</v>
      </c>
      <c r="H176" s="98">
        <v>120.7</v>
      </c>
      <c r="I176" s="98">
        <v>147.6</v>
      </c>
      <c r="J176" s="98">
        <v>206</v>
      </c>
      <c r="K176" s="209">
        <v>125.91999999999996</v>
      </c>
      <c r="L176" s="209">
        <v>135.80000000000007</v>
      </c>
      <c r="M176" s="209">
        <v>189.48000000000008</v>
      </c>
      <c r="N176" s="98"/>
      <c r="O176" s="98"/>
      <c r="P176" s="98"/>
      <c r="Q176" s="208">
        <v>116.79999999999998</v>
      </c>
      <c r="R176" s="98">
        <v>167.59999999999997</v>
      </c>
      <c r="S176" s="98">
        <v>155.80000000000007</v>
      </c>
      <c r="T176" s="98">
        <v>243.91999999999996</v>
      </c>
      <c r="U176" s="98">
        <v>116.79999999999998</v>
      </c>
      <c r="V176" s="98">
        <v>497.60000000000014</v>
      </c>
      <c r="W176" s="98">
        <v>558.79999999999973</v>
      </c>
      <c r="X176" s="98"/>
      <c r="Y176" s="98"/>
      <c r="Z176" s="98"/>
      <c r="AA176" s="230"/>
      <c r="AB176" s="230"/>
    </row>
    <row r="177" spans="2:28">
      <c r="B177" s="98">
        <v>207</v>
      </c>
      <c r="C177" s="98">
        <v>119.9</v>
      </c>
      <c r="D177" s="98">
        <v>629.5</v>
      </c>
      <c r="E177" s="98">
        <v>205.9</v>
      </c>
      <c r="F177" s="98">
        <v>211.9</v>
      </c>
      <c r="G177" s="98">
        <v>165.6</v>
      </c>
      <c r="H177" s="98">
        <v>120.6</v>
      </c>
      <c r="I177" s="98">
        <v>147.5</v>
      </c>
      <c r="J177" s="98">
        <v>205.9</v>
      </c>
      <c r="K177" s="208">
        <v>125.73999999999995</v>
      </c>
      <c r="L177" s="208">
        <v>135.60000000000008</v>
      </c>
      <c r="M177" s="208">
        <v>189.06000000000009</v>
      </c>
      <c r="N177" s="98"/>
      <c r="O177" s="98"/>
      <c r="P177" s="98"/>
      <c r="Q177" s="208">
        <v>116.59999999999998</v>
      </c>
      <c r="R177" s="98">
        <v>167.19999999999996</v>
      </c>
      <c r="S177" s="98">
        <v>155.60000000000008</v>
      </c>
      <c r="T177" s="98">
        <v>243.73999999999995</v>
      </c>
      <c r="U177" s="98">
        <v>116.59999999999998</v>
      </c>
      <c r="V177" s="98">
        <v>497.20000000000016</v>
      </c>
      <c r="W177" s="98">
        <v>558.59999999999968</v>
      </c>
      <c r="X177" s="98"/>
      <c r="Y177" s="98"/>
      <c r="Z177" s="98"/>
      <c r="AA177" s="230"/>
      <c r="AB177" s="230"/>
    </row>
    <row r="178" spans="2:28">
      <c r="B178" s="98">
        <v>208</v>
      </c>
      <c r="C178" s="98">
        <v>119.7</v>
      </c>
      <c r="D178" s="98">
        <v>629.1</v>
      </c>
      <c r="E178" s="98">
        <v>205.7</v>
      </c>
      <c r="F178" s="98">
        <v>211.7</v>
      </c>
      <c r="G178" s="98">
        <v>165.4</v>
      </c>
      <c r="H178" s="98">
        <v>120.4</v>
      </c>
      <c r="I178" s="98">
        <v>147.30000000000001</v>
      </c>
      <c r="J178" s="98">
        <v>205.7</v>
      </c>
      <c r="K178" s="209">
        <v>125.55999999999995</v>
      </c>
      <c r="L178" s="209">
        <v>135.40000000000009</v>
      </c>
      <c r="M178" s="209">
        <v>188.6400000000001</v>
      </c>
      <c r="N178" s="98"/>
      <c r="O178" s="98"/>
      <c r="P178" s="98"/>
      <c r="Q178" s="208">
        <v>116.39999999999998</v>
      </c>
      <c r="R178" s="98">
        <v>166.79999999999995</v>
      </c>
      <c r="S178" s="98">
        <v>155.40000000000009</v>
      </c>
      <c r="T178" s="98">
        <v>243.55999999999995</v>
      </c>
      <c r="U178" s="98">
        <v>116.39999999999998</v>
      </c>
      <c r="V178" s="98">
        <v>496.80000000000018</v>
      </c>
      <c r="W178" s="98">
        <v>558.39999999999964</v>
      </c>
      <c r="X178" s="98"/>
      <c r="Y178" s="98"/>
      <c r="Z178" s="98"/>
      <c r="AA178" s="230"/>
      <c r="AB178" s="230"/>
    </row>
    <row r="179" spans="2:28">
      <c r="B179" s="98">
        <v>209</v>
      </c>
      <c r="C179" s="98">
        <v>119.6</v>
      </c>
      <c r="D179" s="98">
        <v>628.79999999999995</v>
      </c>
      <c r="E179" s="98">
        <v>205.6</v>
      </c>
      <c r="F179" s="98">
        <v>211.6</v>
      </c>
      <c r="G179" s="98">
        <v>165.2</v>
      </c>
      <c r="H179" s="98">
        <v>120.3</v>
      </c>
      <c r="I179" s="98">
        <v>147.1</v>
      </c>
      <c r="J179" s="98">
        <v>205.6</v>
      </c>
      <c r="K179" s="208">
        <v>125.37999999999994</v>
      </c>
      <c r="L179" s="208">
        <v>135.2000000000001</v>
      </c>
      <c r="M179" s="208">
        <v>188.22000000000011</v>
      </c>
      <c r="N179" s="98"/>
      <c r="O179" s="98"/>
      <c r="P179" s="98"/>
      <c r="Q179" s="208">
        <v>116.19999999999997</v>
      </c>
      <c r="R179" s="98">
        <v>166.39999999999995</v>
      </c>
      <c r="S179" s="98">
        <v>155.2000000000001</v>
      </c>
      <c r="T179" s="98">
        <v>243.37999999999994</v>
      </c>
      <c r="U179" s="98">
        <v>116.19999999999997</v>
      </c>
      <c r="V179" s="98">
        <v>496.4000000000002</v>
      </c>
      <c r="W179" s="98">
        <v>558.19999999999959</v>
      </c>
      <c r="X179" s="98"/>
      <c r="Y179" s="98"/>
      <c r="Z179" s="98"/>
      <c r="AA179" s="230"/>
      <c r="AB179" s="230"/>
    </row>
    <row r="180" spans="2:28">
      <c r="B180" s="98">
        <v>210</v>
      </c>
      <c r="C180" s="98">
        <v>119.4</v>
      </c>
      <c r="D180" s="98">
        <v>628.4</v>
      </c>
      <c r="E180" s="98">
        <v>205.4</v>
      </c>
      <c r="F180" s="98">
        <v>211.4</v>
      </c>
      <c r="G180" s="98">
        <v>165</v>
      </c>
      <c r="H180" s="98">
        <v>120.1</v>
      </c>
      <c r="I180" s="98">
        <v>146.9</v>
      </c>
      <c r="J180" s="98">
        <v>205.4</v>
      </c>
      <c r="K180" s="209">
        <v>125.19999999999993</v>
      </c>
      <c r="L180" s="209">
        <v>135.00000000000011</v>
      </c>
      <c r="M180" s="209">
        <v>187.80000000000013</v>
      </c>
      <c r="N180" s="98"/>
      <c r="O180" s="98"/>
      <c r="P180" s="98"/>
      <c r="Q180" s="208">
        <v>115.99999999999997</v>
      </c>
      <c r="R180" s="98">
        <v>165.99999999999994</v>
      </c>
      <c r="S180" s="98">
        <v>155.00000000000011</v>
      </c>
      <c r="T180" s="98">
        <v>243.19999999999993</v>
      </c>
      <c r="U180" s="98">
        <v>115.99999999999997</v>
      </c>
      <c r="V180" s="98">
        <v>496.00000000000023</v>
      </c>
      <c r="W180" s="98">
        <v>557.99999999999955</v>
      </c>
      <c r="X180" s="98"/>
      <c r="Y180" s="98"/>
      <c r="Z180" s="98"/>
      <c r="AA180" s="230"/>
      <c r="AB180" s="230"/>
    </row>
    <row r="181" spans="2:28">
      <c r="B181" s="98">
        <v>211</v>
      </c>
      <c r="C181" s="98">
        <v>119.2</v>
      </c>
      <c r="D181" s="98">
        <v>628</v>
      </c>
      <c r="E181" s="98">
        <v>205.2</v>
      </c>
      <c r="F181" s="98">
        <v>211.2</v>
      </c>
      <c r="G181" s="98">
        <v>164.8</v>
      </c>
      <c r="H181" s="98">
        <v>120</v>
      </c>
      <c r="I181" s="98">
        <v>146.80000000000001</v>
      </c>
      <c r="J181" s="98">
        <v>205.2</v>
      </c>
      <c r="K181" s="208">
        <v>125.01999999999992</v>
      </c>
      <c r="L181" s="208">
        <v>134.80000000000013</v>
      </c>
      <c r="M181" s="208">
        <v>187.38000000000014</v>
      </c>
      <c r="N181" s="98"/>
      <c r="O181" s="98"/>
      <c r="P181" s="98"/>
      <c r="Q181" s="208">
        <v>115.79999999999997</v>
      </c>
      <c r="R181" s="98">
        <v>165.59999999999994</v>
      </c>
      <c r="S181" s="98">
        <v>154.80000000000013</v>
      </c>
      <c r="T181" s="98">
        <v>243.01999999999992</v>
      </c>
      <c r="U181" s="98">
        <v>115.79999999999997</v>
      </c>
      <c r="V181" s="98">
        <v>495.60000000000025</v>
      </c>
      <c r="W181" s="98">
        <v>557.7999999999995</v>
      </c>
      <c r="X181" s="98"/>
      <c r="Y181" s="98"/>
      <c r="Z181" s="98"/>
      <c r="AA181" s="230"/>
      <c r="AB181" s="230"/>
    </row>
    <row r="182" spans="2:28">
      <c r="B182" s="98">
        <v>212</v>
      </c>
      <c r="C182" s="98">
        <v>119.1</v>
      </c>
      <c r="D182" s="98">
        <v>627.70000000000005</v>
      </c>
      <c r="E182" s="98">
        <v>205.1</v>
      </c>
      <c r="F182" s="98">
        <v>211.1</v>
      </c>
      <c r="G182" s="98">
        <v>164.6</v>
      </c>
      <c r="H182" s="98">
        <v>119.9</v>
      </c>
      <c r="I182" s="98">
        <v>146.6</v>
      </c>
      <c r="J182" s="98">
        <v>205.1</v>
      </c>
      <c r="K182" s="209">
        <v>124.83999999999992</v>
      </c>
      <c r="L182" s="209">
        <v>134.60000000000014</v>
      </c>
      <c r="M182" s="209">
        <v>186.96000000000015</v>
      </c>
      <c r="N182" s="98"/>
      <c r="O182" s="98"/>
      <c r="P182" s="98"/>
      <c r="Q182" s="208">
        <v>115.59999999999997</v>
      </c>
      <c r="R182" s="98">
        <v>165.19999999999993</v>
      </c>
      <c r="S182" s="98">
        <v>154.60000000000014</v>
      </c>
      <c r="T182" s="98">
        <v>242.83999999999992</v>
      </c>
      <c r="U182" s="98">
        <v>115.59999999999997</v>
      </c>
      <c r="V182" s="98">
        <v>495.20000000000027</v>
      </c>
      <c r="W182" s="98">
        <v>557.59999999999945</v>
      </c>
      <c r="X182" s="98"/>
      <c r="Y182" s="98"/>
      <c r="Z182" s="98"/>
      <c r="AA182" s="230"/>
      <c r="AB182" s="230"/>
    </row>
    <row r="183" spans="2:28">
      <c r="B183" s="98">
        <v>213</v>
      </c>
      <c r="C183" s="98">
        <v>118.9</v>
      </c>
      <c r="D183" s="98">
        <v>627.29999999999995</v>
      </c>
      <c r="E183" s="98">
        <v>204.9</v>
      </c>
      <c r="F183" s="98">
        <v>210.9</v>
      </c>
      <c r="G183" s="98">
        <v>164.4</v>
      </c>
      <c r="H183" s="98">
        <v>119.7</v>
      </c>
      <c r="I183" s="98">
        <v>146.4</v>
      </c>
      <c r="J183" s="98">
        <v>204.9</v>
      </c>
      <c r="K183" s="208">
        <v>124.65999999999991</v>
      </c>
      <c r="L183" s="208">
        <v>134.40000000000015</v>
      </c>
      <c r="M183" s="208">
        <v>186.54000000000016</v>
      </c>
      <c r="N183" s="98"/>
      <c r="O183" s="98"/>
      <c r="P183" s="98"/>
      <c r="Q183" s="208">
        <v>115.39999999999996</v>
      </c>
      <c r="R183" s="98">
        <v>164.79999999999993</v>
      </c>
      <c r="S183" s="98">
        <v>154.40000000000015</v>
      </c>
      <c r="T183" s="98">
        <v>242.65999999999991</v>
      </c>
      <c r="U183" s="98">
        <v>115.39999999999996</v>
      </c>
      <c r="V183" s="98">
        <v>494.8000000000003</v>
      </c>
      <c r="W183" s="98">
        <v>557.39999999999941</v>
      </c>
      <c r="X183" s="98"/>
      <c r="Y183" s="98"/>
      <c r="Z183" s="98"/>
      <c r="AA183" s="230"/>
      <c r="AB183" s="230"/>
    </row>
    <row r="184" spans="2:28">
      <c r="B184" s="98">
        <v>214</v>
      </c>
      <c r="C184" s="98">
        <v>118.8</v>
      </c>
      <c r="D184" s="98">
        <v>627</v>
      </c>
      <c r="E184" s="98">
        <v>204.8</v>
      </c>
      <c r="F184" s="98">
        <v>210.8</v>
      </c>
      <c r="G184" s="98">
        <v>164.2</v>
      </c>
      <c r="H184" s="98">
        <v>119.6</v>
      </c>
      <c r="I184" s="98">
        <v>146.19999999999999</v>
      </c>
      <c r="J184" s="98">
        <v>204.8</v>
      </c>
      <c r="K184" s="209">
        <v>124.4799999999999</v>
      </c>
      <c r="L184" s="209">
        <v>134.20000000000016</v>
      </c>
      <c r="M184" s="209">
        <v>186.12000000000018</v>
      </c>
      <c r="N184" s="98"/>
      <c r="O184" s="98"/>
      <c r="P184" s="98"/>
      <c r="Q184" s="208">
        <v>115.19999999999996</v>
      </c>
      <c r="R184" s="98">
        <v>164.39999999999992</v>
      </c>
      <c r="S184" s="98">
        <v>154.20000000000016</v>
      </c>
      <c r="T184" s="98">
        <v>242.4799999999999</v>
      </c>
      <c r="U184" s="98">
        <v>115.19999999999996</v>
      </c>
      <c r="V184" s="98">
        <v>494.40000000000032</v>
      </c>
      <c r="W184" s="98">
        <v>557.19999999999936</v>
      </c>
      <c r="X184" s="98"/>
      <c r="Y184" s="98"/>
      <c r="Z184" s="98"/>
      <c r="AA184" s="230"/>
      <c r="AB184" s="230"/>
    </row>
    <row r="185" spans="2:28">
      <c r="B185" s="98">
        <v>215</v>
      </c>
      <c r="C185" s="98">
        <v>118.6</v>
      </c>
      <c r="D185" s="98">
        <v>626.6</v>
      </c>
      <c r="E185" s="98">
        <v>204.6</v>
      </c>
      <c r="F185" s="98">
        <v>210.6</v>
      </c>
      <c r="G185" s="98">
        <v>164</v>
      </c>
      <c r="H185" s="98">
        <v>119.4</v>
      </c>
      <c r="I185" s="98">
        <v>146</v>
      </c>
      <c r="J185" s="98">
        <v>204.6</v>
      </c>
      <c r="K185" s="208">
        <v>124.2999999999999</v>
      </c>
      <c r="L185" s="208">
        <v>134.00000000000017</v>
      </c>
      <c r="M185" s="208">
        <v>185.70000000000019</v>
      </c>
      <c r="N185" s="98"/>
      <c r="O185" s="98"/>
      <c r="P185" s="98"/>
      <c r="Q185" s="208">
        <v>114.99999999999996</v>
      </c>
      <c r="R185" s="98">
        <v>163.99999999999991</v>
      </c>
      <c r="S185" s="98">
        <v>154.00000000000017</v>
      </c>
      <c r="T185" s="98">
        <v>242.2999999999999</v>
      </c>
      <c r="U185" s="98">
        <v>114.99999999999996</v>
      </c>
      <c r="V185" s="98">
        <v>494.00000000000034</v>
      </c>
      <c r="W185" s="98">
        <v>556.99999999999932</v>
      </c>
      <c r="X185" s="98"/>
      <c r="Y185" s="98"/>
      <c r="Z185" s="98"/>
      <c r="AA185" s="230"/>
      <c r="AB185" s="230"/>
    </row>
    <row r="186" spans="2:28">
      <c r="B186" s="98">
        <v>216</v>
      </c>
      <c r="C186" s="98">
        <v>118.4</v>
      </c>
      <c r="D186" s="98">
        <v>626.20000000000005</v>
      </c>
      <c r="E186" s="98">
        <v>204.4</v>
      </c>
      <c r="F186" s="98">
        <v>210.4</v>
      </c>
      <c r="G186" s="98">
        <v>163.80000000000001</v>
      </c>
      <c r="H186" s="98">
        <v>119.3</v>
      </c>
      <c r="I186" s="98">
        <v>145.9</v>
      </c>
      <c r="J186" s="98">
        <v>204.4</v>
      </c>
      <c r="K186" s="209">
        <v>124.11999999999989</v>
      </c>
      <c r="L186" s="209">
        <v>133.80000000000018</v>
      </c>
      <c r="M186" s="209">
        <v>185.2800000000002</v>
      </c>
      <c r="N186" s="98"/>
      <c r="O186" s="98"/>
      <c r="P186" s="98"/>
      <c r="Q186" s="208">
        <v>114.79999999999995</v>
      </c>
      <c r="R186" s="98">
        <v>163.59999999999991</v>
      </c>
      <c r="S186" s="98">
        <v>153.80000000000018</v>
      </c>
      <c r="T186" s="98">
        <v>242.11999999999989</v>
      </c>
      <c r="U186" s="98">
        <v>114.79999999999995</v>
      </c>
      <c r="V186" s="98">
        <v>493.60000000000036</v>
      </c>
      <c r="W186" s="98">
        <v>556.79999999999927</v>
      </c>
      <c r="X186" s="98"/>
      <c r="Y186" s="98"/>
      <c r="Z186" s="98"/>
      <c r="AA186" s="230"/>
      <c r="AB186" s="230"/>
    </row>
    <row r="187" spans="2:28">
      <c r="B187" s="98">
        <v>217</v>
      </c>
      <c r="C187" s="98">
        <v>118.3</v>
      </c>
      <c r="D187" s="98">
        <v>625.9</v>
      </c>
      <c r="E187" s="98">
        <v>204.3</v>
      </c>
      <c r="F187" s="98">
        <v>210.3</v>
      </c>
      <c r="G187" s="98">
        <v>163.6</v>
      </c>
      <c r="H187" s="98">
        <v>119.1</v>
      </c>
      <c r="I187" s="98">
        <v>145.69999999999999</v>
      </c>
      <c r="J187" s="98">
        <v>204.3</v>
      </c>
      <c r="K187" s="208">
        <v>123.93999999999988</v>
      </c>
      <c r="L187" s="208">
        <v>133.60000000000019</v>
      </c>
      <c r="M187" s="208">
        <v>184.86000000000021</v>
      </c>
      <c r="N187" s="98"/>
      <c r="O187" s="98"/>
      <c r="P187" s="98"/>
      <c r="Q187" s="208">
        <v>114.59999999999995</v>
      </c>
      <c r="R187" s="98">
        <v>163.1999999999999</v>
      </c>
      <c r="S187" s="98">
        <v>153.60000000000019</v>
      </c>
      <c r="T187" s="98">
        <v>241.93999999999988</v>
      </c>
      <c r="U187" s="98">
        <v>114.59999999999995</v>
      </c>
      <c r="V187" s="98">
        <v>493.20000000000039</v>
      </c>
      <c r="W187" s="98">
        <v>556.59999999999923</v>
      </c>
      <c r="X187" s="98"/>
      <c r="Y187" s="98"/>
      <c r="Z187" s="98"/>
      <c r="AA187" s="230"/>
      <c r="AB187" s="230"/>
    </row>
    <row r="188" spans="2:28">
      <c r="B188" s="98">
        <v>218</v>
      </c>
      <c r="C188" s="98">
        <v>118.1</v>
      </c>
      <c r="D188" s="98">
        <v>625.5</v>
      </c>
      <c r="E188" s="98">
        <v>204.1</v>
      </c>
      <c r="F188" s="98">
        <v>210.1</v>
      </c>
      <c r="G188" s="98">
        <v>163.4</v>
      </c>
      <c r="H188" s="98">
        <v>119</v>
      </c>
      <c r="I188" s="98">
        <v>145.5</v>
      </c>
      <c r="J188" s="98">
        <v>204.1</v>
      </c>
      <c r="K188" s="209">
        <v>123.75999999999988</v>
      </c>
      <c r="L188" s="209">
        <v>133.4000000000002</v>
      </c>
      <c r="M188" s="209">
        <v>184.44000000000023</v>
      </c>
      <c r="N188" s="98"/>
      <c r="O188" s="98"/>
      <c r="P188" s="98"/>
      <c r="Q188" s="208">
        <v>114.39999999999995</v>
      </c>
      <c r="R188" s="98">
        <v>162.7999999999999</v>
      </c>
      <c r="S188" s="98">
        <v>153.4000000000002</v>
      </c>
      <c r="T188" s="98">
        <v>241.75999999999988</v>
      </c>
      <c r="U188" s="98">
        <v>114.39999999999995</v>
      </c>
      <c r="V188" s="98">
        <v>492.80000000000041</v>
      </c>
      <c r="W188" s="98">
        <v>556.39999999999918</v>
      </c>
      <c r="X188" s="98"/>
      <c r="Y188" s="98"/>
      <c r="Z188" s="98"/>
      <c r="AA188" s="230"/>
      <c r="AB188" s="230"/>
    </row>
    <row r="189" spans="2:28">
      <c r="B189" s="98">
        <v>219</v>
      </c>
      <c r="C189" s="98">
        <v>118</v>
      </c>
      <c r="D189" s="98">
        <v>625.20000000000005</v>
      </c>
      <c r="E189" s="98">
        <v>204</v>
      </c>
      <c r="F189" s="98">
        <v>210</v>
      </c>
      <c r="G189" s="98">
        <v>163.19999999999999</v>
      </c>
      <c r="H189" s="98">
        <v>118.9</v>
      </c>
      <c r="I189" s="98">
        <v>145.30000000000001</v>
      </c>
      <c r="J189" s="98">
        <v>204</v>
      </c>
      <c r="K189" s="208">
        <v>123.57999999999987</v>
      </c>
      <c r="L189" s="208">
        <v>133.20000000000022</v>
      </c>
      <c r="M189" s="208">
        <v>184.02000000000024</v>
      </c>
      <c r="N189" s="98"/>
      <c r="O189" s="98"/>
      <c r="P189" s="98"/>
      <c r="Q189" s="208">
        <v>114.19999999999995</v>
      </c>
      <c r="R189" s="98">
        <v>162.39999999999989</v>
      </c>
      <c r="S189" s="98">
        <v>153.20000000000022</v>
      </c>
      <c r="T189" s="98">
        <v>241.57999999999987</v>
      </c>
      <c r="U189" s="98">
        <v>114.19999999999995</v>
      </c>
      <c r="V189" s="98">
        <v>492.40000000000043</v>
      </c>
      <c r="W189" s="98">
        <v>556.19999999999914</v>
      </c>
      <c r="X189" s="98"/>
      <c r="Y189" s="98"/>
      <c r="Z189" s="98"/>
      <c r="AA189" s="230"/>
      <c r="AB189" s="230"/>
    </row>
    <row r="190" spans="2:28">
      <c r="B190" s="98">
        <v>220</v>
      </c>
      <c r="C190" s="98">
        <v>117.8</v>
      </c>
      <c r="D190" s="98">
        <v>624.79999999999995</v>
      </c>
      <c r="E190" s="98">
        <v>203.8</v>
      </c>
      <c r="F190" s="98">
        <v>209.8</v>
      </c>
      <c r="G190" s="98">
        <v>163</v>
      </c>
      <c r="H190" s="98">
        <v>118.7</v>
      </c>
      <c r="I190" s="98">
        <v>145.1</v>
      </c>
      <c r="J190" s="98">
        <v>203.8</v>
      </c>
      <c r="K190" s="209">
        <v>123.39999999999986</v>
      </c>
      <c r="L190" s="209">
        <v>133.00000000000023</v>
      </c>
      <c r="M190" s="209">
        <v>183.60000000000025</v>
      </c>
      <c r="N190" s="98"/>
      <c r="O190" s="98"/>
      <c r="P190" s="98"/>
      <c r="Q190" s="208">
        <v>113.99999999999994</v>
      </c>
      <c r="R190" s="98">
        <v>161.99999999999989</v>
      </c>
      <c r="S190" s="98">
        <v>153.00000000000023</v>
      </c>
      <c r="T190" s="98">
        <v>241.39999999999986</v>
      </c>
      <c r="U190" s="98">
        <v>113.99999999999994</v>
      </c>
      <c r="V190" s="98">
        <v>492.00000000000045</v>
      </c>
      <c r="W190" s="98">
        <v>555.99999999999909</v>
      </c>
      <c r="X190" s="98"/>
      <c r="Y190" s="98"/>
      <c r="Z190" s="98"/>
      <c r="AA190" s="230"/>
      <c r="AB190" s="230"/>
    </row>
    <row r="191" spans="2:28">
      <c r="B191" s="98">
        <v>221</v>
      </c>
      <c r="C191" s="98">
        <v>117.6</v>
      </c>
      <c r="D191" s="98">
        <v>624.4</v>
      </c>
      <c r="E191" s="98">
        <v>203.6</v>
      </c>
      <c r="F191" s="98">
        <v>209.6</v>
      </c>
      <c r="G191" s="98">
        <v>162.80000000000001</v>
      </c>
      <c r="H191" s="98">
        <v>118.6</v>
      </c>
      <c r="I191" s="98">
        <v>145</v>
      </c>
      <c r="J191" s="98">
        <v>203.6</v>
      </c>
      <c r="K191" s="208">
        <v>123.21999999999986</v>
      </c>
      <c r="L191" s="208">
        <v>132.80000000000024</v>
      </c>
      <c r="M191" s="208">
        <v>183.18000000000026</v>
      </c>
      <c r="N191" s="98"/>
      <c r="O191" s="98"/>
      <c r="P191" s="98"/>
      <c r="Q191" s="208">
        <v>113.79999999999994</v>
      </c>
      <c r="R191" s="98">
        <v>161.59999999999988</v>
      </c>
      <c r="S191" s="98">
        <v>152.80000000000024</v>
      </c>
      <c r="T191" s="98">
        <v>241.21999999999986</v>
      </c>
      <c r="U191" s="98">
        <v>113.79999999999994</v>
      </c>
      <c r="V191" s="98">
        <v>491.60000000000048</v>
      </c>
      <c r="W191" s="98">
        <v>555.79999999999905</v>
      </c>
      <c r="X191" s="98"/>
      <c r="Y191" s="98"/>
      <c r="Z191" s="98"/>
      <c r="AA191" s="230"/>
      <c r="AB191" s="230"/>
    </row>
    <row r="192" spans="2:28">
      <c r="B192" s="98">
        <v>222</v>
      </c>
      <c r="C192" s="98">
        <v>117.5</v>
      </c>
      <c r="D192" s="98">
        <v>624.1</v>
      </c>
      <c r="E192" s="98">
        <v>203.5</v>
      </c>
      <c r="F192" s="98">
        <v>209.5</v>
      </c>
      <c r="G192" s="98">
        <v>162.6</v>
      </c>
      <c r="H192" s="98">
        <v>118.4</v>
      </c>
      <c r="I192" s="98">
        <v>144.80000000000001</v>
      </c>
      <c r="J192" s="98">
        <v>203.5</v>
      </c>
      <c r="K192" s="209">
        <v>123.03999999999985</v>
      </c>
      <c r="L192" s="209">
        <v>132.60000000000025</v>
      </c>
      <c r="M192" s="209">
        <v>182.76000000000028</v>
      </c>
      <c r="N192" s="98"/>
      <c r="O192" s="98"/>
      <c r="P192" s="98"/>
      <c r="Q192" s="208">
        <v>113.59999999999994</v>
      </c>
      <c r="R192" s="98">
        <v>161.19999999999987</v>
      </c>
      <c r="S192" s="98">
        <v>152.60000000000025</v>
      </c>
      <c r="T192" s="98">
        <v>241.03999999999985</v>
      </c>
      <c r="U192" s="98">
        <v>113.59999999999994</v>
      </c>
      <c r="V192" s="98">
        <v>491.2000000000005</v>
      </c>
      <c r="W192" s="98">
        <v>555.599999999999</v>
      </c>
      <c r="X192" s="98"/>
      <c r="Y192" s="98"/>
      <c r="Z192" s="98"/>
      <c r="AA192" s="230"/>
      <c r="AB192" s="230"/>
    </row>
    <row r="193" spans="2:28">
      <c r="B193" s="98">
        <v>223</v>
      </c>
      <c r="C193" s="98">
        <v>117.3</v>
      </c>
      <c r="D193" s="98">
        <v>623.70000000000005</v>
      </c>
      <c r="E193" s="98">
        <v>203.3</v>
      </c>
      <c r="F193" s="98">
        <v>209.3</v>
      </c>
      <c r="G193" s="98">
        <v>162.4</v>
      </c>
      <c r="H193" s="98">
        <v>118.3</v>
      </c>
      <c r="I193" s="98">
        <v>144.6</v>
      </c>
      <c r="J193" s="98">
        <v>203.3</v>
      </c>
      <c r="K193" s="208">
        <v>122.85999999999984</v>
      </c>
      <c r="L193" s="208">
        <v>132.40000000000026</v>
      </c>
      <c r="M193" s="208">
        <v>182.34000000000029</v>
      </c>
      <c r="N193" s="98"/>
      <c r="O193" s="98"/>
      <c r="P193" s="98"/>
      <c r="Q193" s="208">
        <v>113.39999999999993</v>
      </c>
      <c r="R193" s="98">
        <v>160.79999999999987</v>
      </c>
      <c r="S193" s="98">
        <v>152.40000000000026</v>
      </c>
      <c r="T193" s="98">
        <v>240.85999999999984</v>
      </c>
      <c r="U193" s="98">
        <v>113.39999999999993</v>
      </c>
      <c r="V193" s="98">
        <v>490.80000000000052</v>
      </c>
      <c r="W193" s="98">
        <v>555.39999999999895</v>
      </c>
      <c r="X193" s="98"/>
      <c r="Y193" s="98"/>
      <c r="Z193" s="98"/>
      <c r="AA193" s="230"/>
      <c r="AB193" s="230"/>
    </row>
    <row r="194" spans="2:28">
      <c r="B194" s="98">
        <v>224</v>
      </c>
      <c r="C194" s="98">
        <v>117.2</v>
      </c>
      <c r="D194" s="98">
        <v>623.4</v>
      </c>
      <c r="E194" s="98">
        <v>203.2</v>
      </c>
      <c r="F194" s="98">
        <v>209.2</v>
      </c>
      <c r="G194" s="98">
        <v>162.19999999999999</v>
      </c>
      <c r="H194" s="98">
        <v>118.1</v>
      </c>
      <c r="I194" s="98">
        <v>144.4</v>
      </c>
      <c r="J194" s="98">
        <v>203.2</v>
      </c>
      <c r="K194" s="209">
        <v>122.67999999999984</v>
      </c>
      <c r="L194" s="209">
        <v>132.20000000000027</v>
      </c>
      <c r="M194" s="209">
        <v>181.9200000000003</v>
      </c>
      <c r="N194" s="98"/>
      <c r="O194" s="98"/>
      <c r="P194" s="98"/>
      <c r="Q194" s="208">
        <v>113.19999999999993</v>
      </c>
      <c r="R194" s="98">
        <v>160.39999999999986</v>
      </c>
      <c r="S194" s="98">
        <v>152.20000000000027</v>
      </c>
      <c r="T194" s="98">
        <v>240.67999999999984</v>
      </c>
      <c r="U194" s="98">
        <v>113.19999999999993</v>
      </c>
      <c r="V194" s="98">
        <v>490.40000000000055</v>
      </c>
      <c r="W194" s="98">
        <v>555.19999999999891</v>
      </c>
      <c r="X194" s="98"/>
      <c r="Y194" s="98"/>
      <c r="Z194" s="98"/>
      <c r="AA194" s="230"/>
      <c r="AB194" s="230"/>
    </row>
    <row r="195" spans="2:28">
      <c r="B195" s="98">
        <v>225</v>
      </c>
      <c r="C195" s="98">
        <v>117</v>
      </c>
      <c r="D195" s="98">
        <v>623</v>
      </c>
      <c r="E195" s="98">
        <v>203</v>
      </c>
      <c r="F195" s="98">
        <v>209</v>
      </c>
      <c r="G195" s="98">
        <v>162</v>
      </c>
      <c r="H195" s="98">
        <v>118</v>
      </c>
      <c r="I195" s="98">
        <v>144.19999999999999</v>
      </c>
      <c r="J195" s="98">
        <v>203</v>
      </c>
      <c r="K195" s="208">
        <v>122.49999999999983</v>
      </c>
      <c r="L195" s="208">
        <v>132.00000000000028</v>
      </c>
      <c r="M195" s="208">
        <v>181.50000000000031</v>
      </c>
      <c r="N195" s="98"/>
      <c r="O195" s="98"/>
      <c r="P195" s="98"/>
      <c r="Q195" s="208">
        <v>112.99999999999993</v>
      </c>
      <c r="R195" s="98">
        <v>159.99999999999986</v>
      </c>
      <c r="S195" s="98">
        <v>152.00000000000028</v>
      </c>
      <c r="T195" s="98">
        <v>240.49999999999983</v>
      </c>
      <c r="U195" s="98">
        <v>112.99999999999993</v>
      </c>
      <c r="V195" s="98">
        <v>490.00000000000057</v>
      </c>
      <c r="W195" s="98">
        <v>554.99999999999886</v>
      </c>
      <c r="X195" s="98"/>
      <c r="Y195" s="98"/>
      <c r="Z195" s="98"/>
      <c r="AA195" s="230"/>
      <c r="AB195" s="230"/>
    </row>
    <row r="196" spans="2:28">
      <c r="B196" s="98">
        <v>226</v>
      </c>
      <c r="C196" s="98">
        <v>116.9</v>
      </c>
      <c r="D196" s="98">
        <v>622.6</v>
      </c>
      <c r="E196" s="98">
        <v>202.8</v>
      </c>
      <c r="F196" s="98">
        <v>208.8</v>
      </c>
      <c r="G196" s="98">
        <v>161.80000000000001</v>
      </c>
      <c r="H196" s="98">
        <v>117.9</v>
      </c>
      <c r="I196" s="98">
        <v>144.1</v>
      </c>
      <c r="J196" s="98">
        <v>202.8</v>
      </c>
      <c r="K196" s="209">
        <v>122.31999999999982</v>
      </c>
      <c r="L196" s="209">
        <v>131.8000000000003</v>
      </c>
      <c r="M196" s="209">
        <v>181.08000000000033</v>
      </c>
      <c r="N196" s="98"/>
      <c r="O196" s="98"/>
      <c r="P196" s="98"/>
      <c r="Q196" s="208">
        <v>112.79999999999993</v>
      </c>
      <c r="R196" s="98">
        <v>159.59999999999985</v>
      </c>
      <c r="S196" s="98">
        <v>151.8000000000003</v>
      </c>
      <c r="T196" s="98">
        <v>240.31999999999982</v>
      </c>
      <c r="U196" s="98">
        <v>112.79999999999993</v>
      </c>
      <c r="V196" s="98">
        <v>489.60000000000059</v>
      </c>
      <c r="W196" s="98">
        <v>554.79999999999882</v>
      </c>
      <c r="X196" s="98"/>
      <c r="Y196" s="98"/>
      <c r="Z196" s="98"/>
      <c r="AA196" s="230"/>
      <c r="AB196" s="230"/>
    </row>
    <row r="197" spans="2:28">
      <c r="B197" s="98">
        <v>227</v>
      </c>
      <c r="C197" s="98">
        <v>116.8</v>
      </c>
      <c r="D197" s="98">
        <v>622.29999999999995</v>
      </c>
      <c r="E197" s="98">
        <v>202.5</v>
      </c>
      <c r="F197" s="98">
        <v>208.6</v>
      </c>
      <c r="G197" s="98">
        <v>161.6</v>
      </c>
      <c r="H197" s="98">
        <v>117.7</v>
      </c>
      <c r="I197" s="98">
        <v>143.9</v>
      </c>
      <c r="J197" s="98">
        <v>202.6</v>
      </c>
      <c r="K197" s="208">
        <v>122.13999999999982</v>
      </c>
      <c r="L197" s="208">
        <v>131.60000000000031</v>
      </c>
      <c r="M197" s="208">
        <v>180.66000000000034</v>
      </c>
      <c r="N197" s="98"/>
      <c r="O197" s="98"/>
      <c r="P197" s="98"/>
      <c r="Q197" s="208">
        <v>112.59999999999992</v>
      </c>
      <c r="R197" s="98">
        <v>159.19999999999985</v>
      </c>
      <c r="S197" s="98">
        <v>151.60000000000031</v>
      </c>
      <c r="T197" s="98">
        <v>240.13999999999982</v>
      </c>
      <c r="U197" s="98">
        <v>112.59999999999992</v>
      </c>
      <c r="V197" s="98">
        <v>489.20000000000061</v>
      </c>
      <c r="W197" s="98">
        <v>554.59999999999877</v>
      </c>
      <c r="X197" s="98"/>
      <c r="Y197" s="98"/>
      <c r="Z197" s="98"/>
      <c r="AA197" s="230"/>
      <c r="AB197" s="230"/>
    </row>
    <row r="198" spans="2:28">
      <c r="B198" s="98">
        <v>228</v>
      </c>
      <c r="C198" s="98">
        <v>116.6</v>
      </c>
      <c r="D198" s="98">
        <v>621.9</v>
      </c>
      <c r="E198" s="98">
        <v>202.3</v>
      </c>
      <c r="F198" s="98">
        <v>208.4</v>
      </c>
      <c r="G198" s="98">
        <v>161.4</v>
      </c>
      <c r="H198" s="98">
        <v>117.6</v>
      </c>
      <c r="I198" s="98">
        <v>143.69999999999999</v>
      </c>
      <c r="J198" s="98">
        <v>202.4</v>
      </c>
      <c r="K198" s="209">
        <v>121.95999999999981</v>
      </c>
      <c r="L198" s="209">
        <v>131.40000000000032</v>
      </c>
      <c r="M198" s="209">
        <v>180.24000000000035</v>
      </c>
      <c r="N198" s="98"/>
      <c r="O198" s="98"/>
      <c r="P198" s="98"/>
      <c r="Q198" s="208">
        <v>112.39999999999992</v>
      </c>
      <c r="R198" s="98">
        <v>158.79999999999984</v>
      </c>
      <c r="S198" s="98">
        <v>151.40000000000032</v>
      </c>
      <c r="T198" s="98">
        <v>239.95999999999981</v>
      </c>
      <c r="U198" s="98">
        <v>112.39999999999992</v>
      </c>
      <c r="V198" s="98">
        <v>488.80000000000064</v>
      </c>
      <c r="W198" s="98">
        <v>554.39999999999873</v>
      </c>
      <c r="X198" s="98"/>
      <c r="Y198" s="98"/>
      <c r="Z198" s="98"/>
      <c r="AA198" s="230"/>
      <c r="AB198" s="230"/>
    </row>
    <row r="199" spans="2:28">
      <c r="B199" s="98">
        <v>229</v>
      </c>
      <c r="C199" s="98">
        <v>116.5</v>
      </c>
      <c r="D199" s="98">
        <v>621.6</v>
      </c>
      <c r="E199" s="98">
        <v>202</v>
      </c>
      <c r="F199" s="98">
        <v>208.2</v>
      </c>
      <c r="G199" s="98">
        <v>161.19999999999999</v>
      </c>
      <c r="H199" s="98">
        <v>117.4</v>
      </c>
      <c r="I199" s="98">
        <v>143.5</v>
      </c>
      <c r="J199" s="98">
        <v>202.2</v>
      </c>
      <c r="K199" s="208">
        <v>121.7799999999998</v>
      </c>
      <c r="L199" s="208">
        <v>131.20000000000033</v>
      </c>
      <c r="M199" s="208">
        <v>179.82000000000036</v>
      </c>
      <c r="N199" s="98"/>
      <c r="O199" s="98"/>
      <c r="P199" s="98"/>
      <c r="Q199" s="208">
        <v>112.19999999999992</v>
      </c>
      <c r="R199" s="98">
        <v>158.39999999999984</v>
      </c>
      <c r="S199" s="98">
        <v>151.20000000000033</v>
      </c>
      <c r="T199" s="98">
        <v>239.7799999999998</v>
      </c>
      <c r="U199" s="98">
        <v>112.19999999999992</v>
      </c>
      <c r="V199" s="98">
        <v>488.40000000000066</v>
      </c>
      <c r="W199" s="98">
        <v>554.19999999999868</v>
      </c>
      <c r="X199" s="98"/>
      <c r="Y199" s="98"/>
      <c r="Z199" s="98"/>
      <c r="AA199" s="230"/>
      <c r="AB199" s="230"/>
    </row>
    <row r="200" spans="2:28">
      <c r="B200" s="98">
        <v>230</v>
      </c>
      <c r="C200" s="98">
        <v>116.4</v>
      </c>
      <c r="D200" s="98">
        <v>621.20000000000005</v>
      </c>
      <c r="E200" s="98">
        <v>201.8</v>
      </c>
      <c r="F200" s="98">
        <v>208</v>
      </c>
      <c r="G200" s="98">
        <v>161</v>
      </c>
      <c r="H200" s="98">
        <v>117.3</v>
      </c>
      <c r="I200" s="98">
        <v>143.4</v>
      </c>
      <c r="J200" s="98">
        <v>202</v>
      </c>
      <c r="K200" s="209">
        <v>121.5999999999998</v>
      </c>
      <c r="L200" s="209">
        <v>131.00000000000034</v>
      </c>
      <c r="M200" s="209">
        <v>179.40000000000038</v>
      </c>
      <c r="N200" s="98"/>
      <c r="O200" s="98"/>
      <c r="P200" s="98"/>
      <c r="Q200" s="208">
        <v>111.99999999999991</v>
      </c>
      <c r="R200" s="98">
        <v>157.99999999999983</v>
      </c>
      <c r="S200" s="98">
        <v>151.00000000000034</v>
      </c>
      <c r="T200" s="98">
        <v>239.5999999999998</v>
      </c>
      <c r="U200" s="98">
        <v>111.99999999999991</v>
      </c>
      <c r="V200" s="98">
        <v>488.00000000000068</v>
      </c>
      <c r="W200" s="98">
        <v>553.99999999999864</v>
      </c>
      <c r="X200" s="98"/>
      <c r="Y200" s="98"/>
      <c r="Z200" s="98"/>
      <c r="AA200" s="230"/>
      <c r="AB200" s="230"/>
    </row>
    <row r="201" spans="2:28">
      <c r="B201" s="98">
        <v>231</v>
      </c>
      <c r="C201" s="98">
        <v>116.3</v>
      </c>
      <c r="D201" s="98">
        <v>620.79999999999995</v>
      </c>
      <c r="E201" s="98">
        <v>201.6</v>
      </c>
      <c r="F201" s="98">
        <v>207.8</v>
      </c>
      <c r="G201" s="98">
        <v>160.80000000000001</v>
      </c>
      <c r="H201" s="98">
        <v>117.1</v>
      </c>
      <c r="I201" s="98">
        <v>143.19999999999999</v>
      </c>
      <c r="J201" s="98">
        <v>201.8</v>
      </c>
      <c r="K201" s="208">
        <v>121.41999999999979</v>
      </c>
      <c r="L201" s="208">
        <v>130.80000000000035</v>
      </c>
      <c r="M201" s="208">
        <v>178.98000000000039</v>
      </c>
      <c r="N201" s="98"/>
      <c r="O201" s="98"/>
      <c r="P201" s="98"/>
      <c r="Q201" s="208">
        <v>111.79999999999991</v>
      </c>
      <c r="R201" s="98">
        <v>157.59999999999982</v>
      </c>
      <c r="S201" s="98">
        <v>150.80000000000035</v>
      </c>
      <c r="T201" s="98">
        <v>239.41999999999979</v>
      </c>
      <c r="U201" s="98">
        <v>111.79999999999991</v>
      </c>
      <c r="V201" s="98">
        <v>487.6000000000007</v>
      </c>
      <c r="W201" s="98">
        <v>553.79999999999859</v>
      </c>
      <c r="X201" s="98"/>
      <c r="Y201" s="98"/>
      <c r="Z201" s="98"/>
      <c r="AA201" s="230"/>
      <c r="AB201" s="230"/>
    </row>
    <row r="202" spans="2:28">
      <c r="B202" s="98">
        <v>232</v>
      </c>
      <c r="C202" s="98">
        <v>116.2</v>
      </c>
      <c r="D202" s="98">
        <v>620.5</v>
      </c>
      <c r="E202" s="98">
        <v>201.3</v>
      </c>
      <c r="F202" s="98">
        <v>207.6</v>
      </c>
      <c r="G202" s="98">
        <v>160.6</v>
      </c>
      <c r="H202" s="98">
        <v>117</v>
      </c>
      <c r="I202" s="98">
        <v>143</v>
      </c>
      <c r="J202" s="98">
        <v>201.6</v>
      </c>
      <c r="K202" s="209">
        <v>121.23999999999978</v>
      </c>
      <c r="L202" s="209">
        <v>130.60000000000036</v>
      </c>
      <c r="M202" s="209">
        <v>178.5600000000004</v>
      </c>
      <c r="N202" s="98"/>
      <c r="O202" s="98"/>
      <c r="P202" s="98"/>
      <c r="Q202" s="208">
        <v>111.59999999999991</v>
      </c>
      <c r="R202" s="98">
        <v>157.19999999999982</v>
      </c>
      <c r="S202" s="98">
        <v>150.60000000000036</v>
      </c>
      <c r="T202" s="98">
        <v>239.23999999999978</v>
      </c>
      <c r="U202" s="98">
        <v>111.59999999999991</v>
      </c>
      <c r="V202" s="98">
        <v>487.20000000000073</v>
      </c>
      <c r="W202" s="98">
        <v>553.59999999999854</v>
      </c>
      <c r="X202" s="98"/>
      <c r="Y202" s="98"/>
      <c r="Z202" s="98"/>
      <c r="AA202" s="230"/>
      <c r="AB202" s="230"/>
    </row>
    <row r="203" spans="2:28">
      <c r="B203" s="98">
        <v>233</v>
      </c>
      <c r="C203" s="98">
        <v>116</v>
      </c>
      <c r="D203" s="98">
        <v>620.1</v>
      </c>
      <c r="E203" s="98">
        <v>201.1</v>
      </c>
      <c r="F203" s="98">
        <v>207.4</v>
      </c>
      <c r="G203" s="98">
        <v>160.4</v>
      </c>
      <c r="H203" s="98">
        <v>116.9</v>
      </c>
      <c r="I203" s="98">
        <v>142.80000000000001</v>
      </c>
      <c r="J203" s="98">
        <v>201.4</v>
      </c>
      <c r="K203" s="208">
        <v>121.05999999999977</v>
      </c>
      <c r="L203" s="208">
        <v>130.40000000000038</v>
      </c>
      <c r="M203" s="208">
        <v>178.14000000000041</v>
      </c>
      <c r="N203" s="98"/>
      <c r="O203" s="98"/>
      <c r="P203" s="98"/>
      <c r="Q203" s="208">
        <v>111.39999999999991</v>
      </c>
      <c r="R203" s="98">
        <v>156.79999999999981</v>
      </c>
      <c r="S203" s="98">
        <v>150.40000000000038</v>
      </c>
      <c r="T203" s="98">
        <v>239.05999999999977</v>
      </c>
      <c r="U203" s="98">
        <v>111.39999999999991</v>
      </c>
      <c r="V203" s="98">
        <v>486.80000000000075</v>
      </c>
      <c r="W203" s="98">
        <v>553.3999999999985</v>
      </c>
      <c r="X203" s="98"/>
      <c r="Y203" s="98"/>
      <c r="Z203" s="98"/>
      <c r="AA203" s="230"/>
      <c r="AB203" s="230"/>
    </row>
    <row r="204" spans="2:28">
      <c r="B204" s="98">
        <v>234</v>
      </c>
      <c r="C204" s="98">
        <v>115.9</v>
      </c>
      <c r="D204" s="98">
        <v>619.79999999999995</v>
      </c>
      <c r="E204" s="98">
        <v>200.8</v>
      </c>
      <c r="F204" s="98">
        <v>207.2</v>
      </c>
      <c r="G204" s="98">
        <v>160.19999999999999</v>
      </c>
      <c r="H204" s="98">
        <v>116.7</v>
      </c>
      <c r="I204" s="98">
        <v>142.6</v>
      </c>
      <c r="J204" s="98">
        <v>201.2</v>
      </c>
      <c r="K204" s="209">
        <v>120.87999999999977</v>
      </c>
      <c r="L204" s="209">
        <v>130.20000000000039</v>
      </c>
      <c r="M204" s="209">
        <v>177.72000000000043</v>
      </c>
      <c r="N204" s="98"/>
      <c r="O204" s="98"/>
      <c r="P204" s="98"/>
      <c r="Q204" s="208">
        <v>111.1999999999999</v>
      </c>
      <c r="R204" s="98">
        <v>156.39999999999981</v>
      </c>
      <c r="S204" s="98">
        <v>150.20000000000039</v>
      </c>
      <c r="T204" s="98">
        <v>238.87999999999977</v>
      </c>
      <c r="U204" s="98">
        <v>111.1999999999999</v>
      </c>
      <c r="V204" s="98">
        <v>486.40000000000077</v>
      </c>
      <c r="W204" s="98">
        <v>553.19999999999845</v>
      </c>
      <c r="X204" s="98"/>
      <c r="Y204" s="98"/>
      <c r="Z204" s="98"/>
      <c r="AA204" s="230"/>
      <c r="AB204" s="230"/>
    </row>
    <row r="205" spans="2:28">
      <c r="B205" s="98">
        <v>235</v>
      </c>
      <c r="C205" s="98">
        <v>115.8</v>
      </c>
      <c r="D205" s="98">
        <v>619.4</v>
      </c>
      <c r="E205" s="98">
        <v>200.6</v>
      </c>
      <c r="F205" s="98">
        <v>207</v>
      </c>
      <c r="G205" s="98">
        <v>160</v>
      </c>
      <c r="H205" s="98">
        <v>116.6</v>
      </c>
      <c r="I205" s="98">
        <v>142.5</v>
      </c>
      <c r="J205" s="98">
        <v>201</v>
      </c>
      <c r="K205" s="208">
        <v>120.69999999999976</v>
      </c>
      <c r="L205" s="208">
        <v>130.0000000000004</v>
      </c>
      <c r="M205" s="208">
        <v>177.30000000000044</v>
      </c>
      <c r="N205" s="98"/>
      <c r="O205" s="98"/>
      <c r="P205" s="98"/>
      <c r="Q205" s="208">
        <v>110.9999999999999</v>
      </c>
      <c r="R205" s="98">
        <v>155.9999999999998</v>
      </c>
      <c r="S205" s="98">
        <v>150.0000000000004</v>
      </c>
      <c r="T205" s="98">
        <v>238.69999999999976</v>
      </c>
      <c r="U205" s="98">
        <v>110.9999999999999</v>
      </c>
      <c r="V205" s="98">
        <v>486.0000000000008</v>
      </c>
      <c r="W205" s="98">
        <v>552.99999999999841</v>
      </c>
      <c r="X205" s="98"/>
      <c r="Y205" s="98"/>
      <c r="Z205" s="98"/>
      <c r="AA205" s="230"/>
      <c r="AB205" s="230"/>
    </row>
    <row r="206" spans="2:28">
      <c r="B206" s="98">
        <v>236</v>
      </c>
      <c r="C206" s="98">
        <v>115.7</v>
      </c>
      <c r="D206" s="98">
        <v>619</v>
      </c>
      <c r="E206" s="98">
        <v>200.4</v>
      </c>
      <c r="F206" s="98">
        <v>206.8</v>
      </c>
      <c r="G206" s="98">
        <v>159.80000000000001</v>
      </c>
      <c r="H206" s="98">
        <v>116.4</v>
      </c>
      <c r="I206" s="98">
        <v>142.30000000000001</v>
      </c>
      <c r="J206" s="98">
        <v>200.8</v>
      </c>
      <c r="K206" s="209">
        <v>120.51999999999975</v>
      </c>
      <c r="L206" s="209">
        <v>129.80000000000041</v>
      </c>
      <c r="M206" s="209">
        <v>176.88000000000045</v>
      </c>
      <c r="N206" s="98"/>
      <c r="O206" s="98"/>
      <c r="P206" s="98"/>
      <c r="Q206" s="208">
        <v>110.7999999999999</v>
      </c>
      <c r="R206" s="98">
        <v>155.5999999999998</v>
      </c>
      <c r="S206" s="98">
        <v>149.80000000000041</v>
      </c>
      <c r="T206" s="98">
        <v>238.51999999999975</v>
      </c>
      <c r="U206" s="98">
        <v>110.7999999999999</v>
      </c>
      <c r="V206" s="98">
        <v>485.60000000000082</v>
      </c>
      <c r="W206" s="98">
        <v>552.79999999999836</v>
      </c>
      <c r="X206" s="98"/>
      <c r="Y206" s="98"/>
      <c r="Z206" s="98"/>
      <c r="AA206" s="230"/>
      <c r="AB206" s="230"/>
    </row>
    <row r="207" spans="2:28">
      <c r="B207" s="98">
        <v>237</v>
      </c>
      <c r="C207" s="98">
        <v>115.6</v>
      </c>
      <c r="D207" s="98">
        <v>618.70000000000005</v>
      </c>
      <c r="E207" s="98">
        <v>200.1</v>
      </c>
      <c r="F207" s="98">
        <v>206.6</v>
      </c>
      <c r="G207" s="98">
        <v>159.6</v>
      </c>
      <c r="H207" s="98">
        <v>116.3</v>
      </c>
      <c r="I207" s="98">
        <v>142.1</v>
      </c>
      <c r="J207" s="98">
        <v>200.6</v>
      </c>
      <c r="K207" s="208">
        <v>120.33999999999975</v>
      </c>
      <c r="L207" s="208">
        <v>129.60000000000042</v>
      </c>
      <c r="M207" s="208">
        <v>176.46000000000046</v>
      </c>
      <c r="N207" s="98"/>
      <c r="O207" s="98"/>
      <c r="P207" s="98"/>
      <c r="Q207" s="208">
        <v>110.59999999999989</v>
      </c>
      <c r="R207" s="98">
        <v>155.19999999999979</v>
      </c>
      <c r="S207" s="98">
        <v>149.60000000000042</v>
      </c>
      <c r="T207" s="98">
        <v>238.33999999999975</v>
      </c>
      <c r="U207" s="98">
        <v>110.59999999999989</v>
      </c>
      <c r="V207" s="98">
        <v>485.20000000000084</v>
      </c>
      <c r="W207" s="98">
        <v>552.59999999999832</v>
      </c>
      <c r="X207" s="98"/>
      <c r="Y207" s="98"/>
      <c r="Z207" s="98"/>
      <c r="AA207" s="230"/>
      <c r="AB207" s="230"/>
    </row>
    <row r="208" spans="2:28">
      <c r="B208" s="98">
        <v>238</v>
      </c>
      <c r="C208" s="98">
        <v>115.4</v>
      </c>
      <c r="D208" s="98">
        <v>618.29999999999995</v>
      </c>
      <c r="E208" s="98">
        <v>199.9</v>
      </c>
      <c r="F208" s="98">
        <v>206.4</v>
      </c>
      <c r="G208" s="98">
        <v>159.4</v>
      </c>
      <c r="H208" s="98">
        <v>116.1</v>
      </c>
      <c r="I208" s="98">
        <v>141.9</v>
      </c>
      <c r="J208" s="98">
        <v>200.4</v>
      </c>
      <c r="K208" s="209">
        <v>120.15999999999974</v>
      </c>
      <c r="L208" s="209">
        <v>129.40000000000043</v>
      </c>
      <c r="M208" s="209">
        <v>176.04000000000048</v>
      </c>
      <c r="N208" s="98"/>
      <c r="O208" s="98"/>
      <c r="P208" s="98"/>
      <c r="Q208" s="208">
        <v>110.39999999999989</v>
      </c>
      <c r="R208" s="98">
        <v>154.79999999999978</v>
      </c>
      <c r="S208" s="98">
        <v>149.40000000000043</v>
      </c>
      <c r="T208" s="98">
        <v>238.15999999999974</v>
      </c>
      <c r="U208" s="98">
        <v>110.39999999999989</v>
      </c>
      <c r="V208" s="98">
        <v>484.80000000000086</v>
      </c>
      <c r="W208" s="98">
        <v>552.39999999999827</v>
      </c>
      <c r="X208" s="98"/>
      <c r="Y208" s="98"/>
      <c r="Z208" s="98"/>
      <c r="AA208" s="230"/>
      <c r="AB208" s="230"/>
    </row>
    <row r="209" spans="2:28">
      <c r="B209" s="98">
        <v>239</v>
      </c>
      <c r="C209" s="98">
        <v>115.3</v>
      </c>
      <c r="D209" s="98">
        <v>618</v>
      </c>
      <c r="E209" s="98">
        <v>199.6</v>
      </c>
      <c r="F209" s="98">
        <v>206.2</v>
      </c>
      <c r="G209" s="98">
        <v>159.19999999999999</v>
      </c>
      <c r="H209" s="98">
        <v>116</v>
      </c>
      <c r="I209" s="98">
        <v>141.80000000000001</v>
      </c>
      <c r="J209" s="98">
        <v>200.2</v>
      </c>
      <c r="K209" s="208">
        <v>119.97999999999973</v>
      </c>
      <c r="L209" s="208">
        <v>129.20000000000044</v>
      </c>
      <c r="M209" s="208">
        <v>175.62000000000049</v>
      </c>
      <c r="N209" s="98"/>
      <c r="O209" s="98"/>
      <c r="P209" s="98"/>
      <c r="Q209" s="208">
        <v>110.19999999999989</v>
      </c>
      <c r="R209" s="98">
        <v>154.39999999999978</v>
      </c>
      <c r="S209" s="98">
        <v>149.20000000000044</v>
      </c>
      <c r="T209" s="98">
        <v>237.97999999999973</v>
      </c>
      <c r="U209" s="98">
        <v>110.19999999999989</v>
      </c>
      <c r="V209" s="98">
        <v>484.40000000000089</v>
      </c>
      <c r="W209" s="98">
        <v>552.19999999999823</v>
      </c>
      <c r="X209" s="98"/>
      <c r="Y209" s="98"/>
      <c r="Z209" s="98"/>
      <c r="AA209" s="230"/>
      <c r="AB209" s="230"/>
    </row>
    <row r="210" spans="2:28">
      <c r="B210" s="98">
        <v>240</v>
      </c>
      <c r="C210" s="98">
        <v>115.2</v>
      </c>
      <c r="D210" s="98">
        <v>617.6</v>
      </c>
      <c r="E210" s="98">
        <v>199.4</v>
      </c>
      <c r="F210" s="98">
        <v>206</v>
      </c>
      <c r="G210" s="98">
        <v>159</v>
      </c>
      <c r="H210" s="98">
        <v>115.9</v>
      </c>
      <c r="I210" s="98">
        <v>141.6</v>
      </c>
      <c r="J210" s="98">
        <v>200</v>
      </c>
      <c r="K210" s="209">
        <v>119.79999999999973</v>
      </c>
      <c r="L210" s="209">
        <v>129.00000000000045</v>
      </c>
      <c r="M210" s="209">
        <v>175.2000000000005</v>
      </c>
      <c r="N210" s="98"/>
      <c r="O210" s="98"/>
      <c r="P210" s="98"/>
      <c r="Q210" s="208">
        <v>109.99999999999989</v>
      </c>
      <c r="R210" s="98">
        <v>153.99999999999977</v>
      </c>
      <c r="S210" s="98">
        <v>149.00000000000045</v>
      </c>
      <c r="T210" s="98">
        <v>237.79999999999973</v>
      </c>
      <c r="U210" s="98">
        <v>109.99999999999989</v>
      </c>
      <c r="V210" s="98">
        <v>484.00000000000091</v>
      </c>
      <c r="W210" s="98">
        <v>551.99999999999818</v>
      </c>
      <c r="X210" s="98"/>
      <c r="Y210" s="98"/>
      <c r="Z210" s="98"/>
      <c r="AA210" s="230"/>
      <c r="AB210" s="230"/>
    </row>
    <row r="211" spans="2:28">
      <c r="B211" s="98">
        <v>241</v>
      </c>
      <c r="C211" s="98">
        <v>115.1</v>
      </c>
      <c r="D211" s="98">
        <v>617.20000000000005</v>
      </c>
      <c r="E211" s="98">
        <v>199.2</v>
      </c>
      <c r="F211" s="98">
        <v>205.8</v>
      </c>
      <c r="G211" s="98">
        <v>158.80000000000001</v>
      </c>
      <c r="H211" s="98">
        <v>115.7</v>
      </c>
      <c r="I211" s="98">
        <v>141.4</v>
      </c>
      <c r="J211" s="98">
        <v>199.8</v>
      </c>
      <c r="K211" s="208">
        <v>119.61999999999972</v>
      </c>
      <c r="L211" s="208">
        <v>128.80000000000047</v>
      </c>
      <c r="M211" s="208">
        <v>174.78000000000051</v>
      </c>
      <c r="N211" s="98"/>
      <c r="O211" s="98"/>
      <c r="P211" s="98"/>
      <c r="Q211" s="208">
        <v>109.79999999999988</v>
      </c>
      <c r="R211" s="98">
        <v>153.59999999999977</v>
      </c>
      <c r="S211" s="98">
        <v>148.80000000000047</v>
      </c>
      <c r="T211" s="98">
        <v>237.61999999999972</v>
      </c>
      <c r="U211" s="98">
        <v>109.79999999999988</v>
      </c>
      <c r="V211" s="98">
        <v>483.60000000000093</v>
      </c>
      <c r="W211" s="98">
        <v>551.79999999999814</v>
      </c>
      <c r="X211" s="98"/>
      <c r="Y211" s="98"/>
      <c r="Z211" s="98"/>
      <c r="AA211" s="230"/>
      <c r="AB211" s="230"/>
    </row>
    <row r="212" spans="2:28">
      <c r="B212" s="98">
        <v>242</v>
      </c>
      <c r="C212" s="98">
        <v>115</v>
      </c>
      <c r="D212" s="98">
        <v>616.9</v>
      </c>
      <c r="E212" s="98">
        <v>198.9</v>
      </c>
      <c r="F212" s="98">
        <v>205.6</v>
      </c>
      <c r="G212" s="98">
        <v>158.6</v>
      </c>
      <c r="H212" s="98">
        <v>115.6</v>
      </c>
      <c r="I212" s="98">
        <v>141.19999999999999</v>
      </c>
      <c r="J212" s="98">
        <v>199.6</v>
      </c>
      <c r="K212" s="209">
        <v>119.43999999999971</v>
      </c>
      <c r="L212" s="209">
        <v>128.60000000000048</v>
      </c>
      <c r="M212" s="209">
        <v>174.36000000000053</v>
      </c>
      <c r="N212" s="98"/>
      <c r="O212" s="98"/>
      <c r="P212" s="98"/>
      <c r="Q212" s="208">
        <v>109.59999999999988</v>
      </c>
      <c r="R212" s="98">
        <v>153.19999999999976</v>
      </c>
      <c r="S212" s="98">
        <v>148.60000000000048</v>
      </c>
      <c r="T212" s="98">
        <v>237.43999999999971</v>
      </c>
      <c r="U212" s="98">
        <v>109.59999999999988</v>
      </c>
      <c r="V212" s="98">
        <v>483.20000000000095</v>
      </c>
      <c r="W212" s="98">
        <v>551.59999999999809</v>
      </c>
      <c r="X212" s="98"/>
      <c r="Y212" s="98"/>
      <c r="Z212" s="98"/>
      <c r="AA212" s="230"/>
      <c r="AB212" s="230"/>
    </row>
    <row r="213" spans="2:28">
      <c r="B213" s="98">
        <v>243</v>
      </c>
      <c r="C213" s="98">
        <v>114.8</v>
      </c>
      <c r="D213" s="98">
        <v>616.5</v>
      </c>
      <c r="E213" s="98">
        <v>198.7</v>
      </c>
      <c r="F213" s="98">
        <v>205.4</v>
      </c>
      <c r="G213" s="98">
        <v>158.4</v>
      </c>
      <c r="H213" s="98">
        <v>115.4</v>
      </c>
      <c r="I213" s="98">
        <v>141</v>
      </c>
      <c r="J213" s="98">
        <v>199.4</v>
      </c>
      <c r="K213" s="208">
        <v>119.25999999999971</v>
      </c>
      <c r="L213" s="208">
        <v>128.40000000000049</v>
      </c>
      <c r="M213" s="208">
        <v>173.94000000000054</v>
      </c>
      <c r="N213" s="98"/>
      <c r="O213" s="98"/>
      <c r="P213" s="98"/>
      <c r="Q213" s="208">
        <v>109.39999999999988</v>
      </c>
      <c r="R213" s="98">
        <v>152.79999999999976</v>
      </c>
      <c r="S213" s="98">
        <v>148.40000000000049</v>
      </c>
      <c r="T213" s="98">
        <v>237.25999999999971</v>
      </c>
      <c r="U213" s="98">
        <v>109.39999999999988</v>
      </c>
      <c r="V213" s="98">
        <v>482.80000000000098</v>
      </c>
      <c r="W213" s="98">
        <v>551.39999999999804</v>
      </c>
      <c r="X213" s="98"/>
      <c r="Y213" s="98"/>
      <c r="Z213" s="98"/>
      <c r="AA213" s="230"/>
      <c r="AB213" s="230"/>
    </row>
    <row r="214" spans="2:28">
      <c r="B214" s="98">
        <v>244</v>
      </c>
      <c r="C214" s="98">
        <v>114.7</v>
      </c>
      <c r="D214" s="98">
        <v>616.20000000000005</v>
      </c>
      <c r="E214" s="98">
        <v>198.4</v>
      </c>
      <c r="F214" s="98">
        <v>205.2</v>
      </c>
      <c r="G214" s="98">
        <v>158.19999999999999</v>
      </c>
      <c r="H214" s="98">
        <v>115.3</v>
      </c>
      <c r="I214" s="98">
        <v>140.9</v>
      </c>
      <c r="J214" s="98">
        <v>199.2</v>
      </c>
      <c r="K214" s="209">
        <v>119.0799999999997</v>
      </c>
      <c r="L214" s="209">
        <v>128.2000000000005</v>
      </c>
      <c r="M214" s="209">
        <v>173.52000000000055</v>
      </c>
      <c r="N214" s="98"/>
      <c r="O214" s="98"/>
      <c r="P214" s="98"/>
      <c r="Q214" s="208">
        <v>109.19999999999987</v>
      </c>
      <c r="R214" s="98">
        <v>152.39999999999975</v>
      </c>
      <c r="S214" s="98">
        <v>148.2000000000005</v>
      </c>
      <c r="T214" s="98">
        <v>237.0799999999997</v>
      </c>
      <c r="U214" s="98">
        <v>109.19999999999987</v>
      </c>
      <c r="V214" s="98">
        <v>482.400000000001</v>
      </c>
      <c r="W214" s="98">
        <v>551.199999999998</v>
      </c>
      <c r="X214" s="98"/>
      <c r="Y214" s="98"/>
      <c r="Z214" s="98"/>
      <c r="AA214" s="230"/>
      <c r="AB214" s="230"/>
    </row>
    <row r="215" spans="2:28">
      <c r="B215" s="98">
        <v>245</v>
      </c>
      <c r="C215" s="98">
        <v>114.6</v>
      </c>
      <c r="D215" s="98">
        <v>615.79999999999995</v>
      </c>
      <c r="E215" s="98">
        <v>198.2</v>
      </c>
      <c r="F215" s="98">
        <v>205</v>
      </c>
      <c r="G215" s="98">
        <v>158</v>
      </c>
      <c r="H215" s="98">
        <v>115.1</v>
      </c>
      <c r="I215" s="98">
        <v>140.69999999999999</v>
      </c>
      <c r="J215" s="98">
        <v>199</v>
      </c>
      <c r="K215" s="208">
        <v>118.89999999999969</v>
      </c>
      <c r="L215" s="208">
        <v>128.00000000000051</v>
      </c>
      <c r="M215" s="208">
        <v>173.10000000000056</v>
      </c>
      <c r="N215" s="98"/>
      <c r="O215" s="98"/>
      <c r="P215" s="98"/>
      <c r="Q215" s="208">
        <v>108.99999999999987</v>
      </c>
      <c r="R215" s="98">
        <v>151.99999999999974</v>
      </c>
      <c r="S215" s="98">
        <v>148.00000000000051</v>
      </c>
      <c r="T215" s="98">
        <v>236.89999999999969</v>
      </c>
      <c r="U215" s="98">
        <v>108.99999999999987</v>
      </c>
      <c r="V215" s="98">
        <v>482.00000000000102</v>
      </c>
      <c r="W215" s="98">
        <v>550.99999999999795</v>
      </c>
      <c r="X215" s="98"/>
      <c r="Y215" s="98"/>
      <c r="Z215" s="98"/>
      <c r="AA215" s="230"/>
      <c r="AB215" s="230"/>
    </row>
    <row r="216" spans="2:28">
      <c r="B216" s="98">
        <v>246</v>
      </c>
      <c r="C216" s="98">
        <v>114.5</v>
      </c>
      <c r="D216" s="98">
        <v>615.4</v>
      </c>
      <c r="E216" s="98">
        <v>198</v>
      </c>
      <c r="F216" s="98">
        <v>204.8</v>
      </c>
      <c r="G216" s="98">
        <v>157.80000000000001</v>
      </c>
      <c r="H216" s="98">
        <v>115</v>
      </c>
      <c r="I216" s="98">
        <v>140.5</v>
      </c>
      <c r="J216" s="98">
        <v>198.8</v>
      </c>
      <c r="K216" s="209">
        <v>118.71999999999969</v>
      </c>
      <c r="L216" s="209">
        <v>127.80000000000051</v>
      </c>
      <c r="M216" s="209">
        <v>172.68000000000058</v>
      </c>
      <c r="N216" s="98"/>
      <c r="O216" s="98"/>
      <c r="P216" s="98"/>
      <c r="Q216" s="208">
        <v>108.79999999999987</v>
      </c>
      <c r="R216" s="98">
        <v>151.59999999999974</v>
      </c>
      <c r="S216" s="98">
        <v>147.80000000000052</v>
      </c>
      <c r="T216" s="98">
        <v>236.71999999999969</v>
      </c>
      <c r="U216" s="98">
        <v>108.79999999999987</v>
      </c>
      <c r="V216" s="98">
        <v>481.60000000000105</v>
      </c>
      <c r="W216" s="98">
        <v>550.79999999999791</v>
      </c>
      <c r="X216" s="98"/>
      <c r="Y216" s="98"/>
      <c r="Z216" s="98"/>
      <c r="AA216" s="230"/>
      <c r="AB216" s="230"/>
    </row>
    <row r="217" spans="2:28">
      <c r="B217" s="98">
        <v>247</v>
      </c>
      <c r="C217" s="98">
        <v>114.4</v>
      </c>
      <c r="D217" s="98">
        <v>615.1</v>
      </c>
      <c r="E217" s="98">
        <v>197.7</v>
      </c>
      <c r="F217" s="98">
        <v>204.6</v>
      </c>
      <c r="G217" s="98">
        <v>157.6</v>
      </c>
      <c r="H217" s="98">
        <v>114.9</v>
      </c>
      <c r="I217" s="98">
        <v>140.30000000000001</v>
      </c>
      <c r="J217" s="98">
        <v>198.6</v>
      </c>
      <c r="K217" s="208">
        <v>118.53999999999968</v>
      </c>
      <c r="L217" s="208">
        <v>127.60000000000051</v>
      </c>
      <c r="M217" s="208">
        <v>172.26000000000059</v>
      </c>
      <c r="N217" s="98"/>
      <c r="O217" s="98"/>
      <c r="P217" s="98"/>
      <c r="Q217" s="208">
        <v>108.59999999999987</v>
      </c>
      <c r="R217" s="98">
        <v>151.19999999999973</v>
      </c>
      <c r="S217" s="98">
        <v>147.60000000000053</v>
      </c>
      <c r="T217" s="98">
        <v>236.53999999999968</v>
      </c>
      <c r="U217" s="98">
        <v>108.59999999999987</v>
      </c>
      <c r="V217" s="98">
        <v>481.20000000000107</v>
      </c>
      <c r="W217" s="98">
        <v>550.59999999999786</v>
      </c>
      <c r="X217" s="98"/>
      <c r="Y217" s="98"/>
      <c r="Z217" s="98"/>
      <c r="AA217" s="230"/>
      <c r="AB217" s="230"/>
    </row>
    <row r="218" spans="2:28">
      <c r="B218" s="98">
        <v>248</v>
      </c>
      <c r="C218" s="98">
        <v>114.2</v>
      </c>
      <c r="D218" s="98">
        <v>614.70000000000005</v>
      </c>
      <c r="E218" s="98">
        <v>197.5</v>
      </c>
      <c r="F218" s="98">
        <v>204.4</v>
      </c>
      <c r="G218" s="98">
        <v>157.4</v>
      </c>
      <c r="H218" s="98">
        <v>114.7</v>
      </c>
      <c r="I218" s="98">
        <v>140.1</v>
      </c>
      <c r="J218" s="98">
        <v>198.4</v>
      </c>
      <c r="K218" s="209">
        <v>118.35999999999967</v>
      </c>
      <c r="L218" s="209">
        <v>127.4000000000005</v>
      </c>
      <c r="M218" s="209">
        <v>171.8400000000006</v>
      </c>
      <c r="N218" s="98"/>
      <c r="O218" s="98"/>
      <c r="P218" s="98"/>
      <c r="Q218" s="208">
        <v>108.39999999999986</v>
      </c>
      <c r="R218" s="98">
        <v>150.79999999999973</v>
      </c>
      <c r="S218" s="98">
        <v>147.40000000000055</v>
      </c>
      <c r="T218" s="98">
        <v>236.35999999999967</v>
      </c>
      <c r="U218" s="98">
        <v>108.39999999999986</v>
      </c>
      <c r="V218" s="98">
        <v>480.80000000000109</v>
      </c>
      <c r="W218" s="98">
        <v>550.39999999999782</v>
      </c>
      <c r="X218" s="98"/>
      <c r="Y218" s="98"/>
      <c r="Z218" s="98"/>
      <c r="AA218" s="230"/>
      <c r="AB218" s="230"/>
    </row>
    <row r="219" spans="2:28">
      <c r="B219" s="98">
        <v>249</v>
      </c>
      <c r="C219" s="98">
        <v>114.1</v>
      </c>
      <c r="D219" s="98">
        <v>614.4</v>
      </c>
      <c r="E219" s="98">
        <v>197.2</v>
      </c>
      <c r="F219" s="98">
        <v>204.2</v>
      </c>
      <c r="G219" s="98">
        <v>157.19999999999999</v>
      </c>
      <c r="H219" s="98">
        <v>114.6</v>
      </c>
      <c r="I219" s="98">
        <v>140</v>
      </c>
      <c r="J219" s="98">
        <v>198.2</v>
      </c>
      <c r="K219" s="208">
        <v>118.17999999999967</v>
      </c>
      <c r="L219" s="208">
        <v>127.2000000000005</v>
      </c>
      <c r="M219" s="208">
        <v>171.42000000000061</v>
      </c>
      <c r="N219" s="98"/>
      <c r="O219" s="98"/>
      <c r="P219" s="98"/>
      <c r="Q219" s="208">
        <v>108.19999999999986</v>
      </c>
      <c r="R219" s="98">
        <v>150.39999999999972</v>
      </c>
      <c r="S219" s="98">
        <v>147.20000000000056</v>
      </c>
      <c r="T219" s="98">
        <v>236.17999999999967</v>
      </c>
      <c r="U219" s="98">
        <v>108.19999999999986</v>
      </c>
      <c r="V219" s="98">
        <v>480.40000000000111</v>
      </c>
      <c r="W219" s="98">
        <v>550.19999999999777</v>
      </c>
      <c r="X219" s="98"/>
      <c r="Y219" s="98"/>
      <c r="Z219" s="98"/>
      <c r="AA219" s="230"/>
      <c r="AB219" s="230"/>
    </row>
    <row r="220" spans="2:28">
      <c r="B220" s="98">
        <v>250</v>
      </c>
      <c r="C220" s="98">
        <v>114</v>
      </c>
      <c r="D220" s="98">
        <v>614</v>
      </c>
      <c r="E220" s="98">
        <v>197</v>
      </c>
      <c r="F220" s="98">
        <v>204</v>
      </c>
      <c r="G220" s="98">
        <v>157</v>
      </c>
      <c r="H220" s="98">
        <v>114.4</v>
      </c>
      <c r="I220" s="98">
        <v>139.80000000000001</v>
      </c>
      <c r="J220" s="98">
        <v>198</v>
      </c>
      <c r="K220" s="209">
        <v>118</v>
      </c>
      <c r="L220" s="209">
        <v>127</v>
      </c>
      <c r="M220" s="209">
        <v>171</v>
      </c>
      <c r="N220" s="98">
        <v>145</v>
      </c>
      <c r="O220" s="98">
        <v>145</v>
      </c>
      <c r="P220" s="98"/>
      <c r="Q220" s="209">
        <v>108</v>
      </c>
      <c r="R220" s="98">
        <v>150</v>
      </c>
      <c r="S220" s="98">
        <v>147</v>
      </c>
      <c r="T220" s="98">
        <v>236</v>
      </c>
      <c r="U220" s="98">
        <v>108</v>
      </c>
      <c r="V220" s="98">
        <v>480</v>
      </c>
      <c r="W220" s="98">
        <v>550</v>
      </c>
      <c r="X220" s="98"/>
      <c r="Y220" s="98"/>
      <c r="Z220" s="98"/>
      <c r="AA220" s="230">
        <v>602</v>
      </c>
      <c r="AB220" s="230"/>
    </row>
    <row r="221" spans="2:28">
      <c r="B221" s="98">
        <v>251</v>
      </c>
      <c r="C221" s="98">
        <v>113.9</v>
      </c>
      <c r="D221" s="98">
        <v>613.6</v>
      </c>
      <c r="E221" s="98">
        <v>196.7</v>
      </c>
      <c r="F221" s="98">
        <v>203.8</v>
      </c>
      <c r="G221" s="98">
        <v>156.80000000000001</v>
      </c>
      <c r="H221" s="98">
        <v>114.3</v>
      </c>
      <c r="I221" s="98">
        <v>139.6</v>
      </c>
      <c r="J221" s="98">
        <v>197.8</v>
      </c>
      <c r="K221" s="208">
        <v>117.84</v>
      </c>
      <c r="L221" s="208">
        <v>126.84</v>
      </c>
      <c r="M221" s="208">
        <v>170.66</v>
      </c>
      <c r="N221" s="98"/>
      <c r="O221" s="98"/>
      <c r="P221" s="98"/>
      <c r="Q221" s="208">
        <v>107.84</v>
      </c>
      <c r="R221" s="98">
        <v>149.63999999999999</v>
      </c>
      <c r="S221" s="98">
        <v>146.78</v>
      </c>
      <c r="T221" s="98">
        <v>235.12</v>
      </c>
      <c r="U221" s="98">
        <v>107.84</v>
      </c>
      <c r="V221" s="98">
        <v>479.6</v>
      </c>
      <c r="W221" s="98">
        <v>549.79999999999995</v>
      </c>
      <c r="X221" s="98"/>
      <c r="Y221" s="98"/>
      <c r="Z221" s="98"/>
      <c r="AA221" s="230"/>
      <c r="AB221" s="230"/>
    </row>
    <row r="222" spans="2:28">
      <c r="B222" s="98">
        <v>252</v>
      </c>
      <c r="C222" s="98">
        <v>113.8</v>
      </c>
      <c r="D222" s="98">
        <v>613.20000000000005</v>
      </c>
      <c r="E222" s="98">
        <v>196.4</v>
      </c>
      <c r="F222" s="98">
        <v>203.6</v>
      </c>
      <c r="G222" s="98">
        <v>156.6</v>
      </c>
      <c r="H222" s="98">
        <v>114.1</v>
      </c>
      <c r="I222" s="98">
        <v>139.4</v>
      </c>
      <c r="J222" s="98">
        <v>197.7</v>
      </c>
      <c r="K222" s="209">
        <v>117.68</v>
      </c>
      <c r="L222" s="209">
        <v>126.68</v>
      </c>
      <c r="M222" s="209">
        <v>170.32</v>
      </c>
      <c r="N222" s="98"/>
      <c r="O222" s="98"/>
      <c r="P222" s="98"/>
      <c r="Q222" s="208">
        <v>107.68</v>
      </c>
      <c r="R222" s="98">
        <v>149.27999999999997</v>
      </c>
      <c r="S222" s="98">
        <v>146.56</v>
      </c>
      <c r="T222" s="98">
        <v>234.24</v>
      </c>
      <c r="U222" s="98">
        <v>107.68</v>
      </c>
      <c r="V222" s="98">
        <v>479.20000000000005</v>
      </c>
      <c r="W222" s="98">
        <v>549.59999999999991</v>
      </c>
      <c r="X222" s="98"/>
      <c r="Y222" s="98"/>
      <c r="Z222" s="98"/>
      <c r="AA222" s="230"/>
      <c r="AB222" s="230"/>
    </row>
    <row r="223" spans="2:28">
      <c r="B223" s="98">
        <v>253</v>
      </c>
      <c r="C223" s="98">
        <v>113.7</v>
      </c>
      <c r="D223" s="98">
        <v>612.79999999999995</v>
      </c>
      <c r="E223" s="98">
        <v>196.2</v>
      </c>
      <c r="F223" s="98">
        <v>203.4</v>
      </c>
      <c r="G223" s="98">
        <v>156.4</v>
      </c>
      <c r="H223" s="98">
        <v>114</v>
      </c>
      <c r="I223" s="98">
        <v>139.30000000000001</v>
      </c>
      <c r="J223" s="98">
        <v>197.5</v>
      </c>
      <c r="K223" s="208">
        <v>117.52000000000001</v>
      </c>
      <c r="L223" s="208">
        <v>126.52000000000001</v>
      </c>
      <c r="M223" s="208">
        <v>169.98</v>
      </c>
      <c r="N223" s="98"/>
      <c r="O223" s="98"/>
      <c r="P223" s="98"/>
      <c r="Q223" s="208">
        <v>107.52000000000001</v>
      </c>
      <c r="R223" s="98">
        <v>148.91999999999996</v>
      </c>
      <c r="S223" s="98">
        <v>146.34</v>
      </c>
      <c r="T223" s="98">
        <v>233.36</v>
      </c>
      <c r="U223" s="98">
        <v>107.52000000000001</v>
      </c>
      <c r="V223" s="98">
        <v>478.80000000000007</v>
      </c>
      <c r="W223" s="98">
        <v>549.39999999999986</v>
      </c>
      <c r="X223" s="98"/>
      <c r="Y223" s="98"/>
      <c r="Z223" s="98"/>
      <c r="AA223" s="230"/>
      <c r="AB223" s="230"/>
    </row>
    <row r="224" spans="2:28">
      <c r="B224" s="98">
        <v>254</v>
      </c>
      <c r="C224" s="98">
        <v>113.6</v>
      </c>
      <c r="D224" s="98">
        <v>612.4</v>
      </c>
      <c r="E224" s="98">
        <v>195.9</v>
      </c>
      <c r="F224" s="98">
        <v>203.2</v>
      </c>
      <c r="G224" s="98">
        <v>156.19999999999999</v>
      </c>
      <c r="H224" s="98">
        <v>113.9</v>
      </c>
      <c r="I224" s="98">
        <v>139.1</v>
      </c>
      <c r="J224" s="98">
        <v>197.4</v>
      </c>
      <c r="K224" s="209">
        <v>117.36000000000001</v>
      </c>
      <c r="L224" s="209">
        <v>126.36000000000001</v>
      </c>
      <c r="M224" s="209">
        <v>169.64</v>
      </c>
      <c r="N224" s="98"/>
      <c r="O224" s="98"/>
      <c r="P224" s="98"/>
      <c r="Q224" s="208">
        <v>107.36000000000001</v>
      </c>
      <c r="R224" s="98">
        <v>148.55999999999995</v>
      </c>
      <c r="S224" s="98">
        <v>146.12</v>
      </c>
      <c r="T224" s="98">
        <v>232.48000000000002</v>
      </c>
      <c r="U224" s="98">
        <v>107.36000000000001</v>
      </c>
      <c r="V224" s="98">
        <v>478.40000000000009</v>
      </c>
      <c r="W224" s="98">
        <v>549.19999999999982</v>
      </c>
      <c r="X224" s="98"/>
      <c r="Y224" s="98"/>
      <c r="Z224" s="98"/>
      <c r="AA224" s="230"/>
      <c r="AB224" s="230"/>
    </row>
    <row r="225" spans="2:28">
      <c r="B225" s="98">
        <v>255</v>
      </c>
      <c r="C225" s="98">
        <v>113.5</v>
      </c>
      <c r="D225" s="98">
        <v>612</v>
      </c>
      <c r="E225" s="98">
        <v>195.6</v>
      </c>
      <c r="F225" s="98">
        <v>203</v>
      </c>
      <c r="G225" s="98">
        <v>156</v>
      </c>
      <c r="H225" s="98">
        <v>113.7</v>
      </c>
      <c r="I225" s="98">
        <v>138.9</v>
      </c>
      <c r="J225" s="98">
        <v>197.2</v>
      </c>
      <c r="K225" s="208">
        <v>117.20000000000002</v>
      </c>
      <c r="L225" s="208">
        <v>126.20000000000002</v>
      </c>
      <c r="M225" s="208">
        <v>169.29999999999998</v>
      </c>
      <c r="N225" s="98"/>
      <c r="O225" s="98"/>
      <c r="P225" s="98"/>
      <c r="Q225" s="208">
        <v>107.20000000000002</v>
      </c>
      <c r="R225" s="98">
        <v>148.19999999999993</v>
      </c>
      <c r="S225" s="98">
        <v>145.9</v>
      </c>
      <c r="T225" s="98">
        <v>231.60000000000002</v>
      </c>
      <c r="U225" s="98">
        <v>107.20000000000002</v>
      </c>
      <c r="V225" s="98">
        <v>478.00000000000011</v>
      </c>
      <c r="W225" s="98">
        <v>548.99999999999977</v>
      </c>
      <c r="X225" s="98"/>
      <c r="Y225" s="98"/>
      <c r="Z225" s="98"/>
      <c r="AA225" s="230"/>
      <c r="AB225" s="230"/>
    </row>
    <row r="226" spans="2:28">
      <c r="B226" s="98">
        <v>256</v>
      </c>
      <c r="C226" s="98">
        <v>113.4</v>
      </c>
      <c r="D226" s="98">
        <v>611.6</v>
      </c>
      <c r="E226" s="98">
        <v>195.3</v>
      </c>
      <c r="F226" s="98">
        <v>202.8</v>
      </c>
      <c r="G226" s="98">
        <v>155.80000000000001</v>
      </c>
      <c r="H226" s="98">
        <v>113.6</v>
      </c>
      <c r="I226" s="98">
        <v>138.69999999999999</v>
      </c>
      <c r="J226" s="98">
        <v>197</v>
      </c>
      <c r="K226" s="209">
        <v>117.04000000000002</v>
      </c>
      <c r="L226" s="209">
        <v>126.04000000000002</v>
      </c>
      <c r="M226" s="209">
        <v>168.95999999999998</v>
      </c>
      <c r="N226" s="98"/>
      <c r="O226" s="98"/>
      <c r="P226" s="98"/>
      <c r="Q226" s="208">
        <v>107.04000000000002</v>
      </c>
      <c r="R226" s="98">
        <v>147.83999999999992</v>
      </c>
      <c r="S226" s="98">
        <v>145.68</v>
      </c>
      <c r="T226" s="98">
        <v>230.72000000000003</v>
      </c>
      <c r="U226" s="98">
        <v>107.04000000000002</v>
      </c>
      <c r="V226" s="98">
        <v>477.60000000000014</v>
      </c>
      <c r="W226" s="98">
        <v>548.79999999999973</v>
      </c>
      <c r="X226" s="98"/>
      <c r="Y226" s="98"/>
      <c r="Z226" s="98"/>
      <c r="AA226" s="230"/>
      <c r="AB226" s="230"/>
    </row>
    <row r="227" spans="2:28">
      <c r="B227" s="98">
        <v>257</v>
      </c>
      <c r="C227" s="98">
        <v>113.3</v>
      </c>
      <c r="D227" s="98">
        <v>611.20000000000005</v>
      </c>
      <c r="E227" s="98">
        <v>195</v>
      </c>
      <c r="F227" s="98">
        <v>202.6</v>
      </c>
      <c r="G227" s="98">
        <v>155.6</v>
      </c>
      <c r="H227" s="98">
        <v>113.4</v>
      </c>
      <c r="I227" s="98">
        <v>138.5</v>
      </c>
      <c r="J227" s="98">
        <v>196.9</v>
      </c>
      <c r="K227" s="208">
        <v>116.88000000000002</v>
      </c>
      <c r="L227" s="208">
        <v>125.88000000000002</v>
      </c>
      <c r="M227" s="208">
        <v>168.61999999999998</v>
      </c>
      <c r="N227" s="98"/>
      <c r="O227" s="98"/>
      <c r="P227" s="98"/>
      <c r="Q227" s="208">
        <v>106.88000000000002</v>
      </c>
      <c r="R227" s="98">
        <v>147.4799999999999</v>
      </c>
      <c r="S227" s="98">
        <v>145.46</v>
      </c>
      <c r="T227" s="98">
        <v>229.84000000000003</v>
      </c>
      <c r="U227" s="98">
        <v>106.88000000000002</v>
      </c>
      <c r="V227" s="98">
        <v>477.20000000000016</v>
      </c>
      <c r="W227" s="98">
        <v>548.59999999999968</v>
      </c>
      <c r="X227" s="98"/>
      <c r="Y227" s="98"/>
      <c r="Z227" s="98"/>
      <c r="AA227" s="230"/>
      <c r="AB227" s="230"/>
    </row>
    <row r="228" spans="2:28">
      <c r="B228" s="98">
        <v>258</v>
      </c>
      <c r="C228" s="98">
        <v>113.2</v>
      </c>
      <c r="D228" s="98">
        <v>610.79999999999995</v>
      </c>
      <c r="E228" s="98">
        <v>194.8</v>
      </c>
      <c r="F228" s="98">
        <v>202.4</v>
      </c>
      <c r="G228" s="98">
        <v>155.4</v>
      </c>
      <c r="H228" s="98">
        <v>113.3</v>
      </c>
      <c r="I228" s="98">
        <v>138.4</v>
      </c>
      <c r="J228" s="98">
        <v>196.7</v>
      </c>
      <c r="K228" s="209">
        <v>116.72000000000003</v>
      </c>
      <c r="L228" s="209">
        <v>125.72000000000003</v>
      </c>
      <c r="M228" s="209">
        <v>168.27999999999997</v>
      </c>
      <c r="N228" s="98"/>
      <c r="O228" s="98"/>
      <c r="P228" s="98"/>
      <c r="Q228" s="208">
        <v>106.72000000000003</v>
      </c>
      <c r="R228" s="98">
        <v>147.11999999999989</v>
      </c>
      <c r="S228" s="98">
        <v>145.24</v>
      </c>
      <c r="T228" s="98">
        <v>228.96000000000004</v>
      </c>
      <c r="U228" s="98">
        <v>106.72000000000003</v>
      </c>
      <c r="V228" s="98">
        <v>476.80000000000018</v>
      </c>
      <c r="W228" s="98">
        <v>548.39999999999964</v>
      </c>
      <c r="X228" s="98"/>
      <c r="Y228" s="98"/>
      <c r="Z228" s="98"/>
      <c r="AA228" s="230"/>
      <c r="AB228" s="230"/>
    </row>
    <row r="229" spans="2:28">
      <c r="B229" s="98">
        <v>259</v>
      </c>
      <c r="C229" s="98">
        <v>113.1</v>
      </c>
      <c r="D229" s="98">
        <v>610.4</v>
      </c>
      <c r="E229" s="98">
        <v>194.5</v>
      </c>
      <c r="F229" s="98">
        <v>202.2</v>
      </c>
      <c r="G229" s="98">
        <v>155.19999999999999</v>
      </c>
      <c r="H229" s="98">
        <v>113.1</v>
      </c>
      <c r="I229" s="98">
        <v>138.19999999999999</v>
      </c>
      <c r="J229" s="98">
        <v>196.6</v>
      </c>
      <c r="K229" s="208">
        <v>116.56000000000003</v>
      </c>
      <c r="L229" s="208">
        <v>125.56000000000003</v>
      </c>
      <c r="M229" s="208">
        <v>167.93999999999997</v>
      </c>
      <c r="N229" s="98"/>
      <c r="O229" s="98"/>
      <c r="P229" s="98"/>
      <c r="Q229" s="208">
        <v>106.56000000000003</v>
      </c>
      <c r="R229" s="98">
        <v>146.75999999999988</v>
      </c>
      <c r="S229" s="98">
        <v>145.02000000000001</v>
      </c>
      <c r="T229" s="98">
        <v>228.08000000000004</v>
      </c>
      <c r="U229" s="98">
        <v>106.56000000000003</v>
      </c>
      <c r="V229" s="98">
        <v>476.4000000000002</v>
      </c>
      <c r="W229" s="98">
        <v>548.19999999999959</v>
      </c>
      <c r="X229" s="98"/>
      <c r="Y229" s="98"/>
      <c r="Z229" s="98"/>
      <c r="AA229" s="230"/>
      <c r="AB229" s="230"/>
    </row>
    <row r="230" spans="2:28">
      <c r="B230" s="98">
        <v>260</v>
      </c>
      <c r="C230" s="98">
        <v>113</v>
      </c>
      <c r="D230" s="98">
        <v>610</v>
      </c>
      <c r="E230" s="98">
        <v>194.2</v>
      </c>
      <c r="F230" s="98">
        <v>202</v>
      </c>
      <c r="G230" s="98">
        <v>155</v>
      </c>
      <c r="H230" s="98">
        <v>113</v>
      </c>
      <c r="I230" s="98">
        <v>138</v>
      </c>
      <c r="J230" s="98">
        <v>196.4</v>
      </c>
      <c r="K230" s="209">
        <v>116.40000000000003</v>
      </c>
      <c r="L230" s="209">
        <v>125.40000000000003</v>
      </c>
      <c r="M230" s="209">
        <v>167.59999999999997</v>
      </c>
      <c r="N230" s="98"/>
      <c r="O230" s="98"/>
      <c r="P230" s="98"/>
      <c r="Q230" s="208">
        <v>106.40000000000003</v>
      </c>
      <c r="R230" s="98">
        <v>146.39999999999986</v>
      </c>
      <c r="S230" s="98">
        <v>144.80000000000001</v>
      </c>
      <c r="T230" s="98">
        <v>227.20000000000005</v>
      </c>
      <c r="U230" s="98">
        <v>106.40000000000003</v>
      </c>
      <c r="V230" s="98">
        <v>476.00000000000023</v>
      </c>
      <c r="W230" s="98">
        <v>547.99999999999955</v>
      </c>
      <c r="X230" s="98"/>
      <c r="Y230" s="98"/>
      <c r="Z230" s="98"/>
      <c r="AA230" s="230"/>
      <c r="AB230" s="230"/>
    </row>
    <row r="231" spans="2:28">
      <c r="B231" s="98">
        <v>261</v>
      </c>
      <c r="C231" s="98">
        <v>112.9</v>
      </c>
      <c r="D231" s="98">
        <v>609.70000000000005</v>
      </c>
      <c r="E231" s="98">
        <v>193.9</v>
      </c>
      <c r="F231" s="98">
        <v>201.8</v>
      </c>
      <c r="G231" s="98">
        <v>154.80000000000001</v>
      </c>
      <c r="H231" s="98">
        <v>112.9</v>
      </c>
      <c r="I231" s="98">
        <v>137.9</v>
      </c>
      <c r="J231" s="98">
        <v>196.2</v>
      </c>
      <c r="K231" s="208">
        <v>116.24000000000004</v>
      </c>
      <c r="L231" s="208">
        <v>125.24000000000004</v>
      </c>
      <c r="M231" s="208">
        <v>167.25999999999996</v>
      </c>
      <c r="N231" s="98"/>
      <c r="O231" s="98"/>
      <c r="P231" s="98"/>
      <c r="Q231" s="208">
        <v>106.24000000000004</v>
      </c>
      <c r="R231" s="98">
        <v>146.03999999999985</v>
      </c>
      <c r="S231" s="98">
        <v>144.58000000000001</v>
      </c>
      <c r="T231" s="98">
        <v>226.32000000000005</v>
      </c>
      <c r="U231" s="98">
        <v>106.24000000000004</v>
      </c>
      <c r="V231" s="98">
        <v>475.60000000000025</v>
      </c>
      <c r="W231" s="98">
        <v>547.7999999999995</v>
      </c>
      <c r="X231" s="98"/>
      <c r="Y231" s="98"/>
      <c r="Z231" s="98"/>
      <c r="AA231" s="230"/>
      <c r="AB231" s="230"/>
    </row>
    <row r="232" spans="2:28">
      <c r="B232" s="98">
        <v>262</v>
      </c>
      <c r="C232" s="98">
        <v>112.7</v>
      </c>
      <c r="D232" s="98">
        <v>609.29999999999995</v>
      </c>
      <c r="E232" s="98">
        <v>193.6</v>
      </c>
      <c r="F232" s="98">
        <v>201.6</v>
      </c>
      <c r="G232" s="98">
        <v>154.5</v>
      </c>
      <c r="H232" s="98">
        <v>112.8</v>
      </c>
      <c r="I232" s="98">
        <v>137.69999999999999</v>
      </c>
      <c r="J232" s="98">
        <v>196.1</v>
      </c>
      <c r="K232" s="209">
        <v>116.08000000000004</v>
      </c>
      <c r="L232" s="209">
        <v>125.08000000000004</v>
      </c>
      <c r="M232" s="209">
        <v>166.91999999999996</v>
      </c>
      <c r="N232" s="98"/>
      <c r="O232" s="98"/>
      <c r="P232" s="98"/>
      <c r="Q232" s="208">
        <v>106.08000000000004</v>
      </c>
      <c r="R232" s="98">
        <v>145.67999999999984</v>
      </c>
      <c r="S232" s="98">
        <v>144.36000000000001</v>
      </c>
      <c r="T232" s="98">
        <v>225.44000000000005</v>
      </c>
      <c r="U232" s="98">
        <v>106.08000000000004</v>
      </c>
      <c r="V232" s="98">
        <v>475.20000000000027</v>
      </c>
      <c r="W232" s="98">
        <v>547.59999999999945</v>
      </c>
      <c r="X232" s="98"/>
      <c r="Y232" s="98"/>
      <c r="Z232" s="98"/>
      <c r="AA232" s="230"/>
      <c r="AB232" s="230"/>
    </row>
    <row r="233" spans="2:28">
      <c r="B233" s="98">
        <v>263</v>
      </c>
      <c r="C233" s="98">
        <v>112.6</v>
      </c>
      <c r="D233" s="98">
        <v>609</v>
      </c>
      <c r="E233" s="98">
        <v>193.4</v>
      </c>
      <c r="F233" s="98">
        <v>201.4</v>
      </c>
      <c r="G233" s="98">
        <v>154.19999999999999</v>
      </c>
      <c r="H233" s="98">
        <v>112.7</v>
      </c>
      <c r="I233" s="98">
        <v>137.6</v>
      </c>
      <c r="J233" s="98">
        <v>195.9</v>
      </c>
      <c r="K233" s="208">
        <v>115.92000000000004</v>
      </c>
      <c r="L233" s="208">
        <v>124.92000000000004</v>
      </c>
      <c r="M233" s="208">
        <v>166.57999999999996</v>
      </c>
      <c r="N233" s="98"/>
      <c r="O233" s="98"/>
      <c r="P233" s="98"/>
      <c r="Q233" s="208">
        <v>105.92000000000004</v>
      </c>
      <c r="R233" s="98">
        <v>145.31999999999982</v>
      </c>
      <c r="S233" s="98">
        <v>144.14000000000001</v>
      </c>
      <c r="T233" s="98">
        <v>224.56000000000006</v>
      </c>
      <c r="U233" s="98">
        <v>105.92000000000004</v>
      </c>
      <c r="V233" s="98">
        <v>474.8000000000003</v>
      </c>
      <c r="W233" s="98">
        <v>547.39999999999941</v>
      </c>
      <c r="X233" s="98"/>
      <c r="Y233" s="98"/>
      <c r="Z233" s="98"/>
      <c r="AA233" s="230"/>
      <c r="AB233" s="230"/>
    </row>
    <row r="234" spans="2:28">
      <c r="B234" s="98">
        <v>264</v>
      </c>
      <c r="C234" s="98">
        <v>112.5</v>
      </c>
      <c r="D234" s="98">
        <v>608.70000000000005</v>
      </c>
      <c r="E234" s="98">
        <v>193.1</v>
      </c>
      <c r="F234" s="98">
        <v>201.2</v>
      </c>
      <c r="G234" s="98">
        <v>154</v>
      </c>
      <c r="H234" s="98">
        <v>112.6</v>
      </c>
      <c r="I234" s="98">
        <v>137.4</v>
      </c>
      <c r="J234" s="98">
        <v>195.8</v>
      </c>
      <c r="K234" s="209">
        <v>115.76000000000005</v>
      </c>
      <c r="L234" s="209">
        <v>124.76000000000005</v>
      </c>
      <c r="M234" s="209">
        <v>166.23999999999995</v>
      </c>
      <c r="N234" s="98"/>
      <c r="O234" s="98"/>
      <c r="P234" s="98"/>
      <c r="Q234" s="208">
        <v>105.76000000000005</v>
      </c>
      <c r="R234" s="98">
        <v>144.95999999999981</v>
      </c>
      <c r="S234" s="98">
        <v>143.92000000000002</v>
      </c>
      <c r="T234" s="98">
        <v>223.68000000000006</v>
      </c>
      <c r="U234" s="98">
        <v>105.76000000000005</v>
      </c>
      <c r="V234" s="98">
        <v>474.40000000000032</v>
      </c>
      <c r="W234" s="98">
        <v>547.19999999999936</v>
      </c>
      <c r="X234" s="98"/>
      <c r="Y234" s="98"/>
      <c r="Z234" s="98"/>
      <c r="AA234" s="230"/>
      <c r="AB234" s="230"/>
    </row>
    <row r="235" spans="2:28">
      <c r="B235" s="98">
        <v>265</v>
      </c>
      <c r="C235" s="98">
        <v>112.3</v>
      </c>
      <c r="D235" s="98">
        <v>608.29999999999995</v>
      </c>
      <c r="E235" s="98">
        <v>192.8</v>
      </c>
      <c r="F235" s="98">
        <v>201</v>
      </c>
      <c r="G235" s="98">
        <v>153.80000000000001</v>
      </c>
      <c r="H235" s="98">
        <v>112.5</v>
      </c>
      <c r="I235" s="98">
        <v>137.30000000000001</v>
      </c>
      <c r="J235" s="98">
        <v>195.6</v>
      </c>
      <c r="K235" s="208">
        <v>115.60000000000005</v>
      </c>
      <c r="L235" s="208">
        <v>124.60000000000005</v>
      </c>
      <c r="M235" s="208">
        <v>165.89999999999995</v>
      </c>
      <c r="N235" s="98"/>
      <c r="O235" s="98"/>
      <c r="P235" s="98"/>
      <c r="Q235" s="208">
        <v>105.60000000000005</v>
      </c>
      <c r="R235" s="98">
        <v>144.5999999999998</v>
      </c>
      <c r="S235" s="98">
        <v>143.70000000000002</v>
      </c>
      <c r="T235" s="98">
        <v>222.80000000000007</v>
      </c>
      <c r="U235" s="98">
        <v>105.60000000000005</v>
      </c>
      <c r="V235" s="98">
        <v>474.00000000000034</v>
      </c>
      <c r="W235" s="98">
        <v>546.99999999999932</v>
      </c>
      <c r="X235" s="98"/>
      <c r="Y235" s="98"/>
      <c r="Z235" s="98"/>
      <c r="AA235" s="230"/>
      <c r="AB235" s="230"/>
    </row>
    <row r="236" spans="2:28">
      <c r="B236" s="98">
        <v>266</v>
      </c>
      <c r="C236" s="98">
        <v>112.2</v>
      </c>
      <c r="D236" s="98">
        <v>608</v>
      </c>
      <c r="E236" s="98">
        <v>192.5</v>
      </c>
      <c r="F236" s="98">
        <v>200.8</v>
      </c>
      <c r="G236" s="98">
        <v>153.5</v>
      </c>
      <c r="H236" s="98">
        <v>112.4</v>
      </c>
      <c r="I236" s="98">
        <v>137.1</v>
      </c>
      <c r="J236" s="98">
        <v>195.4</v>
      </c>
      <c r="K236" s="209">
        <v>115.44000000000005</v>
      </c>
      <c r="L236" s="209">
        <v>124.44000000000005</v>
      </c>
      <c r="M236" s="209">
        <v>165.55999999999995</v>
      </c>
      <c r="N236" s="98"/>
      <c r="O236" s="98"/>
      <c r="P236" s="98"/>
      <c r="Q236" s="208">
        <v>105.44000000000005</v>
      </c>
      <c r="R236" s="98">
        <v>144.23999999999978</v>
      </c>
      <c r="S236" s="98">
        <v>143.48000000000002</v>
      </c>
      <c r="T236" s="98">
        <v>221.92000000000007</v>
      </c>
      <c r="U236" s="98">
        <v>105.44000000000005</v>
      </c>
      <c r="V236" s="98">
        <v>473.60000000000036</v>
      </c>
      <c r="W236" s="98">
        <v>546.79999999999927</v>
      </c>
      <c r="X236" s="98"/>
      <c r="Y236" s="98"/>
      <c r="Z236" s="98"/>
      <c r="AA236" s="230"/>
      <c r="AB236" s="230"/>
    </row>
    <row r="237" spans="2:28">
      <c r="B237" s="98">
        <v>267</v>
      </c>
      <c r="C237" s="98">
        <v>112.1</v>
      </c>
      <c r="D237" s="98">
        <v>607.70000000000005</v>
      </c>
      <c r="E237" s="98">
        <v>192.2</v>
      </c>
      <c r="F237" s="98">
        <v>200.6</v>
      </c>
      <c r="G237" s="98">
        <v>153.19999999999999</v>
      </c>
      <c r="H237" s="98">
        <v>112.2</v>
      </c>
      <c r="I237" s="98">
        <v>137</v>
      </c>
      <c r="J237" s="98">
        <v>195.3</v>
      </c>
      <c r="K237" s="208">
        <v>115.28000000000006</v>
      </c>
      <c r="L237" s="208">
        <v>124.28000000000006</v>
      </c>
      <c r="M237" s="208">
        <v>165.21999999999994</v>
      </c>
      <c r="N237" s="98"/>
      <c r="O237" s="98"/>
      <c r="P237" s="98"/>
      <c r="Q237" s="208">
        <v>105.28000000000006</v>
      </c>
      <c r="R237" s="98">
        <v>143.87999999999977</v>
      </c>
      <c r="S237" s="98">
        <v>143.26000000000002</v>
      </c>
      <c r="T237" s="98">
        <v>221.04000000000008</v>
      </c>
      <c r="U237" s="98">
        <v>105.28000000000006</v>
      </c>
      <c r="V237" s="98">
        <v>473.20000000000039</v>
      </c>
      <c r="W237" s="98">
        <v>546.59999999999923</v>
      </c>
      <c r="X237" s="98"/>
      <c r="Y237" s="98"/>
      <c r="Z237" s="98"/>
      <c r="AA237" s="230"/>
      <c r="AB237" s="230"/>
    </row>
    <row r="238" spans="2:28">
      <c r="B238" s="98">
        <v>268</v>
      </c>
      <c r="C238" s="98">
        <v>111.9</v>
      </c>
      <c r="D238" s="98">
        <v>607.29999999999995</v>
      </c>
      <c r="E238" s="98">
        <v>192</v>
      </c>
      <c r="F238" s="98">
        <v>200.4</v>
      </c>
      <c r="G238" s="98">
        <v>153</v>
      </c>
      <c r="H238" s="98">
        <v>112.1</v>
      </c>
      <c r="I238" s="98">
        <v>136.9</v>
      </c>
      <c r="J238" s="98">
        <v>195.1</v>
      </c>
      <c r="K238" s="209">
        <v>115.12000000000006</v>
      </c>
      <c r="L238" s="209">
        <v>124.12000000000006</v>
      </c>
      <c r="M238" s="209">
        <v>164.87999999999994</v>
      </c>
      <c r="N238" s="98"/>
      <c r="O238" s="98"/>
      <c r="P238" s="98"/>
      <c r="Q238" s="208">
        <v>105.12000000000006</v>
      </c>
      <c r="R238" s="98">
        <v>143.51999999999975</v>
      </c>
      <c r="S238" s="98">
        <v>143.04000000000002</v>
      </c>
      <c r="T238" s="98">
        <v>220.16000000000008</v>
      </c>
      <c r="U238" s="98">
        <v>105.12000000000006</v>
      </c>
      <c r="V238" s="98">
        <v>472.80000000000041</v>
      </c>
      <c r="W238" s="98">
        <v>546.39999999999918</v>
      </c>
      <c r="X238" s="98"/>
      <c r="Y238" s="98"/>
      <c r="Z238" s="98"/>
      <c r="AA238" s="230"/>
      <c r="AB238" s="230"/>
    </row>
    <row r="239" spans="2:28">
      <c r="B239" s="98">
        <v>269</v>
      </c>
      <c r="C239" s="98">
        <v>111.8</v>
      </c>
      <c r="D239" s="98">
        <v>607</v>
      </c>
      <c r="E239" s="98">
        <v>191.7</v>
      </c>
      <c r="F239" s="98">
        <v>200.2</v>
      </c>
      <c r="G239" s="98">
        <v>152.80000000000001</v>
      </c>
      <c r="H239" s="98">
        <v>112</v>
      </c>
      <c r="I239" s="98">
        <v>136.69999999999999</v>
      </c>
      <c r="J239" s="98">
        <v>195</v>
      </c>
      <c r="K239" s="208">
        <v>114.96000000000006</v>
      </c>
      <c r="L239" s="208">
        <v>123.96000000000006</v>
      </c>
      <c r="M239" s="208">
        <v>164.53999999999994</v>
      </c>
      <c r="N239" s="98"/>
      <c r="O239" s="98"/>
      <c r="P239" s="98"/>
      <c r="Q239" s="208">
        <v>104.96000000000006</v>
      </c>
      <c r="R239" s="98">
        <v>143.15999999999974</v>
      </c>
      <c r="S239" s="98">
        <v>142.82000000000002</v>
      </c>
      <c r="T239" s="98">
        <v>219.28000000000009</v>
      </c>
      <c r="U239" s="98">
        <v>104.96000000000006</v>
      </c>
      <c r="V239" s="98">
        <v>472.40000000000043</v>
      </c>
      <c r="W239" s="98">
        <v>546.19999999999914</v>
      </c>
      <c r="X239" s="98"/>
      <c r="Y239" s="98"/>
      <c r="Z239" s="98"/>
      <c r="AA239" s="230"/>
      <c r="AB239" s="230"/>
    </row>
    <row r="240" spans="2:28">
      <c r="B240" s="98">
        <v>270</v>
      </c>
      <c r="C240" s="98">
        <v>111.7</v>
      </c>
      <c r="D240" s="98">
        <v>606.70000000000005</v>
      </c>
      <c r="E240" s="98">
        <v>191.4</v>
      </c>
      <c r="F240" s="98">
        <v>200</v>
      </c>
      <c r="G240" s="98">
        <v>152.5</v>
      </c>
      <c r="H240" s="98">
        <v>111.9</v>
      </c>
      <c r="I240" s="98">
        <v>136.6</v>
      </c>
      <c r="J240" s="98">
        <v>194.8</v>
      </c>
      <c r="K240" s="209">
        <v>114.80000000000007</v>
      </c>
      <c r="L240" s="209">
        <v>123.80000000000007</v>
      </c>
      <c r="M240" s="209">
        <v>164.19999999999993</v>
      </c>
      <c r="N240" s="98"/>
      <c r="O240" s="98"/>
      <c r="P240" s="98"/>
      <c r="Q240" s="208">
        <v>104.80000000000007</v>
      </c>
      <c r="R240" s="98">
        <v>142.79999999999973</v>
      </c>
      <c r="S240" s="98">
        <v>142.60000000000002</v>
      </c>
      <c r="T240" s="98">
        <v>218.40000000000009</v>
      </c>
      <c r="U240" s="98">
        <v>104.80000000000007</v>
      </c>
      <c r="V240" s="98">
        <v>472.00000000000045</v>
      </c>
      <c r="W240" s="98">
        <v>545.99999999999909</v>
      </c>
      <c r="X240" s="98"/>
      <c r="Y240" s="98"/>
      <c r="Z240" s="98"/>
      <c r="AA240" s="230"/>
      <c r="AB240" s="230"/>
    </row>
    <row r="241" spans="2:28">
      <c r="B241" s="98">
        <v>271</v>
      </c>
      <c r="C241" s="98">
        <v>111.5</v>
      </c>
      <c r="D241" s="98">
        <v>606.29999999999995</v>
      </c>
      <c r="E241" s="98">
        <v>191.1</v>
      </c>
      <c r="F241" s="98">
        <v>199.8</v>
      </c>
      <c r="G241" s="98">
        <v>152.19999999999999</v>
      </c>
      <c r="H241" s="98">
        <v>111.8</v>
      </c>
      <c r="I241" s="98">
        <v>136.4</v>
      </c>
      <c r="J241" s="98">
        <v>194.6</v>
      </c>
      <c r="K241" s="208">
        <v>114.64000000000007</v>
      </c>
      <c r="L241" s="208">
        <v>123.64000000000007</v>
      </c>
      <c r="M241" s="208">
        <v>163.85999999999993</v>
      </c>
      <c r="N241" s="98"/>
      <c r="O241" s="98"/>
      <c r="P241" s="98"/>
      <c r="Q241" s="208">
        <v>104.64000000000007</v>
      </c>
      <c r="R241" s="98">
        <v>142.43999999999971</v>
      </c>
      <c r="S241" s="98">
        <v>142.38000000000002</v>
      </c>
      <c r="T241" s="98">
        <v>217.5200000000001</v>
      </c>
      <c r="U241" s="98">
        <v>104.64000000000007</v>
      </c>
      <c r="V241" s="98">
        <v>471.60000000000048</v>
      </c>
      <c r="W241" s="98">
        <v>545.79999999999905</v>
      </c>
      <c r="X241" s="98"/>
      <c r="Y241" s="98"/>
      <c r="Z241" s="98"/>
      <c r="AA241" s="230"/>
      <c r="AB241" s="230"/>
    </row>
    <row r="242" spans="2:28">
      <c r="B242" s="98">
        <v>272</v>
      </c>
      <c r="C242" s="98">
        <v>111.4</v>
      </c>
      <c r="D242" s="98">
        <v>606</v>
      </c>
      <c r="E242" s="98">
        <v>190.8</v>
      </c>
      <c r="F242" s="98">
        <v>199.6</v>
      </c>
      <c r="G242" s="98">
        <v>152</v>
      </c>
      <c r="H242" s="98">
        <v>111.7</v>
      </c>
      <c r="I242" s="98">
        <v>136.30000000000001</v>
      </c>
      <c r="J242" s="98">
        <v>194.5</v>
      </c>
      <c r="K242" s="209">
        <v>114.48000000000008</v>
      </c>
      <c r="L242" s="209">
        <v>123.48000000000008</v>
      </c>
      <c r="M242" s="209">
        <v>163.51999999999992</v>
      </c>
      <c r="N242" s="98"/>
      <c r="O242" s="98"/>
      <c r="P242" s="98"/>
      <c r="Q242" s="208">
        <v>104.48000000000008</v>
      </c>
      <c r="R242" s="98">
        <v>142.0799999999997</v>
      </c>
      <c r="S242" s="98">
        <v>142.16000000000003</v>
      </c>
      <c r="T242" s="98">
        <v>216.6400000000001</v>
      </c>
      <c r="U242" s="98">
        <v>104.48000000000008</v>
      </c>
      <c r="V242" s="98">
        <v>471.2000000000005</v>
      </c>
      <c r="W242" s="98">
        <v>545.599999999999</v>
      </c>
      <c r="X242" s="98"/>
      <c r="Y242" s="98"/>
      <c r="Z242" s="98"/>
      <c r="AA242" s="230"/>
      <c r="AB242" s="230"/>
    </row>
    <row r="243" spans="2:28">
      <c r="B243" s="98">
        <v>273</v>
      </c>
      <c r="C243" s="98">
        <v>111.3</v>
      </c>
      <c r="D243" s="98">
        <v>605.70000000000005</v>
      </c>
      <c r="E243" s="98">
        <v>190.6</v>
      </c>
      <c r="F243" s="98">
        <v>199.4</v>
      </c>
      <c r="G243" s="98">
        <v>151.80000000000001</v>
      </c>
      <c r="H243" s="98">
        <v>111.6</v>
      </c>
      <c r="I243" s="98">
        <v>136.1</v>
      </c>
      <c r="J243" s="98">
        <v>194.3</v>
      </c>
      <c r="K243" s="208">
        <v>114.32000000000008</v>
      </c>
      <c r="L243" s="208">
        <v>123.32000000000008</v>
      </c>
      <c r="M243" s="208">
        <v>163.17999999999992</v>
      </c>
      <c r="N243" s="98"/>
      <c r="O243" s="98"/>
      <c r="P243" s="98"/>
      <c r="Q243" s="208">
        <v>104.32000000000008</v>
      </c>
      <c r="R243" s="98">
        <v>141.71999999999969</v>
      </c>
      <c r="S243" s="98">
        <v>141.94000000000003</v>
      </c>
      <c r="T243" s="98">
        <v>215.7600000000001</v>
      </c>
      <c r="U243" s="98">
        <v>104.32000000000008</v>
      </c>
      <c r="V243" s="98">
        <v>470.80000000000052</v>
      </c>
      <c r="W243" s="98">
        <v>545.39999999999895</v>
      </c>
      <c r="X243" s="98"/>
      <c r="Y243" s="98"/>
      <c r="Z243" s="98"/>
      <c r="AA243" s="230"/>
      <c r="AB243" s="230"/>
    </row>
    <row r="244" spans="2:28">
      <c r="B244" s="98">
        <v>274</v>
      </c>
      <c r="C244" s="98">
        <v>111.1</v>
      </c>
      <c r="D244" s="98">
        <v>605.29999999999995</v>
      </c>
      <c r="E244" s="98">
        <v>190.3</v>
      </c>
      <c r="F244" s="98">
        <v>199.2</v>
      </c>
      <c r="G244" s="98">
        <v>151.5</v>
      </c>
      <c r="H244" s="98">
        <v>111.5</v>
      </c>
      <c r="I244" s="98">
        <v>136</v>
      </c>
      <c r="J244" s="98">
        <v>194.2</v>
      </c>
      <c r="K244" s="209">
        <v>114.16000000000008</v>
      </c>
      <c r="L244" s="209">
        <v>123.16000000000008</v>
      </c>
      <c r="M244" s="209">
        <v>162.83999999999992</v>
      </c>
      <c r="N244" s="98"/>
      <c r="O244" s="98"/>
      <c r="P244" s="98"/>
      <c r="Q244" s="208">
        <v>104.16000000000008</v>
      </c>
      <c r="R244" s="98">
        <v>141.35999999999967</v>
      </c>
      <c r="S244" s="98">
        <v>141.72000000000003</v>
      </c>
      <c r="T244" s="98">
        <v>214.88000000000011</v>
      </c>
      <c r="U244" s="98">
        <v>104.16000000000008</v>
      </c>
      <c r="V244" s="98">
        <v>470.40000000000055</v>
      </c>
      <c r="W244" s="98">
        <v>545.19999999999891</v>
      </c>
      <c r="X244" s="98"/>
      <c r="Y244" s="98"/>
      <c r="Z244" s="98"/>
      <c r="AA244" s="230"/>
      <c r="AB244" s="230"/>
    </row>
    <row r="245" spans="2:28">
      <c r="B245" s="98">
        <v>275</v>
      </c>
      <c r="C245" s="98">
        <v>111</v>
      </c>
      <c r="D245" s="98">
        <v>605</v>
      </c>
      <c r="E245" s="98">
        <v>190</v>
      </c>
      <c r="F245" s="98">
        <v>199</v>
      </c>
      <c r="G245" s="98">
        <v>151.19999999999999</v>
      </c>
      <c r="H245" s="98">
        <v>111.4</v>
      </c>
      <c r="I245" s="98">
        <v>135.9</v>
      </c>
      <c r="J245" s="98">
        <v>194</v>
      </c>
      <c r="K245" s="208">
        <v>114.00000000000009</v>
      </c>
      <c r="L245" s="208">
        <v>123.00000000000009</v>
      </c>
      <c r="M245" s="208">
        <v>162.49999999999991</v>
      </c>
      <c r="N245" s="98"/>
      <c r="O245" s="98"/>
      <c r="P245" s="98"/>
      <c r="Q245" s="208">
        <v>104.00000000000009</v>
      </c>
      <c r="R245" s="98">
        <v>140.99999999999966</v>
      </c>
      <c r="S245" s="98">
        <v>141.50000000000003</v>
      </c>
      <c r="T245" s="98">
        <v>214.00000000000011</v>
      </c>
      <c r="U245" s="98">
        <v>104.00000000000009</v>
      </c>
      <c r="V245" s="98">
        <v>470.00000000000057</v>
      </c>
      <c r="W245" s="98">
        <v>544.99999999999886</v>
      </c>
      <c r="X245" s="98"/>
      <c r="Y245" s="98"/>
      <c r="Z245" s="98"/>
      <c r="AA245" s="230"/>
      <c r="AB245" s="230"/>
    </row>
    <row r="246" spans="2:28">
      <c r="B246" s="98">
        <v>276</v>
      </c>
      <c r="C246" s="98">
        <v>110.9</v>
      </c>
      <c r="D246" s="98">
        <v>604.6</v>
      </c>
      <c r="E246" s="98">
        <v>189.7</v>
      </c>
      <c r="F246" s="98">
        <v>198.8</v>
      </c>
      <c r="G246" s="98">
        <v>151</v>
      </c>
      <c r="H246" s="98">
        <v>111.3</v>
      </c>
      <c r="I246" s="98">
        <v>135.69999999999999</v>
      </c>
      <c r="J246" s="98">
        <v>193.8</v>
      </c>
      <c r="K246" s="209">
        <v>113.84000000000009</v>
      </c>
      <c r="L246" s="209">
        <v>122.84000000000009</v>
      </c>
      <c r="M246" s="209">
        <v>162.15999999999991</v>
      </c>
      <c r="N246" s="98"/>
      <c r="O246" s="98"/>
      <c r="P246" s="98"/>
      <c r="Q246" s="208">
        <v>103.84000000000009</v>
      </c>
      <c r="R246" s="98">
        <v>140.63999999999965</v>
      </c>
      <c r="S246" s="98">
        <v>141.28000000000003</v>
      </c>
      <c r="T246" s="98">
        <v>213.12000000000012</v>
      </c>
      <c r="U246" s="98">
        <v>103.84000000000009</v>
      </c>
      <c r="V246" s="98">
        <v>469.60000000000059</v>
      </c>
      <c r="W246" s="98">
        <v>544.79999999999882</v>
      </c>
      <c r="X246" s="98"/>
      <c r="Y246" s="98"/>
      <c r="Z246" s="98"/>
      <c r="AA246" s="230"/>
      <c r="AB246" s="230"/>
    </row>
    <row r="247" spans="2:28">
      <c r="B247" s="98">
        <v>277</v>
      </c>
      <c r="C247" s="98">
        <v>110.8</v>
      </c>
      <c r="D247" s="98">
        <v>604.20000000000005</v>
      </c>
      <c r="E247" s="98">
        <v>189.4</v>
      </c>
      <c r="F247" s="98">
        <v>198.6</v>
      </c>
      <c r="G247" s="98">
        <v>150.80000000000001</v>
      </c>
      <c r="H247" s="98">
        <v>111.2</v>
      </c>
      <c r="I247" s="98">
        <v>135.6</v>
      </c>
      <c r="J247" s="98">
        <v>193.5</v>
      </c>
      <c r="K247" s="208">
        <v>113.68000000000009</v>
      </c>
      <c r="L247" s="208">
        <v>122.68000000000009</v>
      </c>
      <c r="M247" s="208">
        <v>161.81999999999991</v>
      </c>
      <c r="N247" s="98"/>
      <c r="O247" s="98"/>
      <c r="P247" s="98"/>
      <c r="Q247" s="208">
        <v>103.68000000000009</v>
      </c>
      <c r="R247" s="98">
        <v>140.27999999999963</v>
      </c>
      <c r="S247" s="98">
        <v>141.06000000000003</v>
      </c>
      <c r="T247" s="98">
        <v>212.24000000000012</v>
      </c>
      <c r="U247" s="98">
        <v>103.68000000000009</v>
      </c>
      <c r="V247" s="98">
        <v>469.20000000000061</v>
      </c>
      <c r="W247" s="98">
        <v>544.59999999999877</v>
      </c>
      <c r="X247" s="98"/>
      <c r="Y247" s="98"/>
      <c r="Z247" s="98"/>
      <c r="AA247" s="230"/>
      <c r="AB247" s="230"/>
    </row>
    <row r="248" spans="2:28">
      <c r="B248" s="98">
        <v>278</v>
      </c>
      <c r="C248" s="98">
        <v>110.6</v>
      </c>
      <c r="D248" s="98">
        <v>603.79999999999995</v>
      </c>
      <c r="E248" s="98">
        <v>189.2</v>
      </c>
      <c r="F248" s="98">
        <v>198.4</v>
      </c>
      <c r="G248" s="98">
        <v>150.5</v>
      </c>
      <c r="H248" s="98">
        <v>111.1</v>
      </c>
      <c r="I248" s="98">
        <v>135.4</v>
      </c>
      <c r="J248" s="98">
        <v>193.3</v>
      </c>
      <c r="K248" s="209">
        <v>113.5200000000001</v>
      </c>
      <c r="L248" s="209">
        <v>122.5200000000001</v>
      </c>
      <c r="M248" s="209">
        <v>161.4799999999999</v>
      </c>
      <c r="N248" s="98"/>
      <c r="O248" s="98"/>
      <c r="P248" s="98"/>
      <c r="Q248" s="208">
        <v>103.5200000000001</v>
      </c>
      <c r="R248" s="98">
        <v>139.91999999999962</v>
      </c>
      <c r="S248" s="98">
        <v>140.84000000000003</v>
      </c>
      <c r="T248" s="98">
        <v>211.36000000000013</v>
      </c>
      <c r="U248" s="98">
        <v>103.5200000000001</v>
      </c>
      <c r="V248" s="98">
        <v>468.80000000000064</v>
      </c>
      <c r="W248" s="98">
        <v>544.39999999999873</v>
      </c>
      <c r="X248" s="98"/>
      <c r="Y248" s="98"/>
      <c r="Z248" s="98"/>
      <c r="AA248" s="230"/>
      <c r="AB248" s="230"/>
    </row>
    <row r="249" spans="2:28">
      <c r="B249" s="98">
        <v>279</v>
      </c>
      <c r="C249" s="98">
        <v>110.5</v>
      </c>
      <c r="D249" s="98">
        <v>603.4</v>
      </c>
      <c r="E249" s="98">
        <v>188.9</v>
      </c>
      <c r="F249" s="98">
        <v>198.2</v>
      </c>
      <c r="G249" s="98">
        <v>150.19999999999999</v>
      </c>
      <c r="H249" s="98">
        <v>111</v>
      </c>
      <c r="I249" s="98">
        <v>135.30000000000001</v>
      </c>
      <c r="J249" s="98">
        <v>193</v>
      </c>
      <c r="K249" s="208">
        <v>113.3600000000001</v>
      </c>
      <c r="L249" s="208">
        <v>122.3600000000001</v>
      </c>
      <c r="M249" s="208">
        <v>161.1399999999999</v>
      </c>
      <c r="N249" s="98"/>
      <c r="O249" s="98"/>
      <c r="P249" s="98"/>
      <c r="Q249" s="208">
        <v>103.3600000000001</v>
      </c>
      <c r="R249" s="98">
        <v>139.5599999999996</v>
      </c>
      <c r="S249" s="98">
        <v>140.62000000000003</v>
      </c>
      <c r="T249" s="98">
        <v>210.48000000000013</v>
      </c>
      <c r="U249" s="98">
        <v>103.3600000000001</v>
      </c>
      <c r="V249" s="98">
        <v>468.40000000000066</v>
      </c>
      <c r="W249" s="98">
        <v>544.19999999999868</v>
      </c>
      <c r="X249" s="98"/>
      <c r="Y249" s="98"/>
      <c r="Z249" s="98"/>
      <c r="AA249" s="230"/>
      <c r="AB249" s="230"/>
    </row>
    <row r="250" spans="2:28">
      <c r="B250" s="98">
        <v>280</v>
      </c>
      <c r="C250" s="98">
        <v>110.4</v>
      </c>
      <c r="D250" s="98">
        <v>603</v>
      </c>
      <c r="E250" s="98">
        <v>188.6</v>
      </c>
      <c r="F250" s="98">
        <v>198</v>
      </c>
      <c r="G250" s="98">
        <v>150</v>
      </c>
      <c r="H250" s="98">
        <v>110.9</v>
      </c>
      <c r="I250" s="98">
        <v>135.1</v>
      </c>
      <c r="J250" s="98">
        <v>192.8</v>
      </c>
      <c r="K250" s="209">
        <v>113.2000000000001</v>
      </c>
      <c r="L250" s="209">
        <v>122.2000000000001</v>
      </c>
      <c r="M250" s="209">
        <v>160.7999999999999</v>
      </c>
      <c r="N250" s="98"/>
      <c r="O250" s="98"/>
      <c r="P250" s="98"/>
      <c r="Q250" s="208">
        <v>103.2000000000001</v>
      </c>
      <c r="R250" s="98">
        <v>139.19999999999959</v>
      </c>
      <c r="S250" s="98">
        <v>140.40000000000003</v>
      </c>
      <c r="T250" s="98">
        <v>209.60000000000014</v>
      </c>
      <c r="U250" s="98">
        <v>103.2000000000001</v>
      </c>
      <c r="V250" s="98">
        <v>468.00000000000068</v>
      </c>
      <c r="W250" s="98">
        <v>543.99999999999864</v>
      </c>
      <c r="X250" s="98"/>
      <c r="Y250" s="98"/>
      <c r="Z250" s="98"/>
      <c r="AA250" s="230"/>
      <c r="AB250" s="230"/>
    </row>
    <row r="251" spans="2:28">
      <c r="B251" s="98">
        <v>281</v>
      </c>
      <c r="C251" s="98">
        <v>110.3</v>
      </c>
      <c r="D251" s="98">
        <v>602.6</v>
      </c>
      <c r="E251" s="98">
        <v>188.3</v>
      </c>
      <c r="F251" s="98">
        <v>197.8</v>
      </c>
      <c r="G251" s="98">
        <v>149.80000000000001</v>
      </c>
      <c r="H251" s="98">
        <v>110.8</v>
      </c>
      <c r="I251" s="98">
        <v>135</v>
      </c>
      <c r="J251" s="98">
        <v>192.6</v>
      </c>
      <c r="K251" s="208">
        <v>113.04000000000011</v>
      </c>
      <c r="L251" s="208">
        <v>122.04000000000011</v>
      </c>
      <c r="M251" s="208">
        <v>160.45999999999989</v>
      </c>
      <c r="N251" s="98"/>
      <c r="O251" s="98"/>
      <c r="P251" s="98"/>
      <c r="Q251" s="208">
        <v>103.04000000000011</v>
      </c>
      <c r="R251" s="98">
        <v>138.83999999999958</v>
      </c>
      <c r="S251" s="98">
        <v>140.18000000000004</v>
      </c>
      <c r="T251" s="98">
        <v>208.72000000000014</v>
      </c>
      <c r="U251" s="98">
        <v>103.04000000000011</v>
      </c>
      <c r="V251" s="98">
        <v>467.6000000000007</v>
      </c>
      <c r="W251" s="98">
        <v>543.79999999999859</v>
      </c>
      <c r="X251" s="98"/>
      <c r="Y251" s="98"/>
      <c r="Z251" s="98"/>
      <c r="AA251" s="230"/>
      <c r="AB251" s="230"/>
    </row>
    <row r="252" spans="2:28">
      <c r="B252" s="98">
        <v>282</v>
      </c>
      <c r="C252" s="98">
        <v>110.2</v>
      </c>
      <c r="D252" s="98">
        <v>602.20000000000005</v>
      </c>
      <c r="E252" s="98">
        <v>188</v>
      </c>
      <c r="F252" s="98">
        <v>197.6</v>
      </c>
      <c r="G252" s="98">
        <v>149.5</v>
      </c>
      <c r="H252" s="98">
        <v>110.6</v>
      </c>
      <c r="I252" s="98">
        <v>134.9</v>
      </c>
      <c r="J252" s="98">
        <v>192.3</v>
      </c>
      <c r="K252" s="209">
        <v>112.88000000000011</v>
      </c>
      <c r="L252" s="209">
        <v>121.88000000000011</v>
      </c>
      <c r="M252" s="209">
        <v>160.11999999999989</v>
      </c>
      <c r="N252" s="98"/>
      <c r="O252" s="98"/>
      <c r="P252" s="98"/>
      <c r="Q252" s="208">
        <v>102.88000000000011</v>
      </c>
      <c r="R252" s="98">
        <v>138.47999999999956</v>
      </c>
      <c r="S252" s="98">
        <v>139.96000000000004</v>
      </c>
      <c r="T252" s="98">
        <v>207.84000000000015</v>
      </c>
      <c r="U252" s="98">
        <v>102.88000000000011</v>
      </c>
      <c r="V252" s="98">
        <v>467.20000000000073</v>
      </c>
      <c r="W252" s="98">
        <v>543.59999999999854</v>
      </c>
      <c r="X252" s="98"/>
      <c r="Y252" s="98"/>
      <c r="Z252" s="98"/>
      <c r="AA252" s="230"/>
      <c r="AB252" s="230"/>
    </row>
    <row r="253" spans="2:28">
      <c r="B253" s="98">
        <v>283</v>
      </c>
      <c r="C253" s="98">
        <v>110</v>
      </c>
      <c r="D253" s="98">
        <v>601.79999999999995</v>
      </c>
      <c r="E253" s="98">
        <v>187.8</v>
      </c>
      <c r="F253" s="98">
        <v>197.4</v>
      </c>
      <c r="G253" s="98">
        <v>149.19999999999999</v>
      </c>
      <c r="H253" s="98">
        <v>110.5</v>
      </c>
      <c r="I253" s="98">
        <v>134.69999999999999</v>
      </c>
      <c r="J253" s="98">
        <v>192.1</v>
      </c>
      <c r="K253" s="208">
        <v>112.72000000000011</v>
      </c>
      <c r="L253" s="208">
        <v>121.72000000000011</v>
      </c>
      <c r="M253" s="208">
        <v>159.77999999999989</v>
      </c>
      <c r="N253" s="98"/>
      <c r="O253" s="98"/>
      <c r="P253" s="98"/>
      <c r="Q253" s="208">
        <v>102.72000000000011</v>
      </c>
      <c r="R253" s="98">
        <v>138.11999999999955</v>
      </c>
      <c r="S253" s="98">
        <v>139.74000000000004</v>
      </c>
      <c r="T253" s="98">
        <v>206.96000000000015</v>
      </c>
      <c r="U253" s="98">
        <v>102.72000000000011</v>
      </c>
      <c r="V253" s="98">
        <v>466.80000000000075</v>
      </c>
      <c r="W253" s="98">
        <v>543.3999999999985</v>
      </c>
      <c r="X253" s="98"/>
      <c r="Y253" s="98"/>
      <c r="Z253" s="98"/>
      <c r="AA253" s="230"/>
      <c r="AB253" s="230"/>
    </row>
    <row r="254" spans="2:28">
      <c r="B254" s="98">
        <v>284</v>
      </c>
      <c r="C254" s="98">
        <v>109.9</v>
      </c>
      <c r="D254" s="98">
        <v>601.4</v>
      </c>
      <c r="E254" s="98">
        <v>187.5</v>
      </c>
      <c r="F254" s="98">
        <v>197.2</v>
      </c>
      <c r="G254" s="98">
        <v>149</v>
      </c>
      <c r="H254" s="98">
        <v>110.4</v>
      </c>
      <c r="I254" s="98">
        <v>134.6</v>
      </c>
      <c r="J254" s="98">
        <v>191.8</v>
      </c>
      <c r="K254" s="209">
        <v>112.56000000000012</v>
      </c>
      <c r="L254" s="209">
        <v>121.56000000000012</v>
      </c>
      <c r="M254" s="209">
        <v>159.43999999999988</v>
      </c>
      <c r="N254" s="98"/>
      <c r="O254" s="98"/>
      <c r="P254" s="98"/>
      <c r="Q254" s="208">
        <v>102.56000000000012</v>
      </c>
      <c r="R254" s="98">
        <v>137.75999999999954</v>
      </c>
      <c r="S254" s="98">
        <v>139.52000000000004</v>
      </c>
      <c r="T254" s="98">
        <v>206.08000000000015</v>
      </c>
      <c r="U254" s="98">
        <v>102.56000000000012</v>
      </c>
      <c r="V254" s="98">
        <v>466.40000000000077</v>
      </c>
      <c r="W254" s="98">
        <v>543.19999999999845</v>
      </c>
      <c r="X254" s="98"/>
      <c r="Y254" s="98"/>
      <c r="Z254" s="98"/>
      <c r="AA254" s="230"/>
      <c r="AB254" s="230"/>
    </row>
    <row r="255" spans="2:28">
      <c r="B255" s="98">
        <v>285</v>
      </c>
      <c r="C255" s="98">
        <v>109.8</v>
      </c>
      <c r="D255" s="98">
        <v>601</v>
      </c>
      <c r="E255" s="98">
        <v>187.2</v>
      </c>
      <c r="F255" s="98">
        <v>197</v>
      </c>
      <c r="G255" s="98">
        <v>148.80000000000001</v>
      </c>
      <c r="H255" s="98">
        <v>110.3</v>
      </c>
      <c r="I255" s="98">
        <v>134.4</v>
      </c>
      <c r="J255" s="98">
        <v>191.6</v>
      </c>
      <c r="K255" s="208">
        <v>112.40000000000012</v>
      </c>
      <c r="L255" s="208">
        <v>121.40000000000012</v>
      </c>
      <c r="M255" s="208">
        <v>159.09999999999988</v>
      </c>
      <c r="N255" s="98"/>
      <c r="O255" s="98"/>
      <c r="P255" s="98"/>
      <c r="Q255" s="208">
        <v>102.40000000000012</v>
      </c>
      <c r="R255" s="98">
        <v>137.39999999999952</v>
      </c>
      <c r="S255" s="98">
        <v>139.30000000000004</v>
      </c>
      <c r="T255" s="98">
        <v>205.20000000000016</v>
      </c>
      <c r="U255" s="98">
        <v>102.40000000000012</v>
      </c>
      <c r="V255" s="98">
        <v>466.0000000000008</v>
      </c>
      <c r="W255" s="98">
        <v>542.99999999999841</v>
      </c>
      <c r="X255" s="98"/>
      <c r="Y255" s="98"/>
      <c r="Z255" s="98"/>
      <c r="AA255" s="230"/>
      <c r="AB255" s="230"/>
    </row>
    <row r="256" spans="2:28">
      <c r="B256" s="98">
        <v>286</v>
      </c>
      <c r="C256" s="98">
        <v>109.7</v>
      </c>
      <c r="D256" s="98">
        <v>600.6</v>
      </c>
      <c r="E256" s="98">
        <v>186.9</v>
      </c>
      <c r="F256" s="98">
        <v>196.8</v>
      </c>
      <c r="G256" s="98">
        <v>148.5</v>
      </c>
      <c r="H256" s="98">
        <v>110.2</v>
      </c>
      <c r="I256" s="98">
        <v>134.30000000000001</v>
      </c>
      <c r="J256" s="98">
        <v>191.4</v>
      </c>
      <c r="K256" s="209">
        <v>112.24000000000012</v>
      </c>
      <c r="L256" s="209">
        <v>121.24000000000012</v>
      </c>
      <c r="M256" s="209">
        <v>158.75999999999988</v>
      </c>
      <c r="N256" s="98"/>
      <c r="O256" s="98"/>
      <c r="P256" s="98"/>
      <c r="Q256" s="208">
        <v>102.24000000000012</v>
      </c>
      <c r="R256" s="98">
        <v>137.03999999999951</v>
      </c>
      <c r="S256" s="98">
        <v>139.08000000000004</v>
      </c>
      <c r="T256" s="98">
        <v>204.32000000000016</v>
      </c>
      <c r="U256" s="98">
        <v>102.24000000000012</v>
      </c>
      <c r="V256" s="98">
        <v>465.60000000000082</v>
      </c>
      <c r="W256" s="98">
        <v>542.79999999999836</v>
      </c>
      <c r="X256" s="98"/>
      <c r="Y256" s="98"/>
      <c r="Z256" s="98"/>
      <c r="AA256" s="230"/>
      <c r="AB256" s="230"/>
    </row>
    <row r="257" spans="2:28">
      <c r="B257" s="98">
        <v>287</v>
      </c>
      <c r="C257" s="98">
        <v>109.6</v>
      </c>
      <c r="D257" s="98">
        <v>600.20000000000005</v>
      </c>
      <c r="E257" s="98">
        <v>186.6</v>
      </c>
      <c r="F257" s="98">
        <v>196.6</v>
      </c>
      <c r="G257" s="98">
        <v>148.19999999999999</v>
      </c>
      <c r="H257" s="98">
        <v>110.1</v>
      </c>
      <c r="I257" s="98">
        <v>134.1</v>
      </c>
      <c r="J257" s="98">
        <v>191.1</v>
      </c>
      <c r="K257" s="208">
        <v>112.08000000000013</v>
      </c>
      <c r="L257" s="208">
        <v>121.08000000000013</v>
      </c>
      <c r="M257" s="208">
        <v>158.41999999999987</v>
      </c>
      <c r="N257" s="98"/>
      <c r="O257" s="98"/>
      <c r="P257" s="98"/>
      <c r="Q257" s="208">
        <v>102.08000000000013</v>
      </c>
      <c r="R257" s="98">
        <v>136.6799999999995</v>
      </c>
      <c r="S257" s="98">
        <v>138.86000000000004</v>
      </c>
      <c r="T257" s="98">
        <v>203.44000000000017</v>
      </c>
      <c r="U257" s="98">
        <v>102.08000000000013</v>
      </c>
      <c r="V257" s="98">
        <v>465.20000000000084</v>
      </c>
      <c r="W257" s="98">
        <v>542.59999999999832</v>
      </c>
      <c r="X257" s="98"/>
      <c r="Y257" s="98"/>
      <c r="Z257" s="98"/>
      <c r="AA257" s="230"/>
      <c r="AB257" s="230"/>
    </row>
    <row r="258" spans="2:28">
      <c r="B258" s="98">
        <v>288</v>
      </c>
      <c r="C258" s="98">
        <v>109.4</v>
      </c>
      <c r="D258" s="98">
        <v>599.79999999999995</v>
      </c>
      <c r="E258" s="98">
        <v>186.4</v>
      </c>
      <c r="F258" s="98">
        <v>196.4</v>
      </c>
      <c r="G258" s="98">
        <v>148</v>
      </c>
      <c r="H258" s="98">
        <v>110</v>
      </c>
      <c r="I258" s="98">
        <v>134</v>
      </c>
      <c r="J258" s="98">
        <v>190.9</v>
      </c>
      <c r="K258" s="209">
        <v>111.92000000000013</v>
      </c>
      <c r="L258" s="209">
        <v>120.92000000000013</v>
      </c>
      <c r="M258" s="209">
        <v>158.07999999999987</v>
      </c>
      <c r="N258" s="98"/>
      <c r="O258" s="98"/>
      <c r="P258" s="98"/>
      <c r="Q258" s="208">
        <v>101.92000000000013</v>
      </c>
      <c r="R258" s="98">
        <v>136.31999999999948</v>
      </c>
      <c r="S258" s="98">
        <v>138.64000000000004</v>
      </c>
      <c r="T258" s="98">
        <v>202.56000000000017</v>
      </c>
      <c r="U258" s="98">
        <v>101.92000000000013</v>
      </c>
      <c r="V258" s="98">
        <v>464.80000000000086</v>
      </c>
      <c r="W258" s="98">
        <v>542.39999999999827</v>
      </c>
      <c r="X258" s="98"/>
      <c r="Y258" s="98"/>
      <c r="Z258" s="98"/>
      <c r="AA258" s="230"/>
      <c r="AB258" s="230"/>
    </row>
    <row r="259" spans="2:28">
      <c r="B259" s="98">
        <v>289</v>
      </c>
      <c r="C259" s="98">
        <v>109.3</v>
      </c>
      <c r="D259" s="98">
        <v>599.4</v>
      </c>
      <c r="E259" s="98">
        <v>186.1</v>
      </c>
      <c r="F259" s="98">
        <v>196.2</v>
      </c>
      <c r="G259" s="98">
        <v>147.80000000000001</v>
      </c>
      <c r="H259" s="98">
        <v>109.9</v>
      </c>
      <c r="I259" s="98">
        <v>133.9</v>
      </c>
      <c r="J259" s="98">
        <v>190.6</v>
      </c>
      <c r="K259" s="208">
        <v>111.76000000000013</v>
      </c>
      <c r="L259" s="208">
        <v>120.76000000000013</v>
      </c>
      <c r="M259" s="208">
        <v>157.73999999999987</v>
      </c>
      <c r="N259" s="98"/>
      <c r="O259" s="98"/>
      <c r="P259" s="98"/>
      <c r="Q259" s="208">
        <v>101.76000000000013</v>
      </c>
      <c r="R259" s="98">
        <v>135.95999999999947</v>
      </c>
      <c r="S259" s="98">
        <v>138.42000000000004</v>
      </c>
      <c r="T259" s="98">
        <v>201.68000000000018</v>
      </c>
      <c r="U259" s="98">
        <v>101.76000000000013</v>
      </c>
      <c r="V259" s="98">
        <v>464.40000000000089</v>
      </c>
      <c r="W259" s="98">
        <v>542.19999999999823</v>
      </c>
      <c r="X259" s="98"/>
      <c r="Y259" s="98"/>
      <c r="Z259" s="98"/>
      <c r="AA259" s="230"/>
      <c r="AB259" s="230"/>
    </row>
    <row r="260" spans="2:28">
      <c r="B260" s="98">
        <v>290</v>
      </c>
      <c r="C260" s="98">
        <v>109.2</v>
      </c>
      <c r="D260" s="98">
        <v>599</v>
      </c>
      <c r="E260" s="98">
        <v>185.8</v>
      </c>
      <c r="F260" s="98">
        <v>196</v>
      </c>
      <c r="G260" s="98">
        <v>147.5</v>
      </c>
      <c r="H260" s="98">
        <v>109.8</v>
      </c>
      <c r="I260" s="98">
        <v>133.69999999999999</v>
      </c>
      <c r="J260" s="98">
        <v>190.4</v>
      </c>
      <c r="K260" s="209">
        <v>111.60000000000014</v>
      </c>
      <c r="L260" s="209">
        <v>120.60000000000014</v>
      </c>
      <c r="M260" s="209">
        <v>157.39999999999986</v>
      </c>
      <c r="N260" s="98"/>
      <c r="O260" s="98"/>
      <c r="P260" s="98"/>
      <c r="Q260" s="208">
        <v>101.60000000000014</v>
      </c>
      <c r="R260" s="98">
        <v>135.59999999999945</v>
      </c>
      <c r="S260" s="98">
        <v>138.20000000000005</v>
      </c>
      <c r="T260" s="98">
        <v>200.80000000000018</v>
      </c>
      <c r="U260" s="98">
        <v>101.60000000000014</v>
      </c>
      <c r="V260" s="98">
        <v>464.00000000000091</v>
      </c>
      <c r="W260" s="98">
        <v>541.99999999999818</v>
      </c>
      <c r="X260" s="98"/>
      <c r="Y260" s="98"/>
      <c r="Z260" s="98"/>
      <c r="AA260" s="230"/>
      <c r="AB260" s="230"/>
    </row>
    <row r="261" spans="2:28">
      <c r="B261" s="98">
        <v>291</v>
      </c>
      <c r="C261" s="98">
        <v>109.1</v>
      </c>
      <c r="D261" s="98">
        <v>598.6</v>
      </c>
      <c r="E261" s="98">
        <v>185.5</v>
      </c>
      <c r="F261" s="98">
        <v>195.8</v>
      </c>
      <c r="G261" s="98">
        <v>147.19999999999999</v>
      </c>
      <c r="H261" s="98">
        <v>109.7</v>
      </c>
      <c r="I261" s="98">
        <v>133.6</v>
      </c>
      <c r="J261" s="98">
        <v>190.2</v>
      </c>
      <c r="K261" s="208">
        <v>111.44000000000014</v>
      </c>
      <c r="L261" s="208">
        <v>120.44000000000014</v>
      </c>
      <c r="M261" s="208">
        <v>157.05999999999986</v>
      </c>
      <c r="N261" s="98"/>
      <c r="O261" s="98"/>
      <c r="P261" s="98"/>
      <c r="Q261" s="208">
        <v>101.44000000000014</v>
      </c>
      <c r="R261" s="98">
        <v>135.23999999999944</v>
      </c>
      <c r="S261" s="98">
        <v>137.98000000000005</v>
      </c>
      <c r="T261" s="98">
        <v>199.92000000000019</v>
      </c>
      <c r="U261" s="98">
        <v>101.44000000000014</v>
      </c>
      <c r="V261" s="98">
        <v>463.60000000000093</v>
      </c>
      <c r="W261" s="98">
        <v>541.79999999999814</v>
      </c>
      <c r="X261" s="98"/>
      <c r="Y261" s="98"/>
      <c r="Z261" s="98"/>
      <c r="AA261" s="230"/>
      <c r="AB261" s="230"/>
    </row>
    <row r="262" spans="2:28">
      <c r="B262" s="98">
        <v>292</v>
      </c>
      <c r="C262" s="98">
        <v>109</v>
      </c>
      <c r="D262" s="98">
        <v>598.20000000000005</v>
      </c>
      <c r="E262" s="98">
        <v>185.2</v>
      </c>
      <c r="F262" s="98">
        <v>195.6</v>
      </c>
      <c r="G262" s="98">
        <v>147</v>
      </c>
      <c r="H262" s="98">
        <v>109.6</v>
      </c>
      <c r="I262" s="98">
        <v>133.4</v>
      </c>
      <c r="J262" s="98">
        <v>189.9</v>
      </c>
      <c r="K262" s="209">
        <v>111.28000000000014</v>
      </c>
      <c r="L262" s="209">
        <v>120.28000000000014</v>
      </c>
      <c r="M262" s="209">
        <v>156.71999999999986</v>
      </c>
      <c r="N262" s="98"/>
      <c r="O262" s="98"/>
      <c r="P262" s="98"/>
      <c r="Q262" s="208">
        <v>101.28000000000014</v>
      </c>
      <c r="R262" s="98">
        <v>134.87999999999943</v>
      </c>
      <c r="S262" s="98">
        <v>137.76000000000005</v>
      </c>
      <c r="T262" s="98">
        <v>199.04000000000019</v>
      </c>
      <c r="U262" s="98">
        <v>101.28000000000014</v>
      </c>
      <c r="V262" s="98">
        <v>463.20000000000095</v>
      </c>
      <c r="W262" s="98">
        <v>541.59999999999809</v>
      </c>
      <c r="X262" s="98"/>
      <c r="Y262" s="98"/>
      <c r="Z262" s="98"/>
      <c r="AA262" s="230"/>
      <c r="AB262" s="230"/>
    </row>
    <row r="263" spans="2:28">
      <c r="B263" s="98">
        <v>293</v>
      </c>
      <c r="C263" s="98">
        <v>108.8</v>
      </c>
      <c r="D263" s="98">
        <v>597.79999999999995</v>
      </c>
      <c r="E263" s="98">
        <v>185</v>
      </c>
      <c r="F263" s="98">
        <v>195.4</v>
      </c>
      <c r="G263" s="98">
        <v>146.80000000000001</v>
      </c>
      <c r="H263" s="98">
        <v>109.5</v>
      </c>
      <c r="I263" s="98">
        <v>133.30000000000001</v>
      </c>
      <c r="J263" s="98">
        <v>189.7</v>
      </c>
      <c r="K263" s="208">
        <v>111.12000000000015</v>
      </c>
      <c r="L263" s="208">
        <v>120.12000000000015</v>
      </c>
      <c r="M263" s="208">
        <v>156.37999999999985</v>
      </c>
      <c r="N263" s="98"/>
      <c r="O263" s="98"/>
      <c r="P263" s="98"/>
      <c r="Q263" s="208">
        <v>101.12000000000015</v>
      </c>
      <c r="R263" s="98">
        <v>134.51999999999941</v>
      </c>
      <c r="S263" s="98">
        <v>137.54000000000005</v>
      </c>
      <c r="T263" s="98">
        <v>198.1600000000002</v>
      </c>
      <c r="U263" s="98">
        <v>101.12000000000015</v>
      </c>
      <c r="V263" s="98">
        <v>462.80000000000098</v>
      </c>
      <c r="W263" s="98">
        <v>541.39999999999804</v>
      </c>
      <c r="X263" s="98"/>
      <c r="Y263" s="98"/>
      <c r="Z263" s="98"/>
      <c r="AA263" s="230"/>
      <c r="AB263" s="230"/>
    </row>
    <row r="264" spans="2:28">
      <c r="B264" s="98">
        <v>294</v>
      </c>
      <c r="C264" s="98">
        <v>108.7</v>
      </c>
      <c r="D264" s="98">
        <v>597.4</v>
      </c>
      <c r="E264" s="98">
        <v>184.7</v>
      </c>
      <c r="F264" s="98">
        <v>195.2</v>
      </c>
      <c r="G264" s="98">
        <v>146.5</v>
      </c>
      <c r="H264" s="98">
        <v>109.4</v>
      </c>
      <c r="I264" s="98">
        <v>133.1</v>
      </c>
      <c r="J264" s="98">
        <v>189.4</v>
      </c>
      <c r="K264" s="209">
        <v>110.96000000000015</v>
      </c>
      <c r="L264" s="209">
        <v>119.96000000000015</v>
      </c>
      <c r="M264" s="209">
        <v>156.03999999999985</v>
      </c>
      <c r="N264" s="98"/>
      <c r="O264" s="98"/>
      <c r="P264" s="98"/>
      <c r="Q264" s="208">
        <v>100.96000000000015</v>
      </c>
      <c r="R264" s="98">
        <v>134.1599999999994</v>
      </c>
      <c r="S264" s="98">
        <v>137.32000000000005</v>
      </c>
      <c r="T264" s="98">
        <v>197.2800000000002</v>
      </c>
      <c r="U264" s="98">
        <v>100.96000000000015</v>
      </c>
      <c r="V264" s="98">
        <v>462.400000000001</v>
      </c>
      <c r="W264" s="98">
        <v>541.199999999998</v>
      </c>
      <c r="X264" s="98"/>
      <c r="Y264" s="98"/>
      <c r="Z264" s="98"/>
      <c r="AA264" s="230"/>
      <c r="AB264" s="230"/>
    </row>
    <row r="265" spans="2:28">
      <c r="B265" s="98">
        <v>295</v>
      </c>
      <c r="C265" s="98">
        <v>108.6</v>
      </c>
      <c r="D265" s="98">
        <v>597</v>
      </c>
      <c r="E265" s="98">
        <v>184.4</v>
      </c>
      <c r="F265" s="98">
        <v>195</v>
      </c>
      <c r="G265" s="98">
        <v>146.19999999999999</v>
      </c>
      <c r="H265" s="98">
        <v>109.2</v>
      </c>
      <c r="I265" s="98">
        <v>133</v>
      </c>
      <c r="J265" s="98">
        <v>189.2</v>
      </c>
      <c r="K265" s="208">
        <v>110.80000000000015</v>
      </c>
      <c r="L265" s="208">
        <v>119.80000000000015</v>
      </c>
      <c r="M265" s="208">
        <v>155.69999999999985</v>
      </c>
      <c r="N265" s="98"/>
      <c r="O265" s="98"/>
      <c r="P265" s="98"/>
      <c r="Q265" s="208">
        <v>100.80000000000015</v>
      </c>
      <c r="R265" s="98">
        <v>133.79999999999939</v>
      </c>
      <c r="S265" s="98">
        <v>137.10000000000005</v>
      </c>
      <c r="T265" s="98">
        <v>196.4000000000002</v>
      </c>
      <c r="U265" s="98">
        <v>100.80000000000015</v>
      </c>
      <c r="V265" s="98">
        <v>462.00000000000102</v>
      </c>
      <c r="W265" s="98">
        <v>540.99999999999795</v>
      </c>
      <c r="X265" s="98"/>
      <c r="Y265" s="98"/>
      <c r="Z265" s="98"/>
      <c r="AA265" s="230"/>
      <c r="AB265" s="230"/>
    </row>
    <row r="266" spans="2:28">
      <c r="B266" s="98">
        <v>296</v>
      </c>
      <c r="C266" s="98">
        <v>108.5</v>
      </c>
      <c r="D266" s="98">
        <v>596.6</v>
      </c>
      <c r="E266" s="98">
        <v>184.1</v>
      </c>
      <c r="F266" s="98">
        <v>194.8</v>
      </c>
      <c r="G266" s="98">
        <v>146</v>
      </c>
      <c r="H266" s="98">
        <v>109.1</v>
      </c>
      <c r="I266" s="98">
        <v>132.9</v>
      </c>
      <c r="J266" s="98">
        <v>189</v>
      </c>
      <c r="K266" s="209">
        <v>110.64000000000016</v>
      </c>
      <c r="L266" s="209">
        <v>119.64000000000016</v>
      </c>
      <c r="M266" s="209">
        <v>155.35999999999984</v>
      </c>
      <c r="N266" s="98"/>
      <c r="O266" s="98"/>
      <c r="P266" s="98"/>
      <c r="Q266" s="208">
        <v>100.64000000000016</v>
      </c>
      <c r="R266" s="98">
        <v>133.43999999999937</v>
      </c>
      <c r="S266" s="98">
        <v>136.88000000000005</v>
      </c>
      <c r="T266" s="98">
        <v>195.52000000000021</v>
      </c>
      <c r="U266" s="98">
        <v>100.64000000000016</v>
      </c>
      <c r="V266" s="98">
        <v>461.60000000000105</v>
      </c>
      <c r="W266" s="98">
        <v>540.79999999999791</v>
      </c>
      <c r="X266" s="98"/>
      <c r="Y266" s="98"/>
      <c r="Z266" s="98"/>
      <c r="AA266" s="230"/>
      <c r="AB266" s="230"/>
    </row>
    <row r="267" spans="2:28">
      <c r="B267" s="98">
        <v>297</v>
      </c>
      <c r="C267" s="98">
        <v>108.4</v>
      </c>
      <c r="D267" s="98">
        <v>596.20000000000005</v>
      </c>
      <c r="E267" s="98">
        <v>183.8</v>
      </c>
      <c r="F267" s="98">
        <v>194.6</v>
      </c>
      <c r="G267" s="98">
        <v>145.80000000000001</v>
      </c>
      <c r="H267" s="98">
        <v>109</v>
      </c>
      <c r="I267" s="98">
        <v>132.69999999999999</v>
      </c>
      <c r="J267" s="98">
        <v>188.7</v>
      </c>
      <c r="K267" s="208">
        <v>110.48000000000016</v>
      </c>
      <c r="L267" s="208">
        <v>119.48000000000016</v>
      </c>
      <c r="M267" s="208">
        <v>155.01999999999984</v>
      </c>
      <c r="N267" s="98"/>
      <c r="O267" s="98"/>
      <c r="P267" s="98"/>
      <c r="Q267" s="208">
        <v>100.48000000000016</v>
      </c>
      <c r="R267" s="98">
        <v>133.07999999999936</v>
      </c>
      <c r="S267" s="98">
        <v>136.66000000000005</v>
      </c>
      <c r="T267" s="98">
        <v>194.64000000000021</v>
      </c>
      <c r="U267" s="98">
        <v>100.48000000000016</v>
      </c>
      <c r="V267" s="98">
        <v>461.20000000000107</v>
      </c>
      <c r="W267" s="98">
        <v>540.59999999999786</v>
      </c>
      <c r="X267" s="98"/>
      <c r="Y267" s="98"/>
      <c r="Z267" s="98"/>
      <c r="AA267" s="230"/>
      <c r="AB267" s="230"/>
    </row>
    <row r="268" spans="2:28">
      <c r="B268" s="98">
        <v>298</v>
      </c>
      <c r="C268" s="98">
        <v>108.2</v>
      </c>
      <c r="D268" s="98">
        <v>595.79999999999995</v>
      </c>
      <c r="E268" s="98">
        <v>183.6</v>
      </c>
      <c r="F268" s="98">
        <v>194.4</v>
      </c>
      <c r="G268" s="98">
        <v>145.5</v>
      </c>
      <c r="H268" s="98">
        <v>108.9</v>
      </c>
      <c r="I268" s="98">
        <v>132.6</v>
      </c>
      <c r="J268" s="98">
        <v>188.5</v>
      </c>
      <c r="K268" s="209">
        <v>110.32000000000016</v>
      </c>
      <c r="L268" s="209">
        <v>119.32000000000016</v>
      </c>
      <c r="M268" s="209">
        <v>154.67999999999984</v>
      </c>
      <c r="N268" s="98"/>
      <c r="O268" s="98"/>
      <c r="P268" s="98"/>
      <c r="Q268" s="208">
        <v>100.32000000000016</v>
      </c>
      <c r="R268" s="98">
        <v>132.71999999999935</v>
      </c>
      <c r="S268" s="98">
        <v>136.44000000000005</v>
      </c>
      <c r="T268" s="98">
        <v>193.76000000000022</v>
      </c>
      <c r="U268" s="98">
        <v>100.32000000000016</v>
      </c>
      <c r="V268" s="98">
        <v>460.80000000000109</v>
      </c>
      <c r="W268" s="98">
        <v>540.39999999999782</v>
      </c>
      <c r="X268" s="98"/>
      <c r="Y268" s="98"/>
      <c r="Z268" s="98"/>
      <c r="AA268" s="230"/>
      <c r="AB268" s="230"/>
    </row>
    <row r="269" spans="2:28">
      <c r="B269" s="98">
        <v>299</v>
      </c>
      <c r="C269" s="98">
        <v>108.1</v>
      </c>
      <c r="D269" s="98">
        <v>595.4</v>
      </c>
      <c r="E269" s="98">
        <v>183.3</v>
      </c>
      <c r="F269" s="98">
        <v>194.2</v>
      </c>
      <c r="G269" s="98">
        <v>145.19999999999999</v>
      </c>
      <c r="H269" s="98">
        <v>108.8</v>
      </c>
      <c r="I269" s="98">
        <v>132.4</v>
      </c>
      <c r="J269" s="98">
        <v>188.2</v>
      </c>
      <c r="K269" s="208">
        <v>110.16000000000017</v>
      </c>
      <c r="L269" s="208">
        <v>119.16000000000017</v>
      </c>
      <c r="M269" s="208">
        <v>154.33999999999983</v>
      </c>
      <c r="N269" s="98"/>
      <c r="O269" s="98"/>
      <c r="P269" s="98"/>
      <c r="Q269" s="208">
        <v>100.16000000000017</v>
      </c>
      <c r="R269" s="98">
        <v>132.35999999999933</v>
      </c>
      <c r="S269" s="98">
        <v>136.22000000000006</v>
      </c>
      <c r="T269" s="98">
        <v>192.88000000000022</v>
      </c>
      <c r="U269" s="98">
        <v>100.16000000000017</v>
      </c>
      <c r="V269" s="98">
        <v>460.40000000000111</v>
      </c>
      <c r="W269" s="98">
        <v>540.19999999999777</v>
      </c>
      <c r="X269" s="98"/>
      <c r="Y269" s="98"/>
      <c r="Z269" s="98"/>
      <c r="AA269" s="230"/>
      <c r="AB269" s="230"/>
    </row>
    <row r="270" spans="2:28">
      <c r="B270" s="98">
        <v>300</v>
      </c>
      <c r="C270" s="98">
        <v>108</v>
      </c>
      <c r="D270" s="98">
        <v>595</v>
      </c>
      <c r="E270" s="98">
        <v>183</v>
      </c>
      <c r="F270" s="98">
        <v>194</v>
      </c>
      <c r="G270" s="98">
        <v>145</v>
      </c>
      <c r="H270" s="98">
        <v>108.7</v>
      </c>
      <c r="I270" s="98">
        <v>132.30000000000001</v>
      </c>
      <c r="J270" s="98">
        <v>188</v>
      </c>
      <c r="K270" s="209">
        <v>110</v>
      </c>
      <c r="L270" s="209">
        <v>119</v>
      </c>
      <c r="M270" s="209">
        <v>154</v>
      </c>
      <c r="N270" s="98"/>
      <c r="O270" s="98"/>
      <c r="P270" s="98">
        <v>335</v>
      </c>
      <c r="Q270" s="209">
        <v>100</v>
      </c>
      <c r="R270" s="98">
        <v>132</v>
      </c>
      <c r="S270" s="98">
        <v>136</v>
      </c>
      <c r="T270" s="98">
        <v>192</v>
      </c>
      <c r="U270" s="98">
        <v>100</v>
      </c>
      <c r="V270" s="98">
        <v>460</v>
      </c>
      <c r="W270" s="98">
        <v>540</v>
      </c>
      <c r="X270" s="98"/>
      <c r="Y270" s="98"/>
      <c r="Z270" s="98"/>
      <c r="AA270" s="230">
        <v>562</v>
      </c>
      <c r="AB270" s="230"/>
    </row>
    <row r="271" spans="2:28">
      <c r="B271" s="98">
        <v>301</v>
      </c>
      <c r="C271" s="98">
        <v>107.9</v>
      </c>
      <c r="D271" s="98">
        <v>594.5</v>
      </c>
      <c r="E271" s="98">
        <v>182.8</v>
      </c>
      <c r="F271" s="98">
        <v>193.8</v>
      </c>
      <c r="G271" s="98">
        <v>144.9</v>
      </c>
      <c r="H271" s="98">
        <v>108.6</v>
      </c>
      <c r="I271" s="98">
        <v>132.1</v>
      </c>
      <c r="J271" s="98">
        <v>187.8</v>
      </c>
      <c r="K271" s="208">
        <v>109.88</v>
      </c>
      <c r="L271" s="208">
        <v>118.88</v>
      </c>
      <c r="M271" s="208">
        <v>153.74</v>
      </c>
      <c r="N271" s="98"/>
      <c r="O271" s="98"/>
      <c r="P271" s="98"/>
      <c r="Q271" s="208">
        <v>99.88</v>
      </c>
      <c r="R271" s="98">
        <v>131.76</v>
      </c>
      <c r="S271" s="98">
        <v>135.88</v>
      </c>
      <c r="T271" s="98">
        <v>191.8</v>
      </c>
      <c r="U271" s="98">
        <v>99.88</v>
      </c>
      <c r="V271" s="98">
        <v>459.5</v>
      </c>
      <c r="W271" s="98">
        <v>539.79999999999995</v>
      </c>
      <c r="X271" s="98"/>
      <c r="Y271" s="98"/>
      <c r="Z271" s="98"/>
      <c r="AA271" s="230"/>
      <c r="AB271" s="230"/>
    </row>
    <row r="272" spans="2:28">
      <c r="B272" s="98">
        <v>302</v>
      </c>
      <c r="C272" s="98">
        <v>107.8</v>
      </c>
      <c r="D272" s="98">
        <v>594</v>
      </c>
      <c r="E272" s="98">
        <v>182.6</v>
      </c>
      <c r="F272" s="98">
        <v>193.5</v>
      </c>
      <c r="G272" s="98">
        <v>144.80000000000001</v>
      </c>
      <c r="H272" s="98">
        <v>108.5</v>
      </c>
      <c r="I272" s="98">
        <v>132</v>
      </c>
      <c r="J272" s="98">
        <v>187.6</v>
      </c>
      <c r="K272" s="209">
        <v>109.75999999999999</v>
      </c>
      <c r="L272" s="209">
        <v>118.75999999999999</v>
      </c>
      <c r="M272" s="209">
        <v>153.48000000000002</v>
      </c>
      <c r="N272" s="98"/>
      <c r="O272" s="98"/>
      <c r="P272" s="98"/>
      <c r="Q272" s="208">
        <v>99.759999999999991</v>
      </c>
      <c r="R272" s="98">
        <v>131.51999999999998</v>
      </c>
      <c r="S272" s="98">
        <v>135.76</v>
      </c>
      <c r="T272" s="98">
        <v>191.60000000000002</v>
      </c>
      <c r="U272" s="98">
        <v>99.759999999999991</v>
      </c>
      <c r="V272" s="98">
        <v>459</v>
      </c>
      <c r="W272" s="98">
        <v>539.59999999999991</v>
      </c>
      <c r="X272" s="98"/>
      <c r="Y272" s="98"/>
      <c r="Z272" s="98"/>
      <c r="AA272" s="230"/>
      <c r="AB272" s="230"/>
    </row>
    <row r="273" spans="2:28">
      <c r="B273" s="98">
        <v>303</v>
      </c>
      <c r="C273" s="98">
        <v>107.8</v>
      </c>
      <c r="D273" s="98">
        <v>593.6</v>
      </c>
      <c r="E273" s="98">
        <v>182.4</v>
      </c>
      <c r="F273" s="98">
        <v>193.3</v>
      </c>
      <c r="G273" s="98">
        <v>144.69999999999999</v>
      </c>
      <c r="H273" s="98">
        <v>108.4</v>
      </c>
      <c r="I273" s="98">
        <v>131.9</v>
      </c>
      <c r="J273" s="98">
        <v>187.4</v>
      </c>
      <c r="K273" s="208">
        <v>109.63999999999999</v>
      </c>
      <c r="L273" s="208">
        <v>118.63999999999999</v>
      </c>
      <c r="M273" s="208">
        <v>153.22000000000003</v>
      </c>
      <c r="N273" s="98"/>
      <c r="O273" s="98"/>
      <c r="P273" s="98"/>
      <c r="Q273" s="208">
        <v>99.639999999999986</v>
      </c>
      <c r="R273" s="98">
        <v>131.27999999999997</v>
      </c>
      <c r="S273" s="98">
        <v>135.63999999999999</v>
      </c>
      <c r="T273" s="98">
        <v>191.40000000000003</v>
      </c>
      <c r="U273" s="98">
        <v>99.639999999999986</v>
      </c>
      <c r="V273" s="98">
        <v>458.5</v>
      </c>
      <c r="W273" s="98">
        <v>539.39999999999986</v>
      </c>
      <c r="X273" s="98"/>
      <c r="Y273" s="98"/>
      <c r="Z273" s="98"/>
      <c r="AA273" s="230"/>
      <c r="AB273" s="230"/>
    </row>
    <row r="274" spans="2:28">
      <c r="B274" s="98">
        <v>304</v>
      </c>
      <c r="C274" s="98">
        <v>107.7</v>
      </c>
      <c r="D274" s="98">
        <v>593.1</v>
      </c>
      <c r="E274" s="98">
        <v>182.2</v>
      </c>
      <c r="F274" s="98">
        <v>193</v>
      </c>
      <c r="G274" s="98">
        <v>144.6</v>
      </c>
      <c r="H274" s="98">
        <v>108.3</v>
      </c>
      <c r="I274" s="98">
        <v>131.69999999999999</v>
      </c>
      <c r="J274" s="98">
        <v>187.2</v>
      </c>
      <c r="K274" s="209">
        <v>109.51999999999998</v>
      </c>
      <c r="L274" s="209">
        <v>118.51999999999998</v>
      </c>
      <c r="M274" s="209">
        <v>152.96000000000004</v>
      </c>
      <c r="N274" s="98"/>
      <c r="O274" s="98"/>
      <c r="P274" s="98"/>
      <c r="Q274" s="208">
        <v>99.519999999999982</v>
      </c>
      <c r="R274" s="98">
        <v>131.03999999999996</v>
      </c>
      <c r="S274" s="98">
        <v>135.51999999999998</v>
      </c>
      <c r="T274" s="98">
        <v>191.20000000000005</v>
      </c>
      <c r="U274" s="98">
        <v>99.519999999999982</v>
      </c>
      <c r="V274" s="98">
        <v>458</v>
      </c>
      <c r="W274" s="98">
        <v>539.19999999999982</v>
      </c>
      <c r="X274" s="98"/>
      <c r="Y274" s="98"/>
      <c r="Z274" s="98"/>
      <c r="AA274" s="230"/>
      <c r="AB274" s="230"/>
    </row>
    <row r="275" spans="2:28">
      <c r="B275" s="98">
        <v>305</v>
      </c>
      <c r="C275" s="98">
        <v>107.6</v>
      </c>
      <c r="D275" s="98">
        <v>592.6</v>
      </c>
      <c r="E275" s="98">
        <v>182</v>
      </c>
      <c r="F275" s="98">
        <v>192.8</v>
      </c>
      <c r="G275" s="98">
        <v>144.5</v>
      </c>
      <c r="H275" s="98">
        <v>108.2</v>
      </c>
      <c r="I275" s="98">
        <v>131.6</v>
      </c>
      <c r="J275" s="98">
        <v>187</v>
      </c>
      <c r="K275" s="208">
        <v>109.39999999999998</v>
      </c>
      <c r="L275" s="208">
        <v>118.39999999999998</v>
      </c>
      <c r="M275" s="208">
        <v>152.70000000000005</v>
      </c>
      <c r="N275" s="98"/>
      <c r="O275" s="98"/>
      <c r="P275" s="98"/>
      <c r="Q275" s="208">
        <v>99.399999999999977</v>
      </c>
      <c r="R275" s="98">
        <v>130.79999999999995</v>
      </c>
      <c r="S275" s="98">
        <v>135.39999999999998</v>
      </c>
      <c r="T275" s="98">
        <v>191.00000000000006</v>
      </c>
      <c r="U275" s="98">
        <v>99.399999999999977</v>
      </c>
      <c r="V275" s="98">
        <v>457.5</v>
      </c>
      <c r="W275" s="98">
        <v>538.99999999999977</v>
      </c>
      <c r="X275" s="98"/>
      <c r="Y275" s="98"/>
      <c r="Z275" s="98"/>
      <c r="AA275" s="230"/>
      <c r="AB275" s="230"/>
    </row>
    <row r="276" spans="2:28">
      <c r="B276" s="98">
        <v>306</v>
      </c>
      <c r="C276" s="98">
        <v>107.5</v>
      </c>
      <c r="D276" s="98">
        <v>592.1</v>
      </c>
      <c r="E276" s="98">
        <v>181.8</v>
      </c>
      <c r="F276" s="98">
        <v>192.6</v>
      </c>
      <c r="G276" s="98">
        <v>144.4</v>
      </c>
      <c r="H276" s="98">
        <v>108.1</v>
      </c>
      <c r="I276" s="98">
        <v>131.4</v>
      </c>
      <c r="J276" s="98">
        <v>186.8</v>
      </c>
      <c r="K276" s="209">
        <v>109.27999999999997</v>
      </c>
      <c r="L276" s="209">
        <v>118.27999999999997</v>
      </c>
      <c r="M276" s="209">
        <v>152.44000000000005</v>
      </c>
      <c r="N276" s="98"/>
      <c r="O276" s="98"/>
      <c r="P276" s="98"/>
      <c r="Q276" s="208">
        <v>99.279999999999973</v>
      </c>
      <c r="R276" s="98">
        <v>130.55999999999995</v>
      </c>
      <c r="S276" s="98">
        <v>135.27999999999997</v>
      </c>
      <c r="T276" s="98">
        <v>190.80000000000007</v>
      </c>
      <c r="U276" s="98">
        <v>99.279999999999973</v>
      </c>
      <c r="V276" s="98">
        <v>457</v>
      </c>
      <c r="W276" s="98">
        <v>538.79999999999973</v>
      </c>
      <c r="X276" s="98"/>
      <c r="Y276" s="98"/>
      <c r="Z276" s="98"/>
      <c r="AA276" s="230"/>
      <c r="AB276" s="230"/>
    </row>
    <row r="277" spans="2:28">
      <c r="B277" s="98">
        <v>307</v>
      </c>
      <c r="C277" s="98">
        <v>107.4</v>
      </c>
      <c r="D277" s="98">
        <v>591.6</v>
      </c>
      <c r="E277" s="98">
        <v>181.6</v>
      </c>
      <c r="F277" s="98">
        <v>192.3</v>
      </c>
      <c r="G277" s="98">
        <v>144.30000000000001</v>
      </c>
      <c r="H277" s="98">
        <v>108</v>
      </c>
      <c r="I277" s="98">
        <v>131.30000000000001</v>
      </c>
      <c r="J277" s="98">
        <v>186.6</v>
      </c>
      <c r="K277" s="208">
        <v>109.15999999999997</v>
      </c>
      <c r="L277" s="208">
        <v>118.15999999999997</v>
      </c>
      <c r="M277" s="208">
        <v>152.18000000000006</v>
      </c>
      <c r="N277" s="98"/>
      <c r="O277" s="98"/>
      <c r="P277" s="98"/>
      <c r="Q277" s="208">
        <v>99.159999999999968</v>
      </c>
      <c r="R277" s="98">
        <v>130.31999999999994</v>
      </c>
      <c r="S277" s="98">
        <v>135.15999999999997</v>
      </c>
      <c r="T277" s="98">
        <v>190.60000000000008</v>
      </c>
      <c r="U277" s="98">
        <v>99.159999999999968</v>
      </c>
      <c r="V277" s="98">
        <v>456.5</v>
      </c>
      <c r="W277" s="98">
        <v>538.59999999999968</v>
      </c>
      <c r="X277" s="98"/>
      <c r="Y277" s="98"/>
      <c r="Z277" s="98"/>
      <c r="AA277" s="230"/>
      <c r="AB277" s="230"/>
    </row>
    <row r="278" spans="2:28">
      <c r="B278" s="98">
        <v>308</v>
      </c>
      <c r="C278" s="98">
        <v>107.4</v>
      </c>
      <c r="D278" s="98">
        <v>591.20000000000005</v>
      </c>
      <c r="E278" s="98">
        <v>181.4</v>
      </c>
      <c r="F278" s="98">
        <v>192.1</v>
      </c>
      <c r="G278" s="98">
        <v>144.19999999999999</v>
      </c>
      <c r="H278" s="98">
        <v>107.9</v>
      </c>
      <c r="I278" s="98">
        <v>131.1</v>
      </c>
      <c r="J278" s="98">
        <v>186.4</v>
      </c>
      <c r="K278" s="209">
        <v>109.03999999999996</v>
      </c>
      <c r="L278" s="209">
        <v>118.03999999999996</v>
      </c>
      <c r="M278" s="209">
        <v>151.92000000000007</v>
      </c>
      <c r="N278" s="98"/>
      <c r="O278" s="98"/>
      <c r="P278" s="98"/>
      <c r="Q278" s="208">
        <v>99.039999999999964</v>
      </c>
      <c r="R278" s="98">
        <v>130.07999999999993</v>
      </c>
      <c r="S278" s="98">
        <v>135.03999999999996</v>
      </c>
      <c r="T278" s="98">
        <v>190.40000000000009</v>
      </c>
      <c r="U278" s="98">
        <v>99.039999999999964</v>
      </c>
      <c r="V278" s="98">
        <v>456</v>
      </c>
      <c r="W278" s="98">
        <v>538.39999999999964</v>
      </c>
      <c r="X278" s="98"/>
      <c r="Y278" s="98"/>
      <c r="Z278" s="98"/>
      <c r="AA278" s="230"/>
      <c r="AB278" s="230"/>
    </row>
    <row r="279" spans="2:28">
      <c r="B279" s="98">
        <v>309</v>
      </c>
      <c r="C279" s="98">
        <v>107.3</v>
      </c>
      <c r="D279" s="98">
        <v>590.70000000000005</v>
      </c>
      <c r="E279" s="98">
        <v>181.2</v>
      </c>
      <c r="F279" s="98">
        <v>191.8</v>
      </c>
      <c r="G279" s="98">
        <v>144.1</v>
      </c>
      <c r="H279" s="98">
        <v>107.8</v>
      </c>
      <c r="I279" s="98">
        <v>131</v>
      </c>
      <c r="J279" s="98">
        <v>186.2</v>
      </c>
      <c r="K279" s="208">
        <v>108.91999999999996</v>
      </c>
      <c r="L279" s="208">
        <v>117.91999999999996</v>
      </c>
      <c r="M279" s="208">
        <v>151.66000000000008</v>
      </c>
      <c r="N279" s="98"/>
      <c r="O279" s="98"/>
      <c r="P279" s="98"/>
      <c r="Q279" s="208">
        <v>98.919999999999959</v>
      </c>
      <c r="R279" s="98">
        <v>129.83999999999992</v>
      </c>
      <c r="S279" s="98">
        <v>134.91999999999996</v>
      </c>
      <c r="T279" s="98">
        <v>190.2000000000001</v>
      </c>
      <c r="U279" s="98">
        <v>98.919999999999959</v>
      </c>
      <c r="V279" s="98">
        <v>455.5</v>
      </c>
      <c r="W279" s="98">
        <v>538.19999999999959</v>
      </c>
      <c r="X279" s="98"/>
      <c r="Y279" s="98"/>
      <c r="Z279" s="98"/>
      <c r="AA279" s="230"/>
      <c r="AB279" s="230"/>
    </row>
    <row r="280" spans="2:28">
      <c r="B280" s="98">
        <v>310</v>
      </c>
      <c r="C280" s="98">
        <v>107.2</v>
      </c>
      <c r="D280" s="98">
        <v>590.20000000000005</v>
      </c>
      <c r="E280" s="98">
        <v>181</v>
      </c>
      <c r="F280" s="98">
        <v>191.6</v>
      </c>
      <c r="G280" s="98">
        <v>144</v>
      </c>
      <c r="H280" s="98">
        <v>107.6</v>
      </c>
      <c r="I280" s="98">
        <v>130.9</v>
      </c>
      <c r="J280" s="98">
        <v>186</v>
      </c>
      <c r="K280" s="209">
        <v>108.79999999999995</v>
      </c>
      <c r="L280" s="209">
        <v>117.79999999999995</v>
      </c>
      <c r="M280" s="209">
        <v>151.40000000000009</v>
      </c>
      <c r="N280" s="98"/>
      <c r="O280" s="98"/>
      <c r="P280" s="98"/>
      <c r="Q280" s="208">
        <v>98.799999999999955</v>
      </c>
      <c r="R280" s="98">
        <v>129.59999999999991</v>
      </c>
      <c r="S280" s="98">
        <v>134.79999999999995</v>
      </c>
      <c r="T280" s="98">
        <v>190.00000000000011</v>
      </c>
      <c r="U280" s="98">
        <v>98.799999999999955</v>
      </c>
      <c r="V280" s="98">
        <v>455</v>
      </c>
      <c r="W280" s="98">
        <v>537.99999999999955</v>
      </c>
      <c r="X280" s="98"/>
      <c r="Y280" s="98"/>
      <c r="Z280" s="98"/>
      <c r="AA280" s="230"/>
      <c r="AB280" s="230"/>
    </row>
    <row r="281" spans="2:28">
      <c r="B281" s="98">
        <v>311</v>
      </c>
      <c r="C281" s="98">
        <v>107.1</v>
      </c>
      <c r="D281" s="98">
        <v>589.70000000000005</v>
      </c>
      <c r="E281" s="98">
        <v>180.8</v>
      </c>
      <c r="F281" s="98">
        <v>191.4</v>
      </c>
      <c r="G281" s="98">
        <v>143.9</v>
      </c>
      <c r="H281" s="98">
        <v>107.5</v>
      </c>
      <c r="I281" s="98">
        <v>130.69999999999999</v>
      </c>
      <c r="J281" s="98">
        <v>185.8</v>
      </c>
      <c r="K281" s="208">
        <v>108.67999999999995</v>
      </c>
      <c r="L281" s="208">
        <v>117.67999999999995</v>
      </c>
      <c r="M281" s="208">
        <v>151.1400000000001</v>
      </c>
      <c r="N281" s="98"/>
      <c r="O281" s="98"/>
      <c r="P281" s="98"/>
      <c r="Q281" s="208">
        <v>98.67999999999995</v>
      </c>
      <c r="R281" s="98">
        <v>129.3599999999999</v>
      </c>
      <c r="S281" s="98">
        <v>134.67999999999995</v>
      </c>
      <c r="T281" s="98">
        <v>189.80000000000013</v>
      </c>
      <c r="U281" s="98">
        <v>98.67999999999995</v>
      </c>
      <c r="V281" s="98">
        <v>454.5</v>
      </c>
      <c r="W281" s="98">
        <v>537.7999999999995</v>
      </c>
      <c r="X281" s="98"/>
      <c r="Y281" s="98"/>
      <c r="Z281" s="98"/>
      <c r="AA281" s="230"/>
      <c r="AB281" s="230"/>
    </row>
    <row r="282" spans="2:28">
      <c r="B282" s="98">
        <v>312</v>
      </c>
      <c r="C282" s="98">
        <v>107</v>
      </c>
      <c r="D282" s="98">
        <v>589.20000000000005</v>
      </c>
      <c r="E282" s="98">
        <v>180.6</v>
      </c>
      <c r="F282" s="98">
        <v>191.1</v>
      </c>
      <c r="G282" s="98">
        <v>143.80000000000001</v>
      </c>
      <c r="H282" s="98">
        <v>107.4</v>
      </c>
      <c r="I282" s="98">
        <v>130.6</v>
      </c>
      <c r="J282" s="98">
        <v>185.6</v>
      </c>
      <c r="K282" s="209">
        <v>108.55999999999995</v>
      </c>
      <c r="L282" s="209">
        <v>117.55999999999995</v>
      </c>
      <c r="M282" s="209">
        <v>150.88000000000011</v>
      </c>
      <c r="N282" s="98"/>
      <c r="O282" s="98"/>
      <c r="P282" s="98"/>
      <c r="Q282" s="208">
        <v>98.559999999999945</v>
      </c>
      <c r="R282" s="98">
        <v>129.11999999999989</v>
      </c>
      <c r="S282" s="98">
        <v>134.55999999999995</v>
      </c>
      <c r="T282" s="98">
        <v>189.60000000000014</v>
      </c>
      <c r="U282" s="98">
        <v>98.559999999999945</v>
      </c>
      <c r="V282" s="98">
        <v>454</v>
      </c>
      <c r="W282" s="98">
        <v>537.59999999999945</v>
      </c>
      <c r="X282" s="98"/>
      <c r="Y282" s="98"/>
      <c r="Z282" s="98"/>
      <c r="AA282" s="230"/>
      <c r="AB282" s="230"/>
    </row>
    <row r="283" spans="2:28">
      <c r="B283" s="98">
        <v>313</v>
      </c>
      <c r="C283" s="98">
        <v>107</v>
      </c>
      <c r="D283" s="98">
        <v>588.79999999999995</v>
      </c>
      <c r="E283" s="98">
        <v>180.4</v>
      </c>
      <c r="F283" s="98">
        <v>190.9</v>
      </c>
      <c r="G283" s="98">
        <v>143.69999999999999</v>
      </c>
      <c r="H283" s="98">
        <v>107.3</v>
      </c>
      <c r="I283" s="98">
        <v>130.4</v>
      </c>
      <c r="J283" s="98">
        <v>185.4</v>
      </c>
      <c r="K283" s="208">
        <v>108.43999999999994</v>
      </c>
      <c r="L283" s="208">
        <v>117.43999999999994</v>
      </c>
      <c r="M283" s="208">
        <v>150.62000000000012</v>
      </c>
      <c r="N283" s="98"/>
      <c r="O283" s="98"/>
      <c r="P283" s="98"/>
      <c r="Q283" s="208">
        <v>98.439999999999941</v>
      </c>
      <c r="R283" s="98">
        <v>128.87999999999988</v>
      </c>
      <c r="S283" s="98">
        <v>134.43999999999994</v>
      </c>
      <c r="T283" s="98">
        <v>189.40000000000015</v>
      </c>
      <c r="U283" s="98">
        <v>98.439999999999941</v>
      </c>
      <c r="V283" s="98">
        <v>453.5</v>
      </c>
      <c r="W283" s="98">
        <v>537.39999999999941</v>
      </c>
      <c r="X283" s="98"/>
      <c r="Y283" s="98"/>
      <c r="Z283" s="98"/>
      <c r="AA283" s="230"/>
      <c r="AB283" s="230"/>
    </row>
    <row r="284" spans="2:28">
      <c r="B284" s="98">
        <v>314</v>
      </c>
      <c r="C284" s="98">
        <v>106.9</v>
      </c>
      <c r="D284" s="98">
        <v>588.29999999999995</v>
      </c>
      <c r="E284" s="98">
        <v>180.2</v>
      </c>
      <c r="F284" s="98">
        <v>190.6</v>
      </c>
      <c r="G284" s="98">
        <v>143.6</v>
      </c>
      <c r="H284" s="98">
        <v>107.2</v>
      </c>
      <c r="I284" s="98">
        <v>130.30000000000001</v>
      </c>
      <c r="J284" s="98">
        <v>185.2</v>
      </c>
      <c r="K284" s="209">
        <v>108.31999999999994</v>
      </c>
      <c r="L284" s="209">
        <v>117.31999999999994</v>
      </c>
      <c r="M284" s="209">
        <v>150.36000000000013</v>
      </c>
      <c r="N284" s="98"/>
      <c r="O284" s="98"/>
      <c r="P284" s="98"/>
      <c r="Q284" s="208">
        <v>98.319999999999936</v>
      </c>
      <c r="R284" s="98">
        <v>128.63999999999987</v>
      </c>
      <c r="S284" s="98">
        <v>134.31999999999994</v>
      </c>
      <c r="T284" s="98">
        <v>189.20000000000016</v>
      </c>
      <c r="U284" s="98">
        <v>98.319999999999936</v>
      </c>
      <c r="V284" s="98">
        <v>453</v>
      </c>
      <c r="W284" s="98">
        <v>537.19999999999936</v>
      </c>
      <c r="X284" s="98"/>
      <c r="Y284" s="98"/>
      <c r="Z284" s="98"/>
      <c r="AA284" s="230"/>
      <c r="AB284" s="230"/>
    </row>
    <row r="285" spans="2:28">
      <c r="B285" s="98">
        <v>315</v>
      </c>
      <c r="C285" s="98">
        <v>106.8</v>
      </c>
      <c r="D285" s="98">
        <v>587.79999999999995</v>
      </c>
      <c r="E285" s="98">
        <v>180</v>
      </c>
      <c r="F285" s="98">
        <v>190.4</v>
      </c>
      <c r="G285" s="98">
        <v>143.5</v>
      </c>
      <c r="H285" s="98">
        <v>107.1</v>
      </c>
      <c r="I285" s="98">
        <v>130.1</v>
      </c>
      <c r="J285" s="98">
        <v>185</v>
      </c>
      <c r="K285" s="208">
        <v>108.19999999999993</v>
      </c>
      <c r="L285" s="208">
        <v>117.19999999999993</v>
      </c>
      <c r="M285" s="208">
        <v>150.10000000000014</v>
      </c>
      <c r="N285" s="98"/>
      <c r="O285" s="98"/>
      <c r="P285" s="98"/>
      <c r="Q285" s="208">
        <v>98.199999999999932</v>
      </c>
      <c r="R285" s="98">
        <v>128.39999999999986</v>
      </c>
      <c r="S285" s="98">
        <v>134.19999999999993</v>
      </c>
      <c r="T285" s="98">
        <v>189.00000000000017</v>
      </c>
      <c r="U285" s="98">
        <v>98.199999999999932</v>
      </c>
      <c r="V285" s="98">
        <v>452.5</v>
      </c>
      <c r="W285" s="98">
        <v>536.99999999999932</v>
      </c>
      <c r="X285" s="98"/>
      <c r="Y285" s="98"/>
      <c r="Z285" s="98"/>
      <c r="AA285" s="230"/>
      <c r="AB285" s="230"/>
    </row>
    <row r="286" spans="2:28">
      <c r="B286" s="98">
        <v>316</v>
      </c>
      <c r="C286" s="98">
        <v>106.7</v>
      </c>
      <c r="D286" s="98">
        <v>587.29999999999995</v>
      </c>
      <c r="E286" s="98">
        <v>179.8</v>
      </c>
      <c r="F286" s="98">
        <v>190.2</v>
      </c>
      <c r="G286" s="98">
        <v>143.4</v>
      </c>
      <c r="H286" s="98">
        <v>107</v>
      </c>
      <c r="I286" s="98">
        <v>130</v>
      </c>
      <c r="J286" s="98">
        <v>184.8</v>
      </c>
      <c r="K286" s="209">
        <v>108.07999999999993</v>
      </c>
      <c r="L286" s="209">
        <v>117.07999999999993</v>
      </c>
      <c r="M286" s="209">
        <v>149.84000000000015</v>
      </c>
      <c r="N286" s="98"/>
      <c r="O286" s="98"/>
      <c r="P286" s="98"/>
      <c r="Q286" s="208">
        <v>98.079999999999927</v>
      </c>
      <c r="R286" s="98">
        <v>128.15999999999985</v>
      </c>
      <c r="S286" s="98">
        <v>134.07999999999993</v>
      </c>
      <c r="T286" s="98">
        <v>188.80000000000018</v>
      </c>
      <c r="U286" s="98">
        <v>98.079999999999927</v>
      </c>
      <c r="V286" s="98">
        <v>452</v>
      </c>
      <c r="W286" s="98">
        <v>536.79999999999927</v>
      </c>
      <c r="X286" s="98"/>
      <c r="Y286" s="98"/>
      <c r="Z286" s="98"/>
      <c r="AA286" s="230"/>
      <c r="AB286" s="230"/>
    </row>
    <row r="287" spans="2:28">
      <c r="B287" s="98">
        <v>317</v>
      </c>
      <c r="C287" s="98">
        <v>106.6</v>
      </c>
      <c r="D287" s="98">
        <v>586.79999999999995</v>
      </c>
      <c r="E287" s="98">
        <v>179.6</v>
      </c>
      <c r="F287" s="98">
        <v>189.9</v>
      </c>
      <c r="G287" s="98">
        <v>143.30000000000001</v>
      </c>
      <c r="H287" s="98">
        <v>106.9</v>
      </c>
      <c r="I287" s="98">
        <v>129.9</v>
      </c>
      <c r="J287" s="98">
        <v>184.6</v>
      </c>
      <c r="K287" s="208">
        <v>107.95999999999992</v>
      </c>
      <c r="L287" s="208">
        <v>116.95999999999992</v>
      </c>
      <c r="M287" s="208">
        <v>149.58000000000015</v>
      </c>
      <c r="N287" s="98"/>
      <c r="O287" s="98"/>
      <c r="P287" s="98"/>
      <c r="Q287" s="208">
        <v>97.959999999999923</v>
      </c>
      <c r="R287" s="98">
        <v>127.91999999999986</v>
      </c>
      <c r="S287" s="98">
        <v>133.95999999999992</v>
      </c>
      <c r="T287" s="98">
        <v>188.60000000000019</v>
      </c>
      <c r="U287" s="98">
        <v>97.959999999999923</v>
      </c>
      <c r="V287" s="98">
        <v>451.5</v>
      </c>
      <c r="W287" s="98">
        <v>536.59999999999923</v>
      </c>
      <c r="X287" s="98"/>
      <c r="Y287" s="98"/>
      <c r="Z287" s="98"/>
      <c r="AA287" s="230"/>
      <c r="AB287" s="230"/>
    </row>
    <row r="288" spans="2:28">
      <c r="B288" s="98">
        <v>318</v>
      </c>
      <c r="C288" s="98">
        <v>106.6</v>
      </c>
      <c r="D288" s="98">
        <v>586.4</v>
      </c>
      <c r="E288" s="98">
        <v>179.4</v>
      </c>
      <c r="F288" s="98">
        <v>189.7</v>
      </c>
      <c r="G288" s="98">
        <v>143.19999999999999</v>
      </c>
      <c r="H288" s="98">
        <v>106.9</v>
      </c>
      <c r="I288" s="98">
        <v>129.9</v>
      </c>
      <c r="J288" s="98">
        <v>184.4</v>
      </c>
      <c r="K288" s="209">
        <v>107.83999999999992</v>
      </c>
      <c r="L288" s="209">
        <v>116.83999999999992</v>
      </c>
      <c r="M288" s="209">
        <v>149.32000000000016</v>
      </c>
      <c r="N288" s="98"/>
      <c r="O288" s="98"/>
      <c r="P288" s="98"/>
      <c r="Q288" s="208">
        <v>97.839999999999918</v>
      </c>
      <c r="R288" s="98">
        <v>127.67999999999986</v>
      </c>
      <c r="S288" s="98">
        <v>133.83999999999992</v>
      </c>
      <c r="T288" s="98">
        <v>188.4000000000002</v>
      </c>
      <c r="U288" s="98">
        <v>97.839999999999918</v>
      </c>
      <c r="V288" s="98">
        <v>451</v>
      </c>
      <c r="W288" s="98">
        <v>536.39999999999918</v>
      </c>
      <c r="X288" s="98"/>
      <c r="Y288" s="98"/>
      <c r="Z288" s="98"/>
      <c r="AA288" s="230"/>
      <c r="AB288" s="230"/>
    </row>
    <row r="289" spans="2:28">
      <c r="B289" s="98">
        <v>319</v>
      </c>
      <c r="C289" s="98">
        <v>106.5</v>
      </c>
      <c r="D289" s="98">
        <v>585.9</v>
      </c>
      <c r="E289" s="98">
        <v>179.2</v>
      </c>
      <c r="F289" s="98">
        <v>189.4</v>
      </c>
      <c r="G289" s="98">
        <v>143.1</v>
      </c>
      <c r="H289" s="98">
        <v>106.8</v>
      </c>
      <c r="I289" s="98">
        <v>129.80000000000001</v>
      </c>
      <c r="J289" s="98">
        <v>184.2</v>
      </c>
      <c r="K289" s="208">
        <v>107.71999999999991</v>
      </c>
      <c r="L289" s="208">
        <v>116.71999999999991</v>
      </c>
      <c r="M289" s="208">
        <v>149.06000000000017</v>
      </c>
      <c r="N289" s="98"/>
      <c r="O289" s="98"/>
      <c r="P289" s="98"/>
      <c r="Q289" s="208">
        <v>97.719999999999914</v>
      </c>
      <c r="R289" s="98">
        <v>127.43999999999987</v>
      </c>
      <c r="S289" s="98">
        <v>133.71999999999991</v>
      </c>
      <c r="T289" s="98">
        <v>188.20000000000022</v>
      </c>
      <c r="U289" s="98">
        <v>97.719999999999914</v>
      </c>
      <c r="V289" s="98">
        <v>450.5</v>
      </c>
      <c r="W289" s="98">
        <v>536.19999999999914</v>
      </c>
      <c r="X289" s="98"/>
      <c r="Y289" s="98"/>
      <c r="Z289" s="98"/>
      <c r="AA289" s="230"/>
      <c r="AB289" s="230"/>
    </row>
    <row r="290" spans="2:28">
      <c r="B290" s="98">
        <v>320</v>
      </c>
      <c r="C290" s="98">
        <v>106.4</v>
      </c>
      <c r="D290" s="98">
        <v>585.4</v>
      </c>
      <c r="E290" s="98">
        <v>179</v>
      </c>
      <c r="F290" s="98">
        <v>189.2</v>
      </c>
      <c r="G290" s="98">
        <v>143</v>
      </c>
      <c r="H290" s="98">
        <v>106.7</v>
      </c>
      <c r="I290" s="98">
        <v>129.69999999999999</v>
      </c>
      <c r="J290" s="98">
        <v>184</v>
      </c>
      <c r="K290" s="209">
        <v>107.59999999999991</v>
      </c>
      <c r="L290" s="209">
        <v>116.59999999999991</v>
      </c>
      <c r="M290" s="209">
        <v>148.80000000000018</v>
      </c>
      <c r="N290" s="98"/>
      <c r="O290" s="98"/>
      <c r="P290" s="98"/>
      <c r="Q290" s="208">
        <v>97.599999999999909</v>
      </c>
      <c r="R290" s="98">
        <v>127.19999999999987</v>
      </c>
      <c r="S290" s="98">
        <v>133.59999999999991</v>
      </c>
      <c r="T290" s="98">
        <v>188.00000000000023</v>
      </c>
      <c r="U290" s="98">
        <v>97.599999999999909</v>
      </c>
      <c r="V290" s="98">
        <v>450</v>
      </c>
      <c r="W290" s="98">
        <v>535.99999999999909</v>
      </c>
      <c r="X290" s="98"/>
      <c r="Y290" s="98"/>
      <c r="Z290" s="98"/>
      <c r="AA290" s="230"/>
      <c r="AB290" s="230"/>
    </row>
    <row r="291" spans="2:28">
      <c r="B291" s="98">
        <v>321</v>
      </c>
      <c r="C291" s="98">
        <v>106.3</v>
      </c>
      <c r="D291" s="98">
        <v>584.9</v>
      </c>
      <c r="E291" s="98">
        <v>178.8</v>
      </c>
      <c r="F291" s="98">
        <v>189</v>
      </c>
      <c r="G291" s="98">
        <v>142.9</v>
      </c>
      <c r="H291" s="98">
        <v>106.6</v>
      </c>
      <c r="I291" s="98">
        <v>129.6</v>
      </c>
      <c r="J291" s="98">
        <v>183.8</v>
      </c>
      <c r="K291" s="208">
        <v>107.4799999999999</v>
      </c>
      <c r="L291" s="208">
        <v>116.4799999999999</v>
      </c>
      <c r="M291" s="208">
        <v>148.54000000000019</v>
      </c>
      <c r="N291" s="98"/>
      <c r="O291" s="98"/>
      <c r="P291" s="98"/>
      <c r="Q291" s="208">
        <v>97.479999999999905</v>
      </c>
      <c r="R291" s="98">
        <v>126.95999999999988</v>
      </c>
      <c r="S291" s="98">
        <v>133.4799999999999</v>
      </c>
      <c r="T291" s="98">
        <v>187.80000000000024</v>
      </c>
      <c r="U291" s="98">
        <v>97.479999999999905</v>
      </c>
      <c r="V291" s="98">
        <v>449.5</v>
      </c>
      <c r="W291" s="98">
        <v>535.79999999999905</v>
      </c>
      <c r="X291" s="98"/>
      <c r="Y291" s="98"/>
      <c r="Z291" s="98"/>
      <c r="AA291" s="230"/>
      <c r="AB291" s="230"/>
    </row>
    <row r="292" spans="2:28">
      <c r="B292" s="98">
        <v>322</v>
      </c>
      <c r="C292" s="98">
        <v>106.2</v>
      </c>
      <c r="D292" s="98">
        <v>584.4</v>
      </c>
      <c r="E292" s="98">
        <v>178.6</v>
      </c>
      <c r="F292" s="98">
        <v>188.7</v>
      </c>
      <c r="G292" s="98">
        <v>142.80000000000001</v>
      </c>
      <c r="H292" s="98">
        <v>106.6</v>
      </c>
      <c r="I292" s="98">
        <v>129.6</v>
      </c>
      <c r="J292" s="98">
        <v>183.6</v>
      </c>
      <c r="K292" s="209">
        <v>107.3599999999999</v>
      </c>
      <c r="L292" s="209">
        <v>116.3599999999999</v>
      </c>
      <c r="M292" s="209">
        <v>148.2800000000002</v>
      </c>
      <c r="N292" s="98"/>
      <c r="O292" s="98"/>
      <c r="P292" s="98"/>
      <c r="Q292" s="208">
        <v>97.3599999999999</v>
      </c>
      <c r="R292" s="98">
        <v>126.71999999999989</v>
      </c>
      <c r="S292" s="98">
        <v>133.3599999999999</v>
      </c>
      <c r="T292" s="98">
        <v>187.60000000000025</v>
      </c>
      <c r="U292" s="98">
        <v>97.3599999999999</v>
      </c>
      <c r="V292" s="98">
        <v>449</v>
      </c>
      <c r="W292" s="98">
        <v>535.599999999999</v>
      </c>
      <c r="X292" s="98"/>
      <c r="Y292" s="98"/>
      <c r="Z292" s="98"/>
      <c r="AA292" s="230"/>
      <c r="AB292" s="230"/>
    </row>
    <row r="293" spans="2:28">
      <c r="B293" s="98">
        <v>323</v>
      </c>
      <c r="C293" s="98">
        <v>106.2</v>
      </c>
      <c r="D293" s="98">
        <v>584</v>
      </c>
      <c r="E293" s="98">
        <v>178.4</v>
      </c>
      <c r="F293" s="98">
        <v>188.5</v>
      </c>
      <c r="G293" s="98">
        <v>142.69999999999999</v>
      </c>
      <c r="H293" s="98">
        <v>106.5</v>
      </c>
      <c r="I293" s="98">
        <v>129.5</v>
      </c>
      <c r="J293" s="98">
        <v>183.4</v>
      </c>
      <c r="K293" s="208">
        <v>107.2399999999999</v>
      </c>
      <c r="L293" s="208">
        <v>116.2399999999999</v>
      </c>
      <c r="M293" s="208">
        <v>148.02000000000021</v>
      </c>
      <c r="N293" s="98"/>
      <c r="O293" s="98"/>
      <c r="P293" s="98"/>
      <c r="Q293" s="208">
        <v>97.239999999999895</v>
      </c>
      <c r="R293" s="98">
        <v>126.47999999999989</v>
      </c>
      <c r="S293" s="98">
        <v>133.2399999999999</v>
      </c>
      <c r="T293" s="98">
        <v>187.40000000000026</v>
      </c>
      <c r="U293" s="98">
        <v>97.239999999999895</v>
      </c>
      <c r="V293" s="98">
        <v>448.5</v>
      </c>
      <c r="W293" s="98">
        <v>535.39999999999895</v>
      </c>
      <c r="X293" s="98"/>
      <c r="Y293" s="98"/>
      <c r="Z293" s="98"/>
      <c r="AA293" s="230"/>
      <c r="AB293" s="230"/>
    </row>
    <row r="294" spans="2:28">
      <c r="B294" s="98">
        <v>324</v>
      </c>
      <c r="C294" s="98">
        <v>106.1</v>
      </c>
      <c r="D294" s="98">
        <v>583.5</v>
      </c>
      <c r="E294" s="98">
        <v>178.2</v>
      </c>
      <c r="F294" s="98">
        <v>188.2</v>
      </c>
      <c r="G294" s="98">
        <v>142.6</v>
      </c>
      <c r="H294" s="98">
        <v>106.4</v>
      </c>
      <c r="I294" s="98">
        <v>129.4</v>
      </c>
      <c r="J294" s="98">
        <v>183.2</v>
      </c>
      <c r="K294" s="209">
        <v>107.11999999999989</v>
      </c>
      <c r="L294" s="209">
        <v>116.11999999999989</v>
      </c>
      <c r="M294" s="209">
        <v>147.76000000000022</v>
      </c>
      <c r="N294" s="98"/>
      <c r="O294" s="98"/>
      <c r="P294" s="98"/>
      <c r="Q294" s="208">
        <v>97.119999999999891</v>
      </c>
      <c r="R294" s="98">
        <v>126.2399999999999</v>
      </c>
      <c r="S294" s="98">
        <v>133.11999999999989</v>
      </c>
      <c r="T294" s="98">
        <v>187.20000000000027</v>
      </c>
      <c r="U294" s="98">
        <v>97.119999999999891</v>
      </c>
      <c r="V294" s="98">
        <v>448</v>
      </c>
      <c r="W294" s="98">
        <v>535.19999999999891</v>
      </c>
      <c r="X294" s="98"/>
      <c r="Y294" s="98"/>
      <c r="Z294" s="98"/>
      <c r="AA294" s="230"/>
      <c r="AB294" s="230"/>
    </row>
    <row r="295" spans="2:28">
      <c r="B295" s="98">
        <v>325</v>
      </c>
      <c r="C295" s="98">
        <v>106</v>
      </c>
      <c r="D295" s="98">
        <v>583</v>
      </c>
      <c r="E295" s="98">
        <v>178</v>
      </c>
      <c r="F295" s="98">
        <v>188</v>
      </c>
      <c r="G295" s="98">
        <v>142.5</v>
      </c>
      <c r="H295" s="98">
        <v>106.3</v>
      </c>
      <c r="I295" s="98">
        <v>129.30000000000001</v>
      </c>
      <c r="J295" s="98">
        <v>183</v>
      </c>
      <c r="K295" s="208">
        <v>106.99999999999989</v>
      </c>
      <c r="L295" s="208">
        <v>115.99999999999989</v>
      </c>
      <c r="M295" s="208">
        <v>147.50000000000023</v>
      </c>
      <c r="N295" s="98"/>
      <c r="O295" s="98"/>
      <c r="P295" s="98"/>
      <c r="Q295" s="208">
        <v>96.999999999999886</v>
      </c>
      <c r="R295" s="98">
        <v>125.9999999999999</v>
      </c>
      <c r="S295" s="98">
        <v>132.99999999999989</v>
      </c>
      <c r="T295" s="98">
        <v>187.00000000000028</v>
      </c>
      <c r="U295" s="98">
        <v>96.999999999999886</v>
      </c>
      <c r="V295" s="98">
        <v>447.5</v>
      </c>
      <c r="W295" s="98">
        <v>534.99999999999886</v>
      </c>
      <c r="X295" s="98"/>
      <c r="Y295" s="98"/>
      <c r="Z295" s="98"/>
      <c r="AA295" s="230"/>
      <c r="AB295" s="230"/>
    </row>
    <row r="296" spans="2:28">
      <c r="B296" s="98">
        <v>326</v>
      </c>
      <c r="C296" s="98">
        <v>105.9</v>
      </c>
      <c r="D296" s="98">
        <v>582.4</v>
      </c>
      <c r="E296" s="98">
        <v>177.9</v>
      </c>
      <c r="F296" s="98">
        <v>187.8</v>
      </c>
      <c r="G296" s="98">
        <v>142.4</v>
      </c>
      <c r="H296" s="98">
        <v>106.3</v>
      </c>
      <c r="I296" s="98">
        <v>129.30000000000001</v>
      </c>
      <c r="J296" s="98">
        <v>182.8</v>
      </c>
      <c r="K296" s="209">
        <v>106.87999999999988</v>
      </c>
      <c r="L296" s="209">
        <v>115.87999999999988</v>
      </c>
      <c r="M296" s="209">
        <v>147.24000000000024</v>
      </c>
      <c r="N296" s="98"/>
      <c r="O296" s="98"/>
      <c r="P296" s="98"/>
      <c r="Q296" s="208">
        <v>96.879999999999882</v>
      </c>
      <c r="R296" s="98">
        <v>125.75999999999991</v>
      </c>
      <c r="S296" s="98">
        <v>132.87999999999988</v>
      </c>
      <c r="T296" s="98">
        <v>186.8000000000003</v>
      </c>
      <c r="U296" s="98">
        <v>96.879999999999882</v>
      </c>
      <c r="V296" s="98">
        <v>447</v>
      </c>
      <c r="W296" s="98">
        <v>534.79999999999882</v>
      </c>
      <c r="X296" s="98"/>
      <c r="Y296" s="98"/>
      <c r="Z296" s="98"/>
      <c r="AA296" s="230"/>
      <c r="AB296" s="230"/>
    </row>
    <row r="297" spans="2:28">
      <c r="B297" s="98">
        <v>327</v>
      </c>
      <c r="C297" s="98">
        <v>105.8</v>
      </c>
      <c r="D297" s="98">
        <v>581.79999999999995</v>
      </c>
      <c r="E297" s="98">
        <v>177.8</v>
      </c>
      <c r="F297" s="98">
        <v>187.6</v>
      </c>
      <c r="G297" s="98">
        <v>142.30000000000001</v>
      </c>
      <c r="H297" s="98">
        <v>106.2</v>
      </c>
      <c r="I297" s="98">
        <v>129.19999999999999</v>
      </c>
      <c r="J297" s="98">
        <v>182.5</v>
      </c>
      <c r="K297" s="208">
        <v>106.75999999999988</v>
      </c>
      <c r="L297" s="208">
        <v>115.75999999999988</v>
      </c>
      <c r="M297" s="208">
        <v>146.98000000000025</v>
      </c>
      <c r="N297" s="98"/>
      <c r="O297" s="98"/>
      <c r="P297" s="98"/>
      <c r="Q297" s="208">
        <v>96.759999999999877</v>
      </c>
      <c r="R297" s="98">
        <v>125.51999999999991</v>
      </c>
      <c r="S297" s="98">
        <v>132.75999999999988</v>
      </c>
      <c r="T297" s="98">
        <v>186.60000000000031</v>
      </c>
      <c r="U297" s="98">
        <v>96.759999999999877</v>
      </c>
      <c r="V297" s="98">
        <v>446.5</v>
      </c>
      <c r="W297" s="98">
        <v>534.59999999999877</v>
      </c>
      <c r="X297" s="98"/>
      <c r="Y297" s="98"/>
      <c r="Z297" s="98"/>
      <c r="AA297" s="230"/>
      <c r="AB297" s="230"/>
    </row>
    <row r="298" spans="2:28">
      <c r="B298" s="98">
        <v>328</v>
      </c>
      <c r="C298" s="98">
        <v>105.8</v>
      </c>
      <c r="D298" s="98">
        <v>581.20000000000005</v>
      </c>
      <c r="E298" s="98">
        <v>177.6</v>
      </c>
      <c r="F298" s="98">
        <v>187.4</v>
      </c>
      <c r="G298" s="98">
        <v>142.19999999999999</v>
      </c>
      <c r="H298" s="98">
        <v>106.1</v>
      </c>
      <c r="I298" s="98">
        <v>129.1</v>
      </c>
      <c r="J298" s="98">
        <v>182.3</v>
      </c>
      <c r="K298" s="209">
        <v>106.63999999999987</v>
      </c>
      <c r="L298" s="209">
        <v>115.63999999999987</v>
      </c>
      <c r="M298" s="209">
        <v>146.72000000000025</v>
      </c>
      <c r="N298" s="98"/>
      <c r="O298" s="98"/>
      <c r="P298" s="98"/>
      <c r="Q298" s="208">
        <v>96.639999999999873</v>
      </c>
      <c r="R298" s="98">
        <v>125.27999999999992</v>
      </c>
      <c r="S298" s="98">
        <v>132.63999999999987</v>
      </c>
      <c r="T298" s="98">
        <v>186.40000000000032</v>
      </c>
      <c r="U298" s="98">
        <v>96.639999999999873</v>
      </c>
      <c r="V298" s="98">
        <v>446</v>
      </c>
      <c r="W298" s="98">
        <v>534.39999999999873</v>
      </c>
      <c r="X298" s="98"/>
      <c r="Y298" s="98"/>
      <c r="Z298" s="98"/>
      <c r="AA298" s="230"/>
      <c r="AB298" s="230"/>
    </row>
    <row r="299" spans="2:28">
      <c r="B299" s="98">
        <v>329</v>
      </c>
      <c r="C299" s="98">
        <v>105.7</v>
      </c>
      <c r="D299" s="98">
        <v>580.6</v>
      </c>
      <c r="E299" s="98">
        <v>177.5</v>
      </c>
      <c r="F299" s="98">
        <v>187.2</v>
      </c>
      <c r="G299" s="98">
        <v>142.1</v>
      </c>
      <c r="H299" s="98">
        <v>106</v>
      </c>
      <c r="I299" s="98">
        <v>129</v>
      </c>
      <c r="J299" s="98">
        <v>182</v>
      </c>
      <c r="K299" s="208">
        <v>106.51999999999987</v>
      </c>
      <c r="L299" s="208">
        <v>115.51999999999987</v>
      </c>
      <c r="M299" s="208">
        <v>146.46000000000026</v>
      </c>
      <c r="N299" s="98"/>
      <c r="O299" s="98"/>
      <c r="P299" s="98"/>
      <c r="Q299" s="208">
        <v>96.519999999999868</v>
      </c>
      <c r="R299" s="98">
        <v>125.03999999999992</v>
      </c>
      <c r="S299" s="98">
        <v>132.51999999999987</v>
      </c>
      <c r="T299" s="98">
        <v>186.20000000000033</v>
      </c>
      <c r="U299" s="98">
        <v>96.519999999999868</v>
      </c>
      <c r="V299" s="98">
        <v>445.5</v>
      </c>
      <c r="W299" s="98">
        <v>534.19999999999868</v>
      </c>
      <c r="X299" s="98"/>
      <c r="Y299" s="98"/>
      <c r="Z299" s="98"/>
      <c r="AA299" s="230"/>
      <c r="AB299" s="230"/>
    </row>
    <row r="300" spans="2:28">
      <c r="B300" s="98">
        <v>330</v>
      </c>
      <c r="C300" s="98">
        <v>105.6</v>
      </c>
      <c r="D300" s="98">
        <v>580</v>
      </c>
      <c r="E300" s="98">
        <v>177.4</v>
      </c>
      <c r="F300" s="98">
        <v>187</v>
      </c>
      <c r="G300" s="98">
        <v>142</v>
      </c>
      <c r="H300" s="98">
        <v>106</v>
      </c>
      <c r="I300" s="98">
        <v>129</v>
      </c>
      <c r="J300" s="98">
        <v>181.8</v>
      </c>
      <c r="K300" s="209">
        <v>106.39999999999986</v>
      </c>
      <c r="L300" s="209">
        <v>115.39999999999986</v>
      </c>
      <c r="M300" s="209">
        <v>146.20000000000027</v>
      </c>
      <c r="N300" s="98"/>
      <c r="O300" s="98"/>
      <c r="P300" s="98"/>
      <c r="Q300" s="208">
        <v>96.399999999999864</v>
      </c>
      <c r="R300" s="98">
        <v>124.79999999999993</v>
      </c>
      <c r="S300" s="98">
        <v>132.39999999999986</v>
      </c>
      <c r="T300" s="98">
        <v>186.00000000000034</v>
      </c>
      <c r="U300" s="98">
        <v>96.399999999999864</v>
      </c>
      <c r="V300" s="98">
        <v>445</v>
      </c>
      <c r="W300" s="98">
        <v>533.99999999999864</v>
      </c>
      <c r="X300" s="98"/>
      <c r="Y300" s="98"/>
      <c r="Z300" s="98"/>
      <c r="AA300" s="230"/>
      <c r="AB300" s="230"/>
    </row>
    <row r="301" spans="2:28">
      <c r="B301" s="98">
        <v>331</v>
      </c>
      <c r="C301" s="98">
        <v>105.5</v>
      </c>
      <c r="D301" s="98">
        <v>579.4</v>
      </c>
      <c r="E301" s="98">
        <v>177.3</v>
      </c>
      <c r="F301" s="98">
        <v>186.8</v>
      </c>
      <c r="G301" s="98">
        <v>141.9</v>
      </c>
      <c r="H301" s="98">
        <v>105.9</v>
      </c>
      <c r="I301" s="98">
        <v>128.9</v>
      </c>
      <c r="J301" s="98">
        <v>181.6</v>
      </c>
      <c r="K301" s="208">
        <v>106.27999999999986</v>
      </c>
      <c r="L301" s="208">
        <v>115.27999999999986</v>
      </c>
      <c r="M301" s="208">
        <v>145.94000000000028</v>
      </c>
      <c r="N301" s="98"/>
      <c r="O301" s="98"/>
      <c r="P301" s="98"/>
      <c r="Q301" s="208">
        <v>96.279999999999859</v>
      </c>
      <c r="R301" s="98">
        <v>124.55999999999993</v>
      </c>
      <c r="S301" s="98">
        <v>132.27999999999986</v>
      </c>
      <c r="T301" s="98">
        <v>185.80000000000035</v>
      </c>
      <c r="U301" s="98">
        <v>96.279999999999859</v>
      </c>
      <c r="V301" s="98">
        <v>444.5</v>
      </c>
      <c r="W301" s="98">
        <v>533.79999999999859</v>
      </c>
      <c r="X301" s="98"/>
      <c r="Y301" s="98"/>
      <c r="Z301" s="98"/>
      <c r="AA301" s="230"/>
      <c r="AB301" s="230"/>
    </row>
    <row r="302" spans="2:28">
      <c r="B302" s="98">
        <v>332</v>
      </c>
      <c r="C302" s="98">
        <v>105.4</v>
      </c>
      <c r="D302" s="98">
        <v>578.79999999999995</v>
      </c>
      <c r="E302" s="98">
        <v>177.2</v>
      </c>
      <c r="F302" s="98">
        <v>186.6</v>
      </c>
      <c r="G302" s="98">
        <v>141.80000000000001</v>
      </c>
      <c r="H302" s="98">
        <v>105.8</v>
      </c>
      <c r="I302" s="98">
        <v>128.80000000000001</v>
      </c>
      <c r="J302" s="98">
        <v>181.3</v>
      </c>
      <c r="K302" s="209">
        <v>106.15999999999985</v>
      </c>
      <c r="L302" s="209">
        <v>115.15999999999985</v>
      </c>
      <c r="M302" s="209">
        <v>145.68000000000029</v>
      </c>
      <c r="N302" s="98"/>
      <c r="O302" s="98"/>
      <c r="P302" s="98"/>
      <c r="Q302" s="208">
        <v>96.159999999999854</v>
      </c>
      <c r="R302" s="98">
        <v>124.31999999999994</v>
      </c>
      <c r="S302" s="98">
        <v>132.15999999999985</v>
      </c>
      <c r="T302" s="98">
        <v>185.60000000000036</v>
      </c>
      <c r="U302" s="98">
        <v>96.159999999999854</v>
      </c>
      <c r="V302" s="98">
        <v>444</v>
      </c>
      <c r="W302" s="98">
        <v>533.59999999999854</v>
      </c>
      <c r="X302" s="98"/>
      <c r="Y302" s="98"/>
      <c r="Z302" s="98"/>
      <c r="AA302" s="230"/>
      <c r="AB302" s="230"/>
    </row>
    <row r="303" spans="2:28">
      <c r="B303" s="98">
        <v>333</v>
      </c>
      <c r="C303" s="98">
        <v>105.4</v>
      </c>
      <c r="D303" s="98">
        <v>578.20000000000005</v>
      </c>
      <c r="E303" s="98">
        <v>177</v>
      </c>
      <c r="F303" s="98">
        <v>186.4</v>
      </c>
      <c r="G303" s="98">
        <v>141.69999999999999</v>
      </c>
      <c r="H303" s="98">
        <v>105.7</v>
      </c>
      <c r="I303" s="98">
        <v>128.69999999999999</v>
      </c>
      <c r="J303" s="98">
        <v>181.1</v>
      </c>
      <c r="K303" s="208">
        <v>106.03999999999985</v>
      </c>
      <c r="L303" s="208">
        <v>115.03999999999985</v>
      </c>
      <c r="M303" s="208">
        <v>145.4200000000003</v>
      </c>
      <c r="N303" s="98"/>
      <c r="O303" s="98"/>
      <c r="P303" s="98"/>
      <c r="Q303" s="208">
        <v>96.03999999999985</v>
      </c>
      <c r="R303" s="98">
        <v>124.07999999999994</v>
      </c>
      <c r="S303" s="98">
        <v>132.03999999999985</v>
      </c>
      <c r="T303" s="98">
        <v>185.40000000000038</v>
      </c>
      <c r="U303" s="98">
        <v>96.03999999999985</v>
      </c>
      <c r="V303" s="98">
        <v>443.5</v>
      </c>
      <c r="W303" s="98">
        <v>533.3999999999985</v>
      </c>
      <c r="X303" s="98"/>
      <c r="Y303" s="98"/>
      <c r="Z303" s="98"/>
      <c r="AA303" s="230"/>
      <c r="AB303" s="230"/>
    </row>
    <row r="304" spans="2:28">
      <c r="B304" s="98">
        <v>334</v>
      </c>
      <c r="C304" s="98">
        <v>105.3</v>
      </c>
      <c r="D304" s="98">
        <v>577.6</v>
      </c>
      <c r="E304" s="98">
        <v>176.9</v>
      </c>
      <c r="F304" s="98">
        <v>186.2</v>
      </c>
      <c r="G304" s="98">
        <v>141.6</v>
      </c>
      <c r="H304" s="98">
        <v>105.7</v>
      </c>
      <c r="I304" s="98">
        <v>128.69999999999999</v>
      </c>
      <c r="J304" s="98">
        <v>180.8</v>
      </c>
      <c r="K304" s="209">
        <v>105.91999999999985</v>
      </c>
      <c r="L304" s="209">
        <v>114.91999999999985</v>
      </c>
      <c r="M304" s="209">
        <v>145.16000000000031</v>
      </c>
      <c r="N304" s="98"/>
      <c r="O304" s="98"/>
      <c r="P304" s="98"/>
      <c r="Q304" s="208">
        <v>95.919999999999845</v>
      </c>
      <c r="R304" s="98">
        <v>123.83999999999995</v>
      </c>
      <c r="S304" s="98">
        <v>131.91999999999985</v>
      </c>
      <c r="T304" s="98">
        <v>185.20000000000039</v>
      </c>
      <c r="U304" s="98">
        <v>95.919999999999845</v>
      </c>
      <c r="V304" s="98">
        <v>443</v>
      </c>
      <c r="W304" s="98">
        <v>533.19999999999845</v>
      </c>
      <c r="X304" s="98"/>
      <c r="Y304" s="98"/>
      <c r="Z304" s="98"/>
      <c r="AA304" s="230"/>
      <c r="AB304" s="230"/>
    </row>
    <row r="305" spans="2:28">
      <c r="B305" s="98">
        <v>335</v>
      </c>
      <c r="C305" s="98">
        <v>105.2</v>
      </c>
      <c r="D305" s="98">
        <v>577</v>
      </c>
      <c r="E305" s="98">
        <v>176.8</v>
      </c>
      <c r="F305" s="98">
        <v>186</v>
      </c>
      <c r="G305" s="98">
        <v>141.5</v>
      </c>
      <c r="H305" s="98">
        <v>105.6</v>
      </c>
      <c r="I305" s="98">
        <v>128.6</v>
      </c>
      <c r="J305" s="98">
        <v>180.6</v>
      </c>
      <c r="K305" s="208">
        <v>105.79999999999984</v>
      </c>
      <c r="L305" s="208">
        <v>114.79999999999984</v>
      </c>
      <c r="M305" s="208">
        <v>144.90000000000032</v>
      </c>
      <c r="N305" s="98"/>
      <c r="O305" s="98"/>
      <c r="P305" s="98"/>
      <c r="Q305" s="208">
        <v>95.799999999999841</v>
      </c>
      <c r="R305" s="98">
        <v>123.59999999999995</v>
      </c>
      <c r="S305" s="98">
        <v>131.79999999999984</v>
      </c>
      <c r="T305" s="98">
        <v>185.0000000000004</v>
      </c>
      <c r="U305" s="98">
        <v>95.799999999999841</v>
      </c>
      <c r="V305" s="98">
        <v>442.5</v>
      </c>
      <c r="W305" s="98">
        <v>532.99999999999841</v>
      </c>
      <c r="X305" s="98"/>
      <c r="Y305" s="98"/>
      <c r="Z305" s="98"/>
      <c r="AA305" s="230"/>
      <c r="AB305" s="230"/>
    </row>
    <row r="306" spans="2:28">
      <c r="B306" s="98">
        <v>336</v>
      </c>
      <c r="C306" s="98">
        <v>105.1</v>
      </c>
      <c r="D306" s="98">
        <v>576.4</v>
      </c>
      <c r="E306" s="98">
        <v>176.7</v>
      </c>
      <c r="F306" s="98">
        <v>185.8</v>
      </c>
      <c r="G306" s="98">
        <v>141.4</v>
      </c>
      <c r="H306" s="98">
        <v>105.5</v>
      </c>
      <c r="I306" s="98">
        <v>128.5</v>
      </c>
      <c r="J306" s="98">
        <v>180.4</v>
      </c>
      <c r="K306" s="209">
        <v>105.67999999999984</v>
      </c>
      <c r="L306" s="209">
        <v>114.67999999999984</v>
      </c>
      <c r="M306" s="209">
        <v>144.64000000000033</v>
      </c>
      <c r="N306" s="98"/>
      <c r="O306" s="98"/>
      <c r="P306" s="98"/>
      <c r="Q306" s="208">
        <v>95.679999999999836</v>
      </c>
      <c r="R306" s="98">
        <v>123.35999999999996</v>
      </c>
      <c r="S306" s="98">
        <v>131.67999999999984</v>
      </c>
      <c r="T306" s="98">
        <v>184.80000000000041</v>
      </c>
      <c r="U306" s="98">
        <v>95.679999999999836</v>
      </c>
      <c r="V306" s="98">
        <v>442</v>
      </c>
      <c r="W306" s="98">
        <v>532.79999999999836</v>
      </c>
      <c r="X306" s="98"/>
      <c r="Y306" s="98"/>
      <c r="Z306" s="98"/>
      <c r="AA306" s="230"/>
      <c r="AB306" s="230"/>
    </row>
    <row r="307" spans="2:28">
      <c r="B307" s="98">
        <v>337</v>
      </c>
      <c r="C307" s="98">
        <v>105</v>
      </c>
      <c r="D307" s="98">
        <v>575.79999999999995</v>
      </c>
      <c r="E307" s="98">
        <v>176.6</v>
      </c>
      <c r="F307" s="98">
        <v>185.6</v>
      </c>
      <c r="G307" s="98">
        <v>141.30000000000001</v>
      </c>
      <c r="H307" s="98">
        <v>105.4</v>
      </c>
      <c r="I307" s="98">
        <v>128.4</v>
      </c>
      <c r="J307" s="98">
        <v>180.1</v>
      </c>
      <c r="K307" s="208">
        <v>105.55999999999983</v>
      </c>
      <c r="L307" s="208">
        <v>114.55999999999983</v>
      </c>
      <c r="M307" s="208">
        <v>144.38000000000034</v>
      </c>
      <c r="N307" s="98"/>
      <c r="O307" s="98"/>
      <c r="P307" s="98"/>
      <c r="Q307" s="208">
        <v>95.559999999999832</v>
      </c>
      <c r="R307" s="98">
        <v>123.11999999999996</v>
      </c>
      <c r="S307" s="98">
        <v>131.55999999999983</v>
      </c>
      <c r="T307" s="98">
        <v>184.60000000000042</v>
      </c>
      <c r="U307" s="98">
        <v>95.559999999999832</v>
      </c>
      <c r="V307" s="98">
        <v>441.5</v>
      </c>
      <c r="W307" s="98">
        <v>532.59999999999832</v>
      </c>
      <c r="X307" s="98"/>
      <c r="Y307" s="98"/>
      <c r="Z307" s="98"/>
      <c r="AA307" s="230"/>
      <c r="AB307" s="230"/>
    </row>
    <row r="308" spans="2:28">
      <c r="B308" s="98">
        <v>338</v>
      </c>
      <c r="C308" s="98">
        <v>105</v>
      </c>
      <c r="D308" s="98">
        <v>575.20000000000005</v>
      </c>
      <c r="E308" s="98">
        <v>176.4</v>
      </c>
      <c r="F308" s="98">
        <v>185.4</v>
      </c>
      <c r="G308" s="98">
        <v>141.19999999999999</v>
      </c>
      <c r="H308" s="98">
        <v>105.4</v>
      </c>
      <c r="I308" s="98">
        <v>128.4</v>
      </c>
      <c r="J308" s="98">
        <v>179.9</v>
      </c>
      <c r="K308" s="209">
        <v>105.43999999999983</v>
      </c>
      <c r="L308" s="209">
        <v>114.43999999999983</v>
      </c>
      <c r="M308" s="209">
        <v>144.12000000000035</v>
      </c>
      <c r="N308" s="98"/>
      <c r="O308" s="98"/>
      <c r="P308" s="98"/>
      <c r="Q308" s="208">
        <v>95.439999999999827</v>
      </c>
      <c r="R308" s="98">
        <v>122.87999999999997</v>
      </c>
      <c r="S308" s="98">
        <v>131.43999999999983</v>
      </c>
      <c r="T308" s="98">
        <v>184.40000000000043</v>
      </c>
      <c r="U308" s="98">
        <v>95.439999999999827</v>
      </c>
      <c r="V308" s="98">
        <v>441</v>
      </c>
      <c r="W308" s="98">
        <v>532.39999999999827</v>
      </c>
      <c r="X308" s="98"/>
      <c r="Y308" s="98"/>
      <c r="Z308" s="98"/>
      <c r="AA308" s="230"/>
      <c r="AB308" s="230"/>
    </row>
    <row r="309" spans="2:28">
      <c r="B309" s="98">
        <v>339</v>
      </c>
      <c r="C309" s="98">
        <v>104.9</v>
      </c>
      <c r="D309" s="98">
        <v>574.6</v>
      </c>
      <c r="E309" s="98">
        <v>176.3</v>
      </c>
      <c r="F309" s="98">
        <v>185.2</v>
      </c>
      <c r="G309" s="98">
        <v>141.1</v>
      </c>
      <c r="H309" s="98">
        <v>105.3</v>
      </c>
      <c r="I309" s="98">
        <v>128.30000000000001</v>
      </c>
      <c r="J309" s="98">
        <v>179.6</v>
      </c>
      <c r="K309" s="208">
        <v>105.31999999999982</v>
      </c>
      <c r="L309" s="208">
        <v>114.31999999999982</v>
      </c>
      <c r="M309" s="208">
        <v>143.86000000000035</v>
      </c>
      <c r="N309" s="98"/>
      <c r="O309" s="98"/>
      <c r="P309" s="98"/>
      <c r="Q309" s="208">
        <v>95.319999999999823</v>
      </c>
      <c r="R309" s="98">
        <v>122.63999999999997</v>
      </c>
      <c r="S309" s="98">
        <v>131.31999999999982</v>
      </c>
      <c r="T309" s="98">
        <v>184.20000000000044</v>
      </c>
      <c r="U309" s="98">
        <v>95.319999999999823</v>
      </c>
      <c r="V309" s="98">
        <v>440.5</v>
      </c>
      <c r="W309" s="98">
        <v>532.19999999999823</v>
      </c>
      <c r="X309" s="98"/>
      <c r="Y309" s="98"/>
      <c r="Z309" s="98"/>
      <c r="AA309" s="230"/>
      <c r="AB309" s="230"/>
    </row>
    <row r="310" spans="2:28">
      <c r="B310" s="98">
        <v>340</v>
      </c>
      <c r="C310" s="98">
        <v>104.8</v>
      </c>
      <c r="D310" s="98">
        <v>574</v>
      </c>
      <c r="E310" s="98">
        <v>176.2</v>
      </c>
      <c r="F310" s="98">
        <v>185</v>
      </c>
      <c r="G310" s="98">
        <v>141</v>
      </c>
      <c r="H310" s="98">
        <v>105.2</v>
      </c>
      <c r="I310" s="98">
        <v>128.19999999999999</v>
      </c>
      <c r="J310" s="98">
        <v>179.4</v>
      </c>
      <c r="K310" s="209">
        <v>105.19999999999982</v>
      </c>
      <c r="L310" s="209">
        <v>114.19999999999982</v>
      </c>
      <c r="M310" s="209">
        <v>143.60000000000036</v>
      </c>
      <c r="N310" s="98"/>
      <c r="O310" s="98"/>
      <c r="P310" s="98"/>
      <c r="Q310" s="208">
        <v>95.199999999999818</v>
      </c>
      <c r="R310" s="98">
        <v>122.39999999999998</v>
      </c>
      <c r="S310" s="98">
        <v>131.19999999999982</v>
      </c>
      <c r="T310" s="98">
        <v>184.00000000000045</v>
      </c>
      <c r="U310" s="98">
        <v>95.199999999999818</v>
      </c>
      <c r="V310" s="98">
        <v>440</v>
      </c>
      <c r="W310" s="98">
        <v>531.99999999999818</v>
      </c>
      <c r="X310" s="98"/>
      <c r="Y310" s="98"/>
      <c r="Z310" s="98"/>
      <c r="AA310" s="230"/>
      <c r="AB310" s="230"/>
    </row>
    <row r="311" spans="2:28">
      <c r="B311" s="98">
        <v>341</v>
      </c>
      <c r="C311" s="98">
        <v>104.7</v>
      </c>
      <c r="D311" s="98">
        <v>573.4</v>
      </c>
      <c r="E311" s="98">
        <v>176.1</v>
      </c>
      <c r="F311" s="98">
        <v>184.8</v>
      </c>
      <c r="G311" s="98">
        <v>140.9</v>
      </c>
      <c r="H311" s="98">
        <v>105.1</v>
      </c>
      <c r="I311" s="98">
        <v>128.1</v>
      </c>
      <c r="J311" s="98">
        <v>179.2</v>
      </c>
      <c r="K311" s="208">
        <v>105.07999999999981</v>
      </c>
      <c r="L311" s="208">
        <v>114.07999999999981</v>
      </c>
      <c r="M311" s="208">
        <v>143.34000000000037</v>
      </c>
      <c r="N311" s="98"/>
      <c r="O311" s="98"/>
      <c r="P311" s="98"/>
      <c r="Q311" s="208">
        <v>95.079999999999814</v>
      </c>
      <c r="R311" s="98">
        <v>122.15999999999998</v>
      </c>
      <c r="S311" s="98">
        <v>131.07999999999981</v>
      </c>
      <c r="T311" s="98">
        <v>183.80000000000047</v>
      </c>
      <c r="U311" s="98">
        <v>95.079999999999814</v>
      </c>
      <c r="V311" s="98">
        <v>439.5</v>
      </c>
      <c r="W311" s="98">
        <v>531.79999999999814</v>
      </c>
      <c r="X311" s="98"/>
      <c r="Y311" s="98"/>
      <c r="Z311" s="98"/>
      <c r="AA311" s="230"/>
      <c r="AB311" s="230"/>
    </row>
    <row r="312" spans="2:28">
      <c r="B312" s="98">
        <v>342</v>
      </c>
      <c r="C312" s="98">
        <v>104.6</v>
      </c>
      <c r="D312" s="98">
        <v>572.79999999999995</v>
      </c>
      <c r="E312" s="98">
        <v>176</v>
      </c>
      <c r="F312" s="98">
        <v>184.6</v>
      </c>
      <c r="G312" s="98">
        <v>140.80000000000001</v>
      </c>
      <c r="H312" s="98">
        <v>105.1</v>
      </c>
      <c r="I312" s="98">
        <v>128.1</v>
      </c>
      <c r="J312" s="98">
        <v>178.9</v>
      </c>
      <c r="K312" s="209">
        <v>104.95999999999981</v>
      </c>
      <c r="L312" s="209">
        <v>113.95999999999981</v>
      </c>
      <c r="M312" s="209">
        <v>143.08000000000038</v>
      </c>
      <c r="N312" s="98"/>
      <c r="O312" s="98"/>
      <c r="P312" s="98"/>
      <c r="Q312" s="208">
        <v>94.959999999999809</v>
      </c>
      <c r="R312" s="98">
        <v>121.91999999999999</v>
      </c>
      <c r="S312" s="98">
        <v>130.95999999999981</v>
      </c>
      <c r="T312" s="98">
        <v>183.60000000000048</v>
      </c>
      <c r="U312" s="98">
        <v>94.959999999999809</v>
      </c>
      <c r="V312" s="98">
        <v>439</v>
      </c>
      <c r="W312" s="98">
        <v>531.59999999999809</v>
      </c>
      <c r="X312" s="98"/>
      <c r="Y312" s="98"/>
      <c r="Z312" s="98"/>
      <c r="AA312" s="230"/>
      <c r="AB312" s="230"/>
    </row>
    <row r="313" spans="2:28">
      <c r="B313" s="98">
        <v>343</v>
      </c>
      <c r="C313" s="98">
        <v>104.6</v>
      </c>
      <c r="D313" s="98">
        <v>572.20000000000005</v>
      </c>
      <c r="E313" s="98">
        <v>175.8</v>
      </c>
      <c r="F313" s="98">
        <v>184.4</v>
      </c>
      <c r="G313" s="98">
        <v>140.69999999999999</v>
      </c>
      <c r="H313" s="98">
        <v>105</v>
      </c>
      <c r="I313" s="98">
        <v>128</v>
      </c>
      <c r="J313" s="98">
        <v>178.7</v>
      </c>
      <c r="K313" s="208">
        <v>104.8399999999998</v>
      </c>
      <c r="L313" s="208">
        <v>113.8399999999998</v>
      </c>
      <c r="M313" s="208">
        <v>142.82000000000039</v>
      </c>
      <c r="N313" s="98"/>
      <c r="O313" s="98"/>
      <c r="P313" s="98"/>
      <c r="Q313" s="208">
        <v>94.839999999999804</v>
      </c>
      <c r="R313" s="98">
        <v>121.67999999999999</v>
      </c>
      <c r="S313" s="98">
        <v>130.8399999999998</v>
      </c>
      <c r="T313" s="98">
        <v>183.40000000000049</v>
      </c>
      <c r="U313" s="98">
        <v>94.839999999999804</v>
      </c>
      <c r="V313" s="98">
        <v>438.5</v>
      </c>
      <c r="W313" s="98">
        <v>531.39999999999804</v>
      </c>
      <c r="X313" s="98"/>
      <c r="Y313" s="98"/>
      <c r="Z313" s="98"/>
      <c r="AA313" s="230"/>
      <c r="AB313" s="230"/>
    </row>
    <row r="314" spans="2:28">
      <c r="B314" s="98">
        <v>344</v>
      </c>
      <c r="C314" s="98">
        <v>104.5</v>
      </c>
      <c r="D314" s="98">
        <v>571.6</v>
      </c>
      <c r="E314" s="98">
        <v>175.7</v>
      </c>
      <c r="F314" s="98">
        <v>184.2</v>
      </c>
      <c r="G314" s="98">
        <v>140.6</v>
      </c>
      <c r="H314" s="98">
        <v>104.9</v>
      </c>
      <c r="I314" s="98">
        <v>127.9</v>
      </c>
      <c r="J314" s="98">
        <v>178.4</v>
      </c>
      <c r="K314" s="209">
        <v>104.7199999999998</v>
      </c>
      <c r="L314" s="209">
        <v>113.7199999999998</v>
      </c>
      <c r="M314" s="209">
        <v>142.5600000000004</v>
      </c>
      <c r="N314" s="98"/>
      <c r="O314" s="98"/>
      <c r="P314" s="98"/>
      <c r="Q314" s="208">
        <v>94.7199999999998</v>
      </c>
      <c r="R314" s="98">
        <v>121.44</v>
      </c>
      <c r="S314" s="98">
        <v>130.7199999999998</v>
      </c>
      <c r="T314" s="98">
        <v>183.2000000000005</v>
      </c>
      <c r="U314" s="98">
        <v>94.7199999999998</v>
      </c>
      <c r="V314" s="98">
        <v>438</v>
      </c>
      <c r="W314" s="98">
        <v>531.199999999998</v>
      </c>
      <c r="X314" s="98"/>
      <c r="Y314" s="98"/>
      <c r="Z314" s="98"/>
      <c r="AA314" s="230"/>
      <c r="AB314" s="230"/>
    </row>
    <row r="315" spans="2:28">
      <c r="B315" s="98">
        <v>345</v>
      </c>
      <c r="C315" s="98">
        <v>104.4</v>
      </c>
      <c r="D315" s="98">
        <v>571</v>
      </c>
      <c r="E315" s="98">
        <v>175.6</v>
      </c>
      <c r="F315" s="98">
        <v>184</v>
      </c>
      <c r="G315" s="98">
        <v>140.5</v>
      </c>
      <c r="H315" s="98">
        <v>104.9</v>
      </c>
      <c r="I315" s="98">
        <v>127.8</v>
      </c>
      <c r="J315" s="98">
        <v>178.2</v>
      </c>
      <c r="K315" s="208">
        <v>104.5999999999998</v>
      </c>
      <c r="L315" s="208">
        <v>113.5999999999998</v>
      </c>
      <c r="M315" s="208">
        <v>142.30000000000041</v>
      </c>
      <c r="N315" s="98"/>
      <c r="O315" s="98"/>
      <c r="P315" s="98"/>
      <c r="Q315" s="208">
        <v>94.599999999999795</v>
      </c>
      <c r="R315" s="98">
        <v>121.2</v>
      </c>
      <c r="S315" s="98">
        <v>130.5999999999998</v>
      </c>
      <c r="T315" s="98">
        <v>183.00000000000051</v>
      </c>
      <c r="U315" s="98">
        <v>94.599999999999795</v>
      </c>
      <c r="V315" s="98">
        <v>437.5</v>
      </c>
      <c r="W315" s="98">
        <v>530.99999999999795</v>
      </c>
      <c r="X315" s="98"/>
      <c r="Y315" s="98"/>
      <c r="Z315" s="98"/>
      <c r="AA315" s="230"/>
      <c r="AB315" s="230"/>
    </row>
    <row r="316" spans="2:28">
      <c r="B316" s="98">
        <v>346</v>
      </c>
      <c r="C316" s="98">
        <v>104.3</v>
      </c>
      <c r="D316" s="98">
        <v>570.4</v>
      </c>
      <c r="E316" s="98">
        <v>175.5</v>
      </c>
      <c r="F316" s="98">
        <v>183.8</v>
      </c>
      <c r="G316" s="98">
        <v>140.4</v>
      </c>
      <c r="H316" s="98">
        <v>104.8</v>
      </c>
      <c r="I316" s="98">
        <v>127.7</v>
      </c>
      <c r="J316" s="98">
        <v>178</v>
      </c>
      <c r="K316" s="209">
        <v>104.47999999999979</v>
      </c>
      <c r="L316" s="209">
        <v>113.47999999999979</v>
      </c>
      <c r="M316" s="209">
        <v>142.04000000000042</v>
      </c>
      <c r="N316" s="98"/>
      <c r="O316" s="98"/>
      <c r="P316" s="98"/>
      <c r="Q316" s="208">
        <v>94.479999999999791</v>
      </c>
      <c r="R316" s="98">
        <v>120.96000000000001</v>
      </c>
      <c r="S316" s="98">
        <v>130.47999999999979</v>
      </c>
      <c r="T316" s="98">
        <v>182.80000000000052</v>
      </c>
      <c r="U316" s="98">
        <v>94.479999999999791</v>
      </c>
      <c r="V316" s="98">
        <v>437</v>
      </c>
      <c r="W316" s="98">
        <v>530.79999999999791</v>
      </c>
      <c r="X316" s="98"/>
      <c r="Y316" s="98"/>
      <c r="Z316" s="98"/>
      <c r="AA316" s="230"/>
      <c r="AB316" s="230"/>
    </row>
    <row r="317" spans="2:28">
      <c r="B317" s="98">
        <v>347</v>
      </c>
      <c r="C317" s="98">
        <v>104.2</v>
      </c>
      <c r="D317" s="98">
        <v>569.79999999999995</v>
      </c>
      <c r="E317" s="98">
        <v>175.4</v>
      </c>
      <c r="F317" s="98">
        <v>183.6</v>
      </c>
      <c r="G317" s="98">
        <v>140.30000000000001</v>
      </c>
      <c r="H317" s="98">
        <v>104.7</v>
      </c>
      <c r="I317" s="98">
        <v>127.6</v>
      </c>
      <c r="J317" s="98">
        <v>177.7</v>
      </c>
      <c r="K317" s="208">
        <v>104.35999999999979</v>
      </c>
      <c r="L317" s="208">
        <v>113.35999999999979</v>
      </c>
      <c r="M317" s="208">
        <v>141.78000000000043</v>
      </c>
      <c r="N317" s="98"/>
      <c r="O317" s="98"/>
      <c r="P317" s="98"/>
      <c r="Q317" s="208">
        <v>94.359999999999786</v>
      </c>
      <c r="R317" s="98">
        <v>120.72000000000001</v>
      </c>
      <c r="S317" s="98">
        <v>130.35999999999979</v>
      </c>
      <c r="T317" s="98">
        <v>182.60000000000053</v>
      </c>
      <c r="U317" s="98">
        <v>94.359999999999786</v>
      </c>
      <c r="V317" s="98">
        <v>436.5</v>
      </c>
      <c r="W317" s="98">
        <v>530.59999999999786</v>
      </c>
      <c r="X317" s="98"/>
      <c r="Y317" s="98"/>
      <c r="Z317" s="98"/>
      <c r="AA317" s="230"/>
      <c r="AB317" s="230"/>
    </row>
    <row r="318" spans="2:28">
      <c r="B318" s="98">
        <v>348</v>
      </c>
      <c r="C318" s="98">
        <v>104.2</v>
      </c>
      <c r="D318" s="98">
        <v>569.20000000000005</v>
      </c>
      <c r="E318" s="98">
        <v>175.2</v>
      </c>
      <c r="F318" s="98">
        <v>183.4</v>
      </c>
      <c r="G318" s="98">
        <v>140.19999999999999</v>
      </c>
      <c r="H318" s="98">
        <v>104.6</v>
      </c>
      <c r="I318" s="98">
        <v>127.5</v>
      </c>
      <c r="J318" s="98">
        <v>177.5</v>
      </c>
      <c r="K318" s="209">
        <v>104.23999999999978</v>
      </c>
      <c r="L318" s="209">
        <v>113.23999999999978</v>
      </c>
      <c r="M318" s="209">
        <v>141.52000000000044</v>
      </c>
      <c r="N318" s="98"/>
      <c r="O318" s="98"/>
      <c r="P318" s="98"/>
      <c r="Q318" s="208">
        <v>94.239999999999782</v>
      </c>
      <c r="R318" s="98">
        <v>120.48000000000002</v>
      </c>
      <c r="S318" s="98">
        <v>130.23999999999978</v>
      </c>
      <c r="T318" s="98">
        <v>182.40000000000055</v>
      </c>
      <c r="U318" s="98">
        <v>94.239999999999782</v>
      </c>
      <c r="V318" s="98">
        <v>436</v>
      </c>
      <c r="W318" s="98">
        <v>530.39999999999782</v>
      </c>
      <c r="X318" s="98"/>
      <c r="Y318" s="98"/>
      <c r="Z318" s="98"/>
      <c r="AA318" s="230"/>
      <c r="AB318" s="230"/>
    </row>
    <row r="319" spans="2:28">
      <c r="B319" s="98">
        <v>349</v>
      </c>
      <c r="C319" s="98">
        <v>104.1</v>
      </c>
      <c r="D319" s="98">
        <v>568.6</v>
      </c>
      <c r="E319" s="98">
        <v>175.1</v>
      </c>
      <c r="F319" s="98">
        <v>183.2</v>
      </c>
      <c r="G319" s="98">
        <v>140.1</v>
      </c>
      <c r="H319" s="98">
        <v>104.6</v>
      </c>
      <c r="I319" s="98">
        <v>127.4</v>
      </c>
      <c r="J319" s="98">
        <v>177.2</v>
      </c>
      <c r="K319" s="208">
        <v>104.11999999999978</v>
      </c>
      <c r="L319" s="208">
        <v>113.11999999999978</v>
      </c>
      <c r="M319" s="208">
        <v>141.26000000000045</v>
      </c>
      <c r="N319" s="98"/>
      <c r="O319" s="98"/>
      <c r="P319" s="98"/>
      <c r="Q319" s="208">
        <v>94.119999999999777</v>
      </c>
      <c r="R319" s="98">
        <v>120.24000000000002</v>
      </c>
      <c r="S319" s="98">
        <v>130.11999999999978</v>
      </c>
      <c r="T319" s="98">
        <v>182.20000000000056</v>
      </c>
      <c r="U319" s="98">
        <v>94.119999999999777</v>
      </c>
      <c r="V319" s="98">
        <v>435.5</v>
      </c>
      <c r="W319" s="98">
        <v>530.19999999999777</v>
      </c>
      <c r="X319" s="98"/>
      <c r="Y319" s="98"/>
      <c r="Z319" s="98"/>
      <c r="AA319" s="230"/>
      <c r="AB319" s="230"/>
    </row>
    <row r="320" spans="2:28">
      <c r="B320" s="98">
        <v>350</v>
      </c>
      <c r="C320" s="98">
        <v>104</v>
      </c>
      <c r="D320" s="98">
        <v>568</v>
      </c>
      <c r="E320" s="98">
        <v>175</v>
      </c>
      <c r="F320" s="98">
        <v>183</v>
      </c>
      <c r="G320" s="98">
        <v>140</v>
      </c>
      <c r="H320" s="98">
        <v>104.5</v>
      </c>
      <c r="I320" s="98">
        <v>127.2</v>
      </c>
      <c r="J320" s="98">
        <v>177</v>
      </c>
      <c r="K320" s="209">
        <v>104</v>
      </c>
      <c r="L320" s="209">
        <v>113</v>
      </c>
      <c r="M320" s="209">
        <v>141</v>
      </c>
      <c r="N320" s="98"/>
      <c r="O320" s="98"/>
      <c r="P320" s="98"/>
      <c r="Q320" s="209">
        <v>94</v>
      </c>
      <c r="R320" s="98">
        <v>120</v>
      </c>
      <c r="S320" s="98">
        <v>130</v>
      </c>
      <c r="T320" s="98">
        <v>182</v>
      </c>
      <c r="U320" s="98">
        <v>94</v>
      </c>
      <c r="V320" s="98">
        <v>435</v>
      </c>
      <c r="W320" s="98">
        <v>530</v>
      </c>
      <c r="X320" s="98"/>
      <c r="Y320" s="98"/>
      <c r="Z320" s="98"/>
      <c r="AA320" s="230">
        <v>518</v>
      </c>
      <c r="AB320" s="230"/>
    </row>
    <row r="321" spans="2:28">
      <c r="B321" s="98">
        <v>351</v>
      </c>
      <c r="C321" s="98">
        <v>104</v>
      </c>
      <c r="D321" s="98">
        <v>567.4</v>
      </c>
      <c r="E321" s="98">
        <v>174.9</v>
      </c>
      <c r="F321" s="98">
        <v>182.8</v>
      </c>
      <c r="G321" s="98">
        <v>139.9</v>
      </c>
      <c r="H321" s="98">
        <v>104.4</v>
      </c>
      <c r="I321" s="98">
        <v>127.1</v>
      </c>
      <c r="J321" s="98">
        <v>176.8</v>
      </c>
      <c r="K321" s="208">
        <v>103.88</v>
      </c>
      <c r="L321" s="208">
        <v>112.9</v>
      </c>
      <c r="M321" s="208">
        <v>140.86000000000001</v>
      </c>
      <c r="N321" s="98"/>
      <c r="O321" s="98"/>
      <c r="P321" s="98"/>
      <c r="Q321" s="208">
        <v>93.9</v>
      </c>
      <c r="R321" s="98">
        <v>119.84</v>
      </c>
      <c r="S321" s="98">
        <v>129.9</v>
      </c>
      <c r="T321" s="98">
        <v>181.84</v>
      </c>
      <c r="U321" s="98">
        <v>93.9</v>
      </c>
      <c r="V321" s="98">
        <v>434.5</v>
      </c>
      <c r="W321" s="98">
        <v>529.79999999999995</v>
      </c>
      <c r="X321" s="98"/>
      <c r="Y321" s="98"/>
      <c r="Z321" s="98"/>
      <c r="AA321" s="230"/>
      <c r="AB321" s="230"/>
    </row>
    <row r="322" spans="2:28">
      <c r="B322" s="98">
        <v>352</v>
      </c>
      <c r="C322" s="98">
        <v>103.9</v>
      </c>
      <c r="D322" s="98">
        <v>566.79999999999995</v>
      </c>
      <c r="E322" s="98">
        <v>174.8</v>
      </c>
      <c r="F322" s="98">
        <v>182.5</v>
      </c>
      <c r="G322" s="98">
        <v>139.80000000000001</v>
      </c>
      <c r="H322" s="98">
        <v>104.4</v>
      </c>
      <c r="I322" s="98">
        <v>127</v>
      </c>
      <c r="J322" s="98">
        <v>176.6</v>
      </c>
      <c r="K322" s="209">
        <v>103.75999999999999</v>
      </c>
      <c r="L322" s="209">
        <v>112.80000000000001</v>
      </c>
      <c r="M322" s="209">
        <v>140.72000000000003</v>
      </c>
      <c r="N322" s="98"/>
      <c r="O322" s="98"/>
      <c r="P322" s="98"/>
      <c r="Q322" s="208">
        <v>93.800000000000011</v>
      </c>
      <c r="R322" s="98">
        <v>119.68</v>
      </c>
      <c r="S322" s="98">
        <v>129.80000000000001</v>
      </c>
      <c r="T322" s="98">
        <v>181.68</v>
      </c>
      <c r="U322" s="98">
        <v>93.800000000000011</v>
      </c>
      <c r="V322" s="98">
        <v>434</v>
      </c>
      <c r="W322" s="98">
        <v>529.59999999999991</v>
      </c>
      <c r="X322" s="98"/>
      <c r="Y322" s="98"/>
      <c r="Z322" s="98"/>
      <c r="AA322" s="230"/>
      <c r="AB322" s="230"/>
    </row>
    <row r="323" spans="2:28">
      <c r="B323" s="98">
        <v>353</v>
      </c>
      <c r="C323" s="98">
        <v>103.9</v>
      </c>
      <c r="D323" s="98">
        <v>566.20000000000005</v>
      </c>
      <c r="E323" s="98">
        <v>174.8</v>
      </c>
      <c r="F323" s="98">
        <v>182.3</v>
      </c>
      <c r="G323" s="98">
        <v>139.69999999999999</v>
      </c>
      <c r="H323" s="98">
        <v>104.3</v>
      </c>
      <c r="I323" s="98">
        <v>126.9</v>
      </c>
      <c r="J323" s="98">
        <v>176.4</v>
      </c>
      <c r="K323" s="208">
        <v>103.63999999999999</v>
      </c>
      <c r="L323" s="208">
        <v>112.70000000000002</v>
      </c>
      <c r="M323" s="208">
        <v>140.58000000000004</v>
      </c>
      <c r="N323" s="98"/>
      <c r="O323" s="98"/>
      <c r="P323" s="98"/>
      <c r="Q323" s="208">
        <v>93.700000000000017</v>
      </c>
      <c r="R323" s="98">
        <v>119.52000000000001</v>
      </c>
      <c r="S323" s="98">
        <v>129.70000000000002</v>
      </c>
      <c r="T323" s="98">
        <v>181.52</v>
      </c>
      <c r="U323" s="98">
        <v>93.700000000000017</v>
      </c>
      <c r="V323" s="98">
        <v>433.5</v>
      </c>
      <c r="W323" s="98">
        <v>529.39999999999986</v>
      </c>
      <c r="X323" s="98"/>
      <c r="Y323" s="98"/>
      <c r="Z323" s="98"/>
      <c r="AA323" s="230"/>
      <c r="AB323" s="230"/>
    </row>
    <row r="324" spans="2:28">
      <c r="B324" s="98">
        <v>354</v>
      </c>
      <c r="C324" s="98">
        <v>103.8</v>
      </c>
      <c r="D324" s="98">
        <v>565.6</v>
      </c>
      <c r="E324" s="98">
        <v>174.7</v>
      </c>
      <c r="F324" s="98">
        <v>182</v>
      </c>
      <c r="G324" s="98">
        <v>139.6</v>
      </c>
      <c r="H324" s="98">
        <v>104.2</v>
      </c>
      <c r="I324" s="98">
        <v>126.8</v>
      </c>
      <c r="J324" s="98">
        <v>176.2</v>
      </c>
      <c r="K324" s="209">
        <v>103.51999999999998</v>
      </c>
      <c r="L324" s="209">
        <v>112.60000000000002</v>
      </c>
      <c r="M324" s="209">
        <v>140.44000000000005</v>
      </c>
      <c r="N324" s="98"/>
      <c r="O324" s="98"/>
      <c r="P324" s="98"/>
      <c r="Q324" s="208">
        <v>93.600000000000023</v>
      </c>
      <c r="R324" s="98">
        <v>119.36000000000001</v>
      </c>
      <c r="S324" s="98">
        <v>129.60000000000002</v>
      </c>
      <c r="T324" s="98">
        <v>181.36</v>
      </c>
      <c r="U324" s="98">
        <v>93.600000000000023</v>
      </c>
      <c r="V324" s="98">
        <v>433</v>
      </c>
      <c r="W324" s="98">
        <v>529.19999999999982</v>
      </c>
      <c r="X324" s="98"/>
      <c r="Y324" s="98"/>
      <c r="Z324" s="98"/>
      <c r="AA324" s="230"/>
      <c r="AB324" s="230"/>
    </row>
    <row r="325" spans="2:28">
      <c r="B325" s="98">
        <v>355</v>
      </c>
      <c r="C325" s="98">
        <v>103.8</v>
      </c>
      <c r="D325" s="98">
        <v>565</v>
      </c>
      <c r="E325" s="98">
        <v>174.6</v>
      </c>
      <c r="F325" s="98">
        <v>181.8</v>
      </c>
      <c r="G325" s="98">
        <v>139.5</v>
      </c>
      <c r="H325" s="98">
        <v>104.1</v>
      </c>
      <c r="I325" s="98">
        <v>126.7</v>
      </c>
      <c r="J325" s="98">
        <v>176</v>
      </c>
      <c r="K325" s="208">
        <v>103.39999999999998</v>
      </c>
      <c r="L325" s="208">
        <v>112.50000000000003</v>
      </c>
      <c r="M325" s="208">
        <v>140.30000000000007</v>
      </c>
      <c r="N325" s="98"/>
      <c r="O325" s="98"/>
      <c r="P325" s="98"/>
      <c r="Q325" s="208">
        <v>93.500000000000028</v>
      </c>
      <c r="R325" s="98">
        <v>119.20000000000002</v>
      </c>
      <c r="S325" s="98">
        <v>129.50000000000003</v>
      </c>
      <c r="T325" s="98">
        <v>181.20000000000002</v>
      </c>
      <c r="U325" s="98">
        <v>93.500000000000028</v>
      </c>
      <c r="V325" s="98">
        <v>432.5</v>
      </c>
      <c r="W325" s="98">
        <v>528.99999999999977</v>
      </c>
      <c r="X325" s="98"/>
      <c r="Y325" s="98"/>
      <c r="Z325" s="98"/>
      <c r="AA325" s="230"/>
      <c r="AB325" s="230"/>
    </row>
    <row r="326" spans="2:28">
      <c r="B326" s="98">
        <v>356</v>
      </c>
      <c r="C326" s="98">
        <v>103.8</v>
      </c>
      <c r="D326" s="98">
        <v>564.4</v>
      </c>
      <c r="E326" s="98">
        <v>174.5</v>
      </c>
      <c r="F326" s="98">
        <v>181.6</v>
      </c>
      <c r="G326" s="98">
        <v>139.4</v>
      </c>
      <c r="H326" s="98">
        <v>104.1</v>
      </c>
      <c r="I326" s="98">
        <v>126.6</v>
      </c>
      <c r="J326" s="98">
        <v>175.8</v>
      </c>
      <c r="K326" s="209">
        <v>103.27999999999997</v>
      </c>
      <c r="L326" s="209">
        <v>112.40000000000003</v>
      </c>
      <c r="M326" s="209">
        <v>140.16000000000008</v>
      </c>
      <c r="N326" s="98"/>
      <c r="O326" s="98"/>
      <c r="P326" s="98"/>
      <c r="Q326" s="208">
        <v>93.400000000000034</v>
      </c>
      <c r="R326" s="98">
        <v>119.04000000000002</v>
      </c>
      <c r="S326" s="98">
        <v>129.40000000000003</v>
      </c>
      <c r="T326" s="98">
        <v>181.04000000000002</v>
      </c>
      <c r="U326" s="98">
        <v>93.400000000000034</v>
      </c>
      <c r="V326" s="98">
        <v>432</v>
      </c>
      <c r="W326" s="98">
        <v>528.79999999999973</v>
      </c>
      <c r="X326" s="98"/>
      <c r="Y326" s="98"/>
      <c r="Z326" s="98"/>
      <c r="AA326" s="230"/>
      <c r="AB326" s="230"/>
    </row>
    <row r="327" spans="2:28">
      <c r="B327" s="98">
        <v>357</v>
      </c>
      <c r="C327" s="98">
        <v>103.7</v>
      </c>
      <c r="D327" s="98">
        <v>563.79999999999995</v>
      </c>
      <c r="E327" s="98">
        <v>174.4</v>
      </c>
      <c r="F327" s="98">
        <v>181.3</v>
      </c>
      <c r="G327" s="98">
        <v>139.30000000000001</v>
      </c>
      <c r="H327" s="98">
        <v>104</v>
      </c>
      <c r="I327" s="98">
        <v>126.5</v>
      </c>
      <c r="J327" s="98">
        <v>175.6</v>
      </c>
      <c r="K327" s="208">
        <v>103.15999999999997</v>
      </c>
      <c r="L327" s="208">
        <v>112.30000000000004</v>
      </c>
      <c r="M327" s="208">
        <v>140.0200000000001</v>
      </c>
      <c r="N327" s="98"/>
      <c r="O327" s="98"/>
      <c r="P327" s="98"/>
      <c r="Q327" s="208">
        <v>93.30000000000004</v>
      </c>
      <c r="R327" s="98">
        <v>118.88000000000002</v>
      </c>
      <c r="S327" s="98">
        <v>129.30000000000004</v>
      </c>
      <c r="T327" s="98">
        <v>180.88000000000002</v>
      </c>
      <c r="U327" s="98">
        <v>93.30000000000004</v>
      </c>
      <c r="V327" s="98">
        <v>431.5</v>
      </c>
      <c r="W327" s="98">
        <v>528.59999999999968</v>
      </c>
      <c r="X327" s="98"/>
      <c r="Y327" s="98"/>
      <c r="Z327" s="98"/>
      <c r="AA327" s="230"/>
      <c r="AB327" s="230"/>
    </row>
    <row r="328" spans="2:28">
      <c r="B328" s="98">
        <v>358</v>
      </c>
      <c r="C328" s="98">
        <v>103.7</v>
      </c>
      <c r="D328" s="98">
        <v>563.20000000000005</v>
      </c>
      <c r="E328" s="98">
        <v>174.4</v>
      </c>
      <c r="F328" s="98">
        <v>181.1</v>
      </c>
      <c r="G328" s="98">
        <v>139.19999999999999</v>
      </c>
      <c r="H328" s="98">
        <v>103.9</v>
      </c>
      <c r="I328" s="98">
        <v>126.4</v>
      </c>
      <c r="J328" s="98">
        <v>175.4</v>
      </c>
      <c r="K328" s="209">
        <v>103.03999999999996</v>
      </c>
      <c r="L328" s="209">
        <v>112.20000000000005</v>
      </c>
      <c r="M328" s="209">
        <v>139.88000000000011</v>
      </c>
      <c r="N328" s="98"/>
      <c r="O328" s="98"/>
      <c r="P328" s="98"/>
      <c r="Q328" s="208">
        <v>93.200000000000045</v>
      </c>
      <c r="R328" s="98">
        <v>118.72000000000003</v>
      </c>
      <c r="S328" s="98">
        <v>129.20000000000005</v>
      </c>
      <c r="T328" s="98">
        <v>180.72000000000003</v>
      </c>
      <c r="U328" s="98">
        <v>93.200000000000045</v>
      </c>
      <c r="V328" s="98">
        <v>431</v>
      </c>
      <c r="W328" s="98">
        <v>528.39999999999964</v>
      </c>
      <c r="X328" s="98"/>
      <c r="Y328" s="98"/>
      <c r="Z328" s="98"/>
      <c r="AA328" s="230"/>
      <c r="AB328" s="230"/>
    </row>
    <row r="329" spans="2:28">
      <c r="B329" s="98">
        <v>359</v>
      </c>
      <c r="C329" s="98">
        <v>103.6</v>
      </c>
      <c r="D329" s="98">
        <v>562.6</v>
      </c>
      <c r="E329" s="98">
        <v>174.3</v>
      </c>
      <c r="F329" s="98">
        <v>180.8</v>
      </c>
      <c r="G329" s="98">
        <v>139.1</v>
      </c>
      <c r="H329" s="98">
        <v>103.9</v>
      </c>
      <c r="I329" s="98">
        <v>126.3</v>
      </c>
      <c r="J329" s="98">
        <v>175.2</v>
      </c>
      <c r="K329" s="208">
        <v>102.91999999999996</v>
      </c>
      <c r="L329" s="208">
        <v>112.10000000000005</v>
      </c>
      <c r="M329" s="208">
        <v>139.74000000000012</v>
      </c>
      <c r="N329" s="98"/>
      <c r="O329" s="98"/>
      <c r="P329" s="98"/>
      <c r="Q329" s="208">
        <v>93.100000000000051</v>
      </c>
      <c r="R329" s="98">
        <v>118.56000000000003</v>
      </c>
      <c r="S329" s="98">
        <v>129.10000000000005</v>
      </c>
      <c r="T329" s="98">
        <v>180.56000000000003</v>
      </c>
      <c r="U329" s="98">
        <v>93.100000000000051</v>
      </c>
      <c r="V329" s="98">
        <v>430.5</v>
      </c>
      <c r="W329" s="98">
        <v>528.19999999999959</v>
      </c>
      <c r="X329" s="98"/>
      <c r="Y329" s="98"/>
      <c r="Z329" s="98"/>
      <c r="AA329" s="230"/>
      <c r="AB329" s="230"/>
    </row>
    <row r="330" spans="2:28">
      <c r="B330" s="98">
        <v>360</v>
      </c>
      <c r="C330" s="98">
        <v>103.6</v>
      </c>
      <c r="D330" s="98">
        <v>562</v>
      </c>
      <c r="E330" s="98">
        <v>174.2</v>
      </c>
      <c r="F330" s="98">
        <v>180.6</v>
      </c>
      <c r="G330" s="98">
        <v>139</v>
      </c>
      <c r="H330" s="98">
        <v>103.8</v>
      </c>
      <c r="I330" s="98">
        <v>126.2</v>
      </c>
      <c r="J330" s="98">
        <v>175</v>
      </c>
      <c r="K330" s="209">
        <v>102.79999999999995</v>
      </c>
      <c r="L330" s="209">
        <v>112.00000000000006</v>
      </c>
      <c r="M330" s="209">
        <v>139.60000000000014</v>
      </c>
      <c r="N330" s="98"/>
      <c r="O330" s="98"/>
      <c r="P330" s="98"/>
      <c r="Q330" s="208">
        <v>93.000000000000057</v>
      </c>
      <c r="R330" s="98">
        <v>118.40000000000003</v>
      </c>
      <c r="S330" s="98">
        <v>129.00000000000006</v>
      </c>
      <c r="T330" s="98">
        <v>180.40000000000003</v>
      </c>
      <c r="U330" s="98">
        <v>93.000000000000057</v>
      </c>
      <c r="V330" s="98">
        <v>430</v>
      </c>
      <c r="W330" s="98">
        <v>527.99999999999955</v>
      </c>
      <c r="X330" s="98"/>
      <c r="Y330" s="98"/>
      <c r="Z330" s="98"/>
      <c r="AA330" s="230"/>
      <c r="AB330" s="230"/>
    </row>
    <row r="331" spans="2:28">
      <c r="B331" s="98">
        <v>361</v>
      </c>
      <c r="C331" s="98">
        <v>103.6</v>
      </c>
      <c r="D331" s="98">
        <v>561.4</v>
      </c>
      <c r="E331" s="98">
        <v>174.1</v>
      </c>
      <c r="F331" s="98">
        <v>180.4</v>
      </c>
      <c r="G331" s="98">
        <v>138.9</v>
      </c>
      <c r="H331" s="98">
        <v>103.7</v>
      </c>
      <c r="I331" s="98">
        <v>126.1</v>
      </c>
      <c r="J331" s="98">
        <v>174.8</v>
      </c>
      <c r="K331" s="208">
        <v>102.67999999999995</v>
      </c>
      <c r="L331" s="208">
        <v>111.90000000000006</v>
      </c>
      <c r="M331" s="208">
        <v>139.46000000000015</v>
      </c>
      <c r="N331" s="98"/>
      <c r="O331" s="98"/>
      <c r="P331" s="98"/>
      <c r="Q331" s="208">
        <v>92.900000000000063</v>
      </c>
      <c r="R331" s="98">
        <v>118.24000000000004</v>
      </c>
      <c r="S331" s="98">
        <v>128.90000000000006</v>
      </c>
      <c r="T331" s="98">
        <v>180.24000000000004</v>
      </c>
      <c r="U331" s="98">
        <v>92.900000000000063</v>
      </c>
      <c r="V331" s="98">
        <v>429.5</v>
      </c>
      <c r="W331" s="98">
        <v>527.7999999999995</v>
      </c>
      <c r="X331" s="98"/>
      <c r="Y331" s="98"/>
      <c r="Z331" s="98"/>
      <c r="AA331" s="230"/>
      <c r="AB331" s="230"/>
    </row>
    <row r="332" spans="2:28">
      <c r="B332" s="98">
        <v>362</v>
      </c>
      <c r="C332" s="98">
        <v>103.5</v>
      </c>
      <c r="D332" s="98">
        <v>560.79999999999995</v>
      </c>
      <c r="E332" s="98">
        <v>174</v>
      </c>
      <c r="F332" s="98">
        <v>180.1</v>
      </c>
      <c r="G332" s="98">
        <v>138.80000000000001</v>
      </c>
      <c r="H332" s="98">
        <v>103.6</v>
      </c>
      <c r="I332" s="98">
        <v>126</v>
      </c>
      <c r="J332" s="98">
        <v>174.6</v>
      </c>
      <c r="K332" s="209">
        <v>102.55999999999995</v>
      </c>
      <c r="L332" s="209">
        <v>111.80000000000007</v>
      </c>
      <c r="M332" s="209">
        <v>139.32000000000016</v>
      </c>
      <c r="N332" s="98"/>
      <c r="O332" s="98"/>
      <c r="P332" s="98"/>
      <c r="Q332" s="208">
        <v>92.800000000000068</v>
      </c>
      <c r="R332" s="98">
        <v>118.08000000000004</v>
      </c>
      <c r="S332" s="98">
        <v>128.80000000000007</v>
      </c>
      <c r="T332" s="98">
        <v>180.08000000000004</v>
      </c>
      <c r="U332" s="98">
        <v>92.800000000000068</v>
      </c>
      <c r="V332" s="98">
        <v>429</v>
      </c>
      <c r="W332" s="98">
        <v>527.59999999999945</v>
      </c>
      <c r="X332" s="98"/>
      <c r="Y332" s="98"/>
      <c r="Z332" s="98"/>
      <c r="AA332" s="230"/>
      <c r="AB332" s="230"/>
    </row>
    <row r="333" spans="2:28">
      <c r="B333" s="98">
        <v>363</v>
      </c>
      <c r="C333" s="98">
        <v>103.5</v>
      </c>
      <c r="D333" s="98">
        <v>560.20000000000005</v>
      </c>
      <c r="E333" s="98">
        <v>174</v>
      </c>
      <c r="F333" s="98">
        <v>179.9</v>
      </c>
      <c r="G333" s="98">
        <v>138.69999999999999</v>
      </c>
      <c r="H333" s="98">
        <v>103.6</v>
      </c>
      <c r="I333" s="98">
        <v>125.9</v>
      </c>
      <c r="J333" s="98">
        <v>174.4</v>
      </c>
      <c r="K333" s="208">
        <v>102.43999999999994</v>
      </c>
      <c r="L333" s="208">
        <v>111.70000000000007</v>
      </c>
      <c r="M333" s="208">
        <v>139.18000000000018</v>
      </c>
      <c r="N333" s="98"/>
      <c r="O333" s="98"/>
      <c r="P333" s="98"/>
      <c r="Q333" s="208">
        <v>92.700000000000074</v>
      </c>
      <c r="R333" s="98">
        <v>117.92000000000004</v>
      </c>
      <c r="S333" s="98">
        <v>128.70000000000007</v>
      </c>
      <c r="T333" s="98">
        <v>179.92000000000004</v>
      </c>
      <c r="U333" s="98">
        <v>92.700000000000074</v>
      </c>
      <c r="V333" s="98">
        <v>428.5</v>
      </c>
      <c r="W333" s="98">
        <v>527.39999999999941</v>
      </c>
      <c r="X333" s="98"/>
      <c r="Y333" s="98"/>
      <c r="Z333" s="98"/>
      <c r="AA333" s="230"/>
      <c r="AB333" s="230"/>
    </row>
    <row r="334" spans="2:28">
      <c r="B334" s="98">
        <v>364</v>
      </c>
      <c r="C334" s="98">
        <v>103.4</v>
      </c>
      <c r="D334" s="98">
        <v>559.6</v>
      </c>
      <c r="E334" s="98">
        <v>173.9</v>
      </c>
      <c r="F334" s="98">
        <v>179.6</v>
      </c>
      <c r="G334" s="98">
        <v>138.6</v>
      </c>
      <c r="H334" s="98">
        <v>103.5</v>
      </c>
      <c r="I334" s="98">
        <v>125.8</v>
      </c>
      <c r="J334" s="98">
        <v>174.2</v>
      </c>
      <c r="K334" s="209">
        <v>102.31999999999994</v>
      </c>
      <c r="L334" s="209">
        <v>111.60000000000008</v>
      </c>
      <c r="M334" s="209">
        <v>139.04000000000019</v>
      </c>
      <c r="N334" s="98"/>
      <c r="O334" s="98"/>
      <c r="P334" s="98"/>
      <c r="Q334" s="208">
        <v>92.60000000000008</v>
      </c>
      <c r="R334" s="98">
        <v>117.76000000000005</v>
      </c>
      <c r="S334" s="98">
        <v>128.60000000000008</v>
      </c>
      <c r="T334" s="98">
        <v>179.76000000000005</v>
      </c>
      <c r="U334" s="98">
        <v>92.60000000000008</v>
      </c>
      <c r="V334" s="98">
        <v>428</v>
      </c>
      <c r="W334" s="98">
        <v>527.19999999999936</v>
      </c>
      <c r="X334" s="98"/>
      <c r="Y334" s="98"/>
      <c r="Z334" s="98"/>
      <c r="AA334" s="230"/>
      <c r="AB334" s="230"/>
    </row>
    <row r="335" spans="2:28">
      <c r="B335" s="98">
        <v>365</v>
      </c>
      <c r="C335" s="98">
        <v>103.4</v>
      </c>
      <c r="D335" s="98">
        <v>559</v>
      </c>
      <c r="E335" s="98">
        <v>173.8</v>
      </c>
      <c r="F335" s="98">
        <v>179.4</v>
      </c>
      <c r="G335" s="98">
        <v>138.5</v>
      </c>
      <c r="H335" s="98">
        <v>103.4</v>
      </c>
      <c r="I335" s="98">
        <v>125.6</v>
      </c>
      <c r="J335" s="98">
        <v>174</v>
      </c>
      <c r="K335" s="208">
        <v>102.19999999999993</v>
      </c>
      <c r="L335" s="208">
        <v>111.50000000000009</v>
      </c>
      <c r="M335" s="208">
        <v>138.9000000000002</v>
      </c>
      <c r="N335" s="98"/>
      <c r="O335" s="98"/>
      <c r="P335" s="98"/>
      <c r="Q335" s="208">
        <v>92.500000000000085</v>
      </c>
      <c r="R335" s="98">
        <v>117.60000000000005</v>
      </c>
      <c r="S335" s="98">
        <v>128.50000000000009</v>
      </c>
      <c r="T335" s="98">
        <v>179.60000000000005</v>
      </c>
      <c r="U335" s="98">
        <v>92.500000000000085</v>
      </c>
      <c r="V335" s="98">
        <v>427.5</v>
      </c>
      <c r="W335" s="98">
        <v>526.99999999999932</v>
      </c>
      <c r="X335" s="98"/>
      <c r="Y335" s="98"/>
      <c r="Z335" s="98"/>
      <c r="AA335" s="230"/>
      <c r="AB335" s="230"/>
    </row>
    <row r="336" spans="2:28">
      <c r="B336" s="98">
        <v>366</v>
      </c>
      <c r="C336" s="98">
        <v>103.4</v>
      </c>
      <c r="D336" s="98">
        <v>558.4</v>
      </c>
      <c r="E336" s="98">
        <v>173.7</v>
      </c>
      <c r="F336" s="98">
        <v>179.2</v>
      </c>
      <c r="G336" s="98">
        <v>138.4</v>
      </c>
      <c r="H336" s="98">
        <v>103.4</v>
      </c>
      <c r="I336" s="98">
        <v>125.5</v>
      </c>
      <c r="J336" s="98">
        <v>173.8</v>
      </c>
      <c r="K336" s="209">
        <v>102.07999999999993</v>
      </c>
      <c r="L336" s="209">
        <v>111.40000000000009</v>
      </c>
      <c r="M336" s="209">
        <v>138.76000000000022</v>
      </c>
      <c r="N336" s="98"/>
      <c r="O336" s="98"/>
      <c r="P336" s="98"/>
      <c r="Q336" s="208">
        <v>92.400000000000091</v>
      </c>
      <c r="R336" s="98">
        <v>117.44000000000005</v>
      </c>
      <c r="S336" s="98">
        <v>128.40000000000009</v>
      </c>
      <c r="T336" s="98">
        <v>179.44000000000005</v>
      </c>
      <c r="U336" s="98">
        <v>92.400000000000091</v>
      </c>
      <c r="V336" s="98">
        <v>427</v>
      </c>
      <c r="W336" s="98">
        <v>526.79999999999927</v>
      </c>
      <c r="X336" s="98"/>
      <c r="Y336" s="98"/>
      <c r="Z336" s="98"/>
      <c r="AA336" s="230"/>
      <c r="AB336" s="230"/>
    </row>
    <row r="337" spans="2:28">
      <c r="B337" s="98">
        <v>367</v>
      </c>
      <c r="C337" s="98">
        <v>103.3</v>
      </c>
      <c r="D337" s="98">
        <v>557.79999999999995</v>
      </c>
      <c r="E337" s="98">
        <v>173.6</v>
      </c>
      <c r="F337" s="98">
        <v>178.9</v>
      </c>
      <c r="G337" s="98">
        <v>138.30000000000001</v>
      </c>
      <c r="H337" s="98">
        <v>103.3</v>
      </c>
      <c r="I337" s="98">
        <v>125.4</v>
      </c>
      <c r="J337" s="98">
        <v>173.6</v>
      </c>
      <c r="K337" s="208">
        <v>101.95999999999992</v>
      </c>
      <c r="L337" s="208">
        <v>111.3000000000001</v>
      </c>
      <c r="M337" s="208">
        <v>138.62000000000023</v>
      </c>
      <c r="N337" s="98"/>
      <c r="O337" s="98"/>
      <c r="P337" s="98"/>
      <c r="Q337" s="208">
        <v>92.300000000000097</v>
      </c>
      <c r="R337" s="98">
        <v>117.28000000000006</v>
      </c>
      <c r="S337" s="98">
        <v>128.3000000000001</v>
      </c>
      <c r="T337" s="98">
        <v>179.28000000000006</v>
      </c>
      <c r="U337" s="98">
        <v>92.300000000000097</v>
      </c>
      <c r="V337" s="98">
        <v>426.5</v>
      </c>
      <c r="W337" s="98">
        <v>526.59999999999923</v>
      </c>
      <c r="X337" s="98"/>
      <c r="Y337" s="98"/>
      <c r="Z337" s="98"/>
      <c r="AA337" s="230"/>
      <c r="AB337" s="230"/>
    </row>
    <row r="338" spans="2:28">
      <c r="B338" s="98">
        <v>368</v>
      </c>
      <c r="C338" s="98">
        <v>103.3</v>
      </c>
      <c r="D338" s="98">
        <v>557.20000000000005</v>
      </c>
      <c r="E338" s="98">
        <v>173.6</v>
      </c>
      <c r="F338" s="98">
        <v>178.7</v>
      </c>
      <c r="G338" s="98">
        <v>138.19999999999999</v>
      </c>
      <c r="H338" s="98">
        <v>103.2</v>
      </c>
      <c r="I338" s="98">
        <v>125.3</v>
      </c>
      <c r="J338" s="98">
        <v>173.4</v>
      </c>
      <c r="K338" s="209">
        <v>101.83999999999992</v>
      </c>
      <c r="L338" s="209">
        <v>111.2000000000001</v>
      </c>
      <c r="M338" s="209">
        <v>138.48000000000025</v>
      </c>
      <c r="N338" s="98"/>
      <c r="O338" s="98"/>
      <c r="P338" s="98"/>
      <c r="Q338" s="208">
        <v>92.200000000000102</v>
      </c>
      <c r="R338" s="98">
        <v>117.12000000000006</v>
      </c>
      <c r="S338" s="98">
        <v>128.2000000000001</v>
      </c>
      <c r="T338" s="98">
        <v>179.12000000000006</v>
      </c>
      <c r="U338" s="98">
        <v>92.200000000000102</v>
      </c>
      <c r="V338" s="98">
        <v>426</v>
      </c>
      <c r="W338" s="98">
        <v>526.39999999999918</v>
      </c>
      <c r="X338" s="98"/>
      <c r="Y338" s="98"/>
      <c r="Z338" s="98"/>
      <c r="AA338" s="230"/>
      <c r="AB338" s="230"/>
    </row>
    <row r="339" spans="2:28">
      <c r="B339" s="98">
        <v>369</v>
      </c>
      <c r="C339" s="98">
        <v>103.2</v>
      </c>
      <c r="D339" s="98">
        <v>556.6</v>
      </c>
      <c r="E339" s="98">
        <v>173.5</v>
      </c>
      <c r="F339" s="98">
        <v>178.4</v>
      </c>
      <c r="G339" s="98">
        <v>138.1</v>
      </c>
      <c r="H339" s="98">
        <v>103.1</v>
      </c>
      <c r="I339" s="98">
        <v>125.2</v>
      </c>
      <c r="J339" s="98">
        <v>173.2</v>
      </c>
      <c r="K339" s="208">
        <v>101.71999999999991</v>
      </c>
      <c r="L339" s="208">
        <v>111.10000000000011</v>
      </c>
      <c r="M339" s="208">
        <v>138.34000000000026</v>
      </c>
      <c r="N339" s="98"/>
      <c r="O339" s="98"/>
      <c r="P339" s="98"/>
      <c r="Q339" s="208">
        <v>92.100000000000108</v>
      </c>
      <c r="R339" s="98">
        <v>116.96000000000006</v>
      </c>
      <c r="S339" s="98">
        <v>128.10000000000011</v>
      </c>
      <c r="T339" s="98">
        <v>178.96000000000006</v>
      </c>
      <c r="U339" s="98">
        <v>92.100000000000108</v>
      </c>
      <c r="V339" s="98">
        <v>425.5</v>
      </c>
      <c r="W339" s="98">
        <v>526.19999999999914</v>
      </c>
      <c r="X339" s="98"/>
      <c r="Y339" s="98"/>
      <c r="Z339" s="98"/>
      <c r="AA339" s="230"/>
      <c r="AB339" s="230"/>
    </row>
    <row r="340" spans="2:28">
      <c r="B340" s="98">
        <v>370</v>
      </c>
      <c r="C340" s="98">
        <v>103.2</v>
      </c>
      <c r="D340" s="98">
        <v>556</v>
      </c>
      <c r="E340" s="98">
        <v>173.4</v>
      </c>
      <c r="F340" s="98">
        <v>178.2</v>
      </c>
      <c r="G340" s="98">
        <v>138</v>
      </c>
      <c r="H340" s="98">
        <v>103.1</v>
      </c>
      <c r="I340" s="98">
        <v>125.1</v>
      </c>
      <c r="J340" s="98">
        <v>173</v>
      </c>
      <c r="K340" s="209">
        <v>101.59999999999991</v>
      </c>
      <c r="L340" s="209">
        <v>111.00000000000011</v>
      </c>
      <c r="M340" s="209">
        <v>138.20000000000027</v>
      </c>
      <c r="N340" s="98"/>
      <c r="O340" s="98"/>
      <c r="P340" s="98"/>
      <c r="Q340" s="208">
        <v>92.000000000000114</v>
      </c>
      <c r="R340" s="98">
        <v>116.80000000000007</v>
      </c>
      <c r="S340" s="98">
        <v>128.00000000000011</v>
      </c>
      <c r="T340" s="98">
        <v>178.80000000000007</v>
      </c>
      <c r="U340" s="98">
        <v>92.000000000000114</v>
      </c>
      <c r="V340" s="98">
        <v>425</v>
      </c>
      <c r="W340" s="98">
        <v>525.99999999999909</v>
      </c>
      <c r="X340" s="98"/>
      <c r="Y340" s="98"/>
      <c r="Z340" s="98"/>
      <c r="AA340" s="230"/>
      <c r="AB340" s="230"/>
    </row>
    <row r="341" spans="2:28">
      <c r="B341" s="98">
        <v>371</v>
      </c>
      <c r="C341" s="98">
        <v>103.2</v>
      </c>
      <c r="D341" s="98">
        <v>555.4</v>
      </c>
      <c r="E341" s="98">
        <v>173.3</v>
      </c>
      <c r="F341" s="98">
        <v>178</v>
      </c>
      <c r="G341" s="98">
        <v>137.9</v>
      </c>
      <c r="H341" s="98">
        <v>103</v>
      </c>
      <c r="I341" s="98">
        <v>125</v>
      </c>
      <c r="J341" s="98">
        <v>172.8</v>
      </c>
      <c r="K341" s="208">
        <v>101.4799999999999</v>
      </c>
      <c r="L341" s="208">
        <v>110.90000000000012</v>
      </c>
      <c r="M341" s="208">
        <v>138.06000000000029</v>
      </c>
      <c r="N341" s="98"/>
      <c r="O341" s="98"/>
      <c r="P341" s="98"/>
      <c r="Q341" s="208">
        <v>91.900000000000119</v>
      </c>
      <c r="R341" s="98">
        <v>116.64000000000007</v>
      </c>
      <c r="S341" s="98">
        <v>127.90000000000012</v>
      </c>
      <c r="T341" s="98">
        <v>178.64000000000007</v>
      </c>
      <c r="U341" s="98">
        <v>91.900000000000119</v>
      </c>
      <c r="V341" s="98">
        <v>424.5</v>
      </c>
      <c r="W341" s="98">
        <v>525.79999999999905</v>
      </c>
      <c r="X341" s="98"/>
      <c r="Y341" s="98"/>
      <c r="Z341" s="98"/>
      <c r="AA341" s="230"/>
      <c r="AB341" s="230"/>
    </row>
    <row r="342" spans="2:28">
      <c r="B342" s="98">
        <v>372</v>
      </c>
      <c r="C342" s="98">
        <v>103.1</v>
      </c>
      <c r="D342" s="98">
        <v>554.79999999999995</v>
      </c>
      <c r="E342" s="98">
        <v>173.2</v>
      </c>
      <c r="F342" s="98">
        <v>177.7</v>
      </c>
      <c r="G342" s="98">
        <v>137.80000000000001</v>
      </c>
      <c r="H342" s="98">
        <v>102.9</v>
      </c>
      <c r="I342" s="98">
        <v>124.9</v>
      </c>
      <c r="J342" s="98">
        <v>172.6</v>
      </c>
      <c r="K342" s="209">
        <v>101.3599999999999</v>
      </c>
      <c r="L342" s="209">
        <v>110.80000000000013</v>
      </c>
      <c r="M342" s="209">
        <v>137.9200000000003</v>
      </c>
      <c r="N342" s="98"/>
      <c r="O342" s="98"/>
      <c r="P342" s="98"/>
      <c r="Q342" s="208">
        <v>91.800000000000125</v>
      </c>
      <c r="R342" s="98">
        <v>116.48000000000008</v>
      </c>
      <c r="S342" s="98">
        <v>127.80000000000013</v>
      </c>
      <c r="T342" s="98">
        <v>178.48000000000008</v>
      </c>
      <c r="U342" s="98">
        <v>91.800000000000125</v>
      </c>
      <c r="V342" s="98">
        <v>424</v>
      </c>
      <c r="W342" s="98">
        <v>525.599999999999</v>
      </c>
      <c r="X342" s="98"/>
      <c r="Y342" s="98"/>
      <c r="Z342" s="98"/>
      <c r="AA342" s="230"/>
      <c r="AB342" s="230"/>
    </row>
    <row r="343" spans="2:28">
      <c r="B343" s="98">
        <v>373</v>
      </c>
      <c r="C343" s="98">
        <v>103.1</v>
      </c>
      <c r="D343" s="98">
        <v>554.20000000000005</v>
      </c>
      <c r="E343" s="98">
        <v>173.2</v>
      </c>
      <c r="F343" s="98">
        <v>177.5</v>
      </c>
      <c r="G343" s="98">
        <v>137.69999999999999</v>
      </c>
      <c r="H343" s="98">
        <v>102.9</v>
      </c>
      <c r="I343" s="98">
        <v>124.9</v>
      </c>
      <c r="J343" s="98">
        <v>172.4</v>
      </c>
      <c r="K343" s="208">
        <v>101.2399999999999</v>
      </c>
      <c r="L343" s="208">
        <v>110.70000000000013</v>
      </c>
      <c r="M343" s="208">
        <v>137.78000000000031</v>
      </c>
      <c r="N343" s="98"/>
      <c r="O343" s="98"/>
      <c r="P343" s="98"/>
      <c r="Q343" s="208">
        <v>91.700000000000131</v>
      </c>
      <c r="R343" s="98">
        <v>116.32000000000008</v>
      </c>
      <c r="S343" s="98">
        <v>127.70000000000013</v>
      </c>
      <c r="T343" s="98">
        <v>178.32000000000008</v>
      </c>
      <c r="U343" s="98">
        <v>91.700000000000131</v>
      </c>
      <c r="V343" s="98">
        <v>423.5</v>
      </c>
      <c r="W343" s="98">
        <v>525.39999999999895</v>
      </c>
      <c r="X343" s="98"/>
      <c r="Y343" s="98"/>
      <c r="Z343" s="98"/>
      <c r="AA343" s="230"/>
      <c r="AB343" s="230"/>
    </row>
    <row r="344" spans="2:28">
      <c r="B344" s="98">
        <v>374</v>
      </c>
      <c r="C344" s="98">
        <v>103</v>
      </c>
      <c r="D344" s="98">
        <v>553.6</v>
      </c>
      <c r="E344" s="98">
        <v>173.1</v>
      </c>
      <c r="F344" s="98">
        <v>177.2</v>
      </c>
      <c r="G344" s="98">
        <v>137.6</v>
      </c>
      <c r="H344" s="98">
        <v>102.8</v>
      </c>
      <c r="I344" s="98">
        <v>124.8</v>
      </c>
      <c r="J344" s="98">
        <v>172.2</v>
      </c>
      <c r="K344" s="209">
        <v>101.11999999999989</v>
      </c>
      <c r="L344" s="209">
        <v>110.60000000000014</v>
      </c>
      <c r="M344" s="209">
        <v>137.64000000000033</v>
      </c>
      <c r="N344" s="98"/>
      <c r="O344" s="98"/>
      <c r="P344" s="98"/>
      <c r="Q344" s="208">
        <v>91.600000000000136</v>
      </c>
      <c r="R344" s="98">
        <v>116.16000000000008</v>
      </c>
      <c r="S344" s="98">
        <v>127.60000000000014</v>
      </c>
      <c r="T344" s="98">
        <v>178.16000000000008</v>
      </c>
      <c r="U344" s="98">
        <v>91.600000000000136</v>
      </c>
      <c r="V344" s="98">
        <v>423</v>
      </c>
      <c r="W344" s="98">
        <v>525.19999999999891</v>
      </c>
      <c r="X344" s="98"/>
      <c r="Y344" s="98"/>
      <c r="Z344" s="98"/>
      <c r="AA344" s="230"/>
      <c r="AB344" s="230"/>
    </row>
    <row r="345" spans="2:28">
      <c r="B345" s="98">
        <v>375</v>
      </c>
      <c r="C345" s="98">
        <v>103</v>
      </c>
      <c r="D345" s="98">
        <v>553</v>
      </c>
      <c r="E345" s="98">
        <v>173</v>
      </c>
      <c r="F345" s="98">
        <v>177</v>
      </c>
      <c r="G345" s="98">
        <v>137.5</v>
      </c>
      <c r="H345" s="98">
        <v>102.7</v>
      </c>
      <c r="I345" s="98">
        <v>124.7</v>
      </c>
      <c r="J345" s="98">
        <v>172</v>
      </c>
      <c r="K345" s="208">
        <v>100.99999999999989</v>
      </c>
      <c r="L345" s="208">
        <v>110.50000000000014</v>
      </c>
      <c r="M345" s="208">
        <v>137.50000000000034</v>
      </c>
      <c r="N345" s="98"/>
      <c r="O345" s="98"/>
      <c r="P345" s="98"/>
      <c r="Q345" s="208">
        <v>91.500000000000142</v>
      </c>
      <c r="R345" s="98">
        <v>116.00000000000009</v>
      </c>
      <c r="S345" s="98">
        <v>127.50000000000014</v>
      </c>
      <c r="T345" s="98">
        <v>178.00000000000009</v>
      </c>
      <c r="U345" s="98">
        <v>91.500000000000142</v>
      </c>
      <c r="V345" s="98">
        <v>422.5</v>
      </c>
      <c r="W345" s="98">
        <v>524.99999999999886</v>
      </c>
      <c r="X345" s="98"/>
      <c r="Y345" s="98"/>
      <c r="Z345" s="98"/>
      <c r="AA345" s="230"/>
      <c r="AB345" s="230"/>
    </row>
    <row r="346" spans="2:28">
      <c r="B346" s="98">
        <v>376</v>
      </c>
      <c r="C346" s="98">
        <v>102.9</v>
      </c>
      <c r="D346" s="98">
        <v>552.20000000000005</v>
      </c>
      <c r="E346" s="98">
        <v>172.8</v>
      </c>
      <c r="F346" s="98">
        <v>176.8</v>
      </c>
      <c r="G346" s="98">
        <v>137.4</v>
      </c>
      <c r="H346" s="98">
        <v>102.6</v>
      </c>
      <c r="I346" s="98">
        <v>124.6</v>
      </c>
      <c r="J346" s="98">
        <v>171.8</v>
      </c>
      <c r="K346" s="209">
        <v>100.87999999999988</v>
      </c>
      <c r="L346" s="209">
        <v>110.40000000000015</v>
      </c>
      <c r="M346" s="209">
        <v>137.36000000000035</v>
      </c>
      <c r="N346" s="98"/>
      <c r="O346" s="98"/>
      <c r="P346" s="98"/>
      <c r="Q346" s="208">
        <v>91.400000000000148</v>
      </c>
      <c r="R346" s="98">
        <v>115.84000000000009</v>
      </c>
      <c r="S346" s="98">
        <v>127.40000000000015</v>
      </c>
      <c r="T346" s="98">
        <v>177.84000000000009</v>
      </c>
      <c r="U346" s="98">
        <v>91.400000000000148</v>
      </c>
      <c r="V346" s="98">
        <v>422</v>
      </c>
      <c r="W346" s="98">
        <v>524.79999999999882</v>
      </c>
      <c r="X346" s="98"/>
      <c r="Y346" s="98"/>
      <c r="Z346" s="98"/>
      <c r="AA346" s="230"/>
      <c r="AB346" s="230"/>
    </row>
    <row r="347" spans="2:28">
      <c r="B347" s="98">
        <v>377</v>
      </c>
      <c r="C347" s="98">
        <v>102.8</v>
      </c>
      <c r="D347" s="98">
        <v>551.5</v>
      </c>
      <c r="E347" s="98">
        <v>172.6</v>
      </c>
      <c r="F347" s="98">
        <v>176.5</v>
      </c>
      <c r="G347" s="98">
        <v>137.30000000000001</v>
      </c>
      <c r="H347" s="98">
        <v>102.6</v>
      </c>
      <c r="I347" s="98">
        <v>124.6</v>
      </c>
      <c r="J347" s="98">
        <v>171.6</v>
      </c>
      <c r="K347" s="208">
        <v>100.75999999999988</v>
      </c>
      <c r="L347" s="208">
        <v>110.30000000000015</v>
      </c>
      <c r="M347" s="208">
        <v>137.22000000000037</v>
      </c>
      <c r="N347" s="98"/>
      <c r="O347" s="98"/>
      <c r="P347" s="98"/>
      <c r="Q347" s="208">
        <v>91.300000000000153</v>
      </c>
      <c r="R347" s="98">
        <v>115.68000000000009</v>
      </c>
      <c r="S347" s="98">
        <v>127.30000000000015</v>
      </c>
      <c r="T347" s="98">
        <v>177.68000000000009</v>
      </c>
      <c r="U347" s="98">
        <v>91.300000000000153</v>
      </c>
      <c r="V347" s="98">
        <v>421.5</v>
      </c>
      <c r="W347" s="98">
        <v>524.59999999999877</v>
      </c>
      <c r="X347" s="98"/>
      <c r="Y347" s="98"/>
      <c r="Z347" s="98"/>
      <c r="AA347" s="230"/>
      <c r="AB347" s="230"/>
    </row>
    <row r="348" spans="2:28">
      <c r="B348" s="98">
        <v>378</v>
      </c>
      <c r="C348" s="98">
        <v>102.8</v>
      </c>
      <c r="D348" s="98">
        <v>550.70000000000005</v>
      </c>
      <c r="E348" s="98">
        <v>172.4</v>
      </c>
      <c r="F348" s="98">
        <v>176.3</v>
      </c>
      <c r="G348" s="98">
        <v>137.19999999999999</v>
      </c>
      <c r="H348" s="98">
        <v>102.5</v>
      </c>
      <c r="I348" s="98">
        <v>124.5</v>
      </c>
      <c r="J348" s="98">
        <v>171.4</v>
      </c>
      <c r="K348" s="209">
        <v>100.63999999999987</v>
      </c>
      <c r="L348" s="209">
        <v>110.20000000000016</v>
      </c>
      <c r="M348" s="209">
        <v>137.08000000000038</v>
      </c>
      <c r="N348" s="98"/>
      <c r="O348" s="98"/>
      <c r="P348" s="98"/>
      <c r="Q348" s="208">
        <v>91.200000000000159</v>
      </c>
      <c r="R348" s="98">
        <v>115.5200000000001</v>
      </c>
      <c r="S348" s="98">
        <v>127.20000000000016</v>
      </c>
      <c r="T348" s="98">
        <v>177.5200000000001</v>
      </c>
      <c r="U348" s="98">
        <v>91.200000000000159</v>
      </c>
      <c r="V348" s="98">
        <v>421</v>
      </c>
      <c r="W348" s="98">
        <v>524.39999999999873</v>
      </c>
      <c r="X348" s="98"/>
      <c r="Y348" s="98"/>
      <c r="Z348" s="98"/>
      <c r="AA348" s="230"/>
      <c r="AB348" s="230"/>
    </row>
    <row r="349" spans="2:28">
      <c r="B349" s="98">
        <v>379</v>
      </c>
      <c r="C349" s="98">
        <v>102.7</v>
      </c>
      <c r="D349" s="98">
        <v>550</v>
      </c>
      <c r="E349" s="98">
        <v>172.2</v>
      </c>
      <c r="F349" s="98">
        <v>176</v>
      </c>
      <c r="G349" s="98">
        <v>137.1</v>
      </c>
      <c r="H349" s="98">
        <v>102.4</v>
      </c>
      <c r="I349" s="98">
        <v>124.4</v>
      </c>
      <c r="J349" s="98">
        <v>171.2</v>
      </c>
      <c r="K349" s="208">
        <v>100.51999999999987</v>
      </c>
      <c r="L349" s="208">
        <v>110.10000000000016</v>
      </c>
      <c r="M349" s="208">
        <v>136.9400000000004</v>
      </c>
      <c r="N349" s="98"/>
      <c r="O349" s="98"/>
      <c r="P349" s="98"/>
      <c r="Q349" s="208">
        <v>91.100000000000165</v>
      </c>
      <c r="R349" s="98">
        <v>115.3600000000001</v>
      </c>
      <c r="S349" s="98">
        <v>127.10000000000016</v>
      </c>
      <c r="T349" s="98">
        <v>177.3600000000001</v>
      </c>
      <c r="U349" s="98">
        <v>91.100000000000165</v>
      </c>
      <c r="V349" s="98">
        <v>420.5</v>
      </c>
      <c r="W349" s="98">
        <v>524.19999999999868</v>
      </c>
      <c r="X349" s="98"/>
      <c r="Y349" s="98"/>
      <c r="Z349" s="98"/>
      <c r="AA349" s="230"/>
      <c r="AB349" s="230"/>
    </row>
    <row r="350" spans="2:28">
      <c r="B350" s="98">
        <v>380</v>
      </c>
      <c r="C350" s="98">
        <v>102.6</v>
      </c>
      <c r="D350" s="98">
        <v>549.20000000000005</v>
      </c>
      <c r="E350" s="98">
        <v>172</v>
      </c>
      <c r="F350" s="98">
        <v>175.8</v>
      </c>
      <c r="G350" s="98">
        <v>137</v>
      </c>
      <c r="H350" s="98">
        <v>102.4</v>
      </c>
      <c r="I350" s="98">
        <v>124.4</v>
      </c>
      <c r="J350" s="98">
        <v>171</v>
      </c>
      <c r="K350" s="209">
        <v>100.39999999999986</v>
      </c>
      <c r="L350" s="209">
        <v>110.00000000000017</v>
      </c>
      <c r="M350" s="209">
        <v>136.80000000000041</v>
      </c>
      <c r="N350" s="98"/>
      <c r="O350" s="98"/>
      <c r="P350" s="98"/>
      <c r="Q350" s="208">
        <v>91.000000000000171</v>
      </c>
      <c r="R350" s="98">
        <v>115.2000000000001</v>
      </c>
      <c r="S350" s="98">
        <v>127.00000000000017</v>
      </c>
      <c r="T350" s="98">
        <v>177.2000000000001</v>
      </c>
      <c r="U350" s="98">
        <v>91.000000000000171</v>
      </c>
      <c r="V350" s="98">
        <v>420</v>
      </c>
      <c r="W350" s="98">
        <v>523.99999999999864</v>
      </c>
      <c r="X350" s="98"/>
      <c r="Y350" s="98"/>
      <c r="Z350" s="98"/>
      <c r="AA350" s="230"/>
      <c r="AB350" s="230"/>
    </row>
    <row r="351" spans="2:28">
      <c r="B351" s="98">
        <v>381</v>
      </c>
      <c r="C351" s="98">
        <v>102.5</v>
      </c>
      <c r="D351" s="98">
        <v>548.4</v>
      </c>
      <c r="E351" s="98">
        <v>171.8</v>
      </c>
      <c r="F351" s="98">
        <v>175.6</v>
      </c>
      <c r="G351" s="98">
        <v>136.9</v>
      </c>
      <c r="H351" s="98">
        <v>102.3</v>
      </c>
      <c r="I351" s="98">
        <v>124.3</v>
      </c>
      <c r="J351" s="98">
        <v>170.8</v>
      </c>
      <c r="K351" s="208">
        <v>100.27999999999986</v>
      </c>
      <c r="L351" s="208">
        <v>109.90000000000018</v>
      </c>
      <c r="M351" s="208">
        <v>136.66000000000042</v>
      </c>
      <c r="N351" s="98"/>
      <c r="O351" s="98"/>
      <c r="P351" s="98"/>
      <c r="Q351" s="208">
        <v>90.900000000000176</v>
      </c>
      <c r="R351" s="98">
        <v>115.04000000000011</v>
      </c>
      <c r="S351" s="98">
        <v>126.90000000000018</v>
      </c>
      <c r="T351" s="98">
        <v>177.04000000000011</v>
      </c>
      <c r="U351" s="98">
        <v>90.900000000000176</v>
      </c>
      <c r="V351" s="98">
        <v>419.5</v>
      </c>
      <c r="W351" s="98">
        <v>523.79999999999859</v>
      </c>
      <c r="X351" s="98"/>
      <c r="Y351" s="98"/>
      <c r="Z351" s="98"/>
      <c r="AA351" s="230"/>
      <c r="AB351" s="230"/>
    </row>
    <row r="352" spans="2:28">
      <c r="B352" s="98">
        <v>382</v>
      </c>
      <c r="C352" s="98">
        <v>102.4</v>
      </c>
      <c r="D352" s="98">
        <v>547.70000000000005</v>
      </c>
      <c r="E352" s="98">
        <v>171.6</v>
      </c>
      <c r="F352" s="98">
        <v>175.3</v>
      </c>
      <c r="G352" s="98">
        <v>136.80000000000001</v>
      </c>
      <c r="H352" s="98">
        <v>102.2</v>
      </c>
      <c r="I352" s="98">
        <v>124.2</v>
      </c>
      <c r="J352" s="98">
        <v>170.6</v>
      </c>
      <c r="K352" s="209">
        <v>100.15999999999985</v>
      </c>
      <c r="L352" s="209">
        <v>109.80000000000018</v>
      </c>
      <c r="M352" s="209">
        <v>136.52000000000044</v>
      </c>
      <c r="N352" s="98"/>
      <c r="O352" s="98"/>
      <c r="P352" s="98"/>
      <c r="Q352" s="208">
        <v>90.800000000000182</v>
      </c>
      <c r="R352" s="98">
        <v>114.88000000000011</v>
      </c>
      <c r="S352" s="98">
        <v>126.80000000000018</v>
      </c>
      <c r="T352" s="98">
        <v>176.88000000000011</v>
      </c>
      <c r="U352" s="98">
        <v>90.800000000000182</v>
      </c>
      <c r="V352" s="98">
        <v>419</v>
      </c>
      <c r="W352" s="98">
        <v>523.59999999999854</v>
      </c>
      <c r="X352" s="98"/>
      <c r="Y352" s="98"/>
      <c r="Z352" s="98"/>
      <c r="AA352" s="230"/>
      <c r="AB352" s="230"/>
    </row>
    <row r="353" spans="2:28">
      <c r="B353" s="98">
        <v>383</v>
      </c>
      <c r="C353" s="98">
        <v>102.4</v>
      </c>
      <c r="D353" s="98">
        <v>546.9</v>
      </c>
      <c r="E353" s="98">
        <v>171.4</v>
      </c>
      <c r="F353" s="98">
        <v>175.1</v>
      </c>
      <c r="G353" s="98">
        <v>136.69999999999999</v>
      </c>
      <c r="H353" s="98">
        <v>102.1</v>
      </c>
      <c r="I353" s="98">
        <v>124.1</v>
      </c>
      <c r="J353" s="98">
        <v>170.4</v>
      </c>
      <c r="K353" s="208">
        <v>100.03999999999985</v>
      </c>
      <c r="L353" s="208">
        <v>109.70000000000019</v>
      </c>
      <c r="M353" s="208">
        <v>136.38000000000045</v>
      </c>
      <c r="N353" s="98"/>
      <c r="O353" s="98"/>
      <c r="P353" s="98"/>
      <c r="Q353" s="208">
        <v>90.700000000000188</v>
      </c>
      <c r="R353" s="98">
        <v>114.72000000000011</v>
      </c>
      <c r="S353" s="98">
        <v>126.70000000000019</v>
      </c>
      <c r="T353" s="98">
        <v>176.72000000000011</v>
      </c>
      <c r="U353" s="98">
        <v>90.700000000000188</v>
      </c>
      <c r="V353" s="98">
        <v>418.5</v>
      </c>
      <c r="W353" s="98">
        <v>523.3999999999985</v>
      </c>
      <c r="X353" s="98"/>
      <c r="Y353" s="98"/>
      <c r="Z353" s="98"/>
      <c r="AA353" s="230"/>
      <c r="AB353" s="230"/>
    </row>
    <row r="354" spans="2:28">
      <c r="B354" s="98">
        <v>384</v>
      </c>
      <c r="C354" s="98">
        <v>102.3</v>
      </c>
      <c r="D354" s="98">
        <v>546.20000000000005</v>
      </c>
      <c r="E354" s="98">
        <v>171.2</v>
      </c>
      <c r="F354" s="98">
        <v>174.8</v>
      </c>
      <c r="G354" s="98">
        <v>136.6</v>
      </c>
      <c r="H354" s="98">
        <v>102.1</v>
      </c>
      <c r="I354" s="98">
        <v>124.1</v>
      </c>
      <c r="J354" s="98">
        <v>170.2</v>
      </c>
      <c r="K354" s="209">
        <v>99.919999999999845</v>
      </c>
      <c r="L354" s="209">
        <v>109.60000000000019</v>
      </c>
      <c r="M354" s="209">
        <v>136.24000000000046</v>
      </c>
      <c r="N354" s="98"/>
      <c r="O354" s="98"/>
      <c r="P354" s="98"/>
      <c r="Q354" s="208">
        <v>90.600000000000193</v>
      </c>
      <c r="R354" s="98">
        <v>114.56000000000012</v>
      </c>
      <c r="S354" s="98">
        <v>126.60000000000019</v>
      </c>
      <c r="T354" s="98">
        <v>176.56000000000012</v>
      </c>
      <c r="U354" s="98">
        <v>90.600000000000193</v>
      </c>
      <c r="V354" s="98">
        <v>418</v>
      </c>
      <c r="W354" s="98">
        <v>523.19999999999845</v>
      </c>
      <c r="X354" s="98"/>
      <c r="Y354" s="98"/>
      <c r="Z354" s="98"/>
      <c r="AA354" s="230"/>
      <c r="AB354" s="230"/>
    </row>
    <row r="355" spans="2:28">
      <c r="B355" s="98">
        <v>385</v>
      </c>
      <c r="C355" s="98">
        <v>102.2</v>
      </c>
      <c r="D355" s="98">
        <v>545.4</v>
      </c>
      <c r="E355" s="98">
        <v>171</v>
      </c>
      <c r="F355" s="98">
        <v>174.6</v>
      </c>
      <c r="G355" s="98">
        <v>136.5</v>
      </c>
      <c r="H355" s="98">
        <v>102</v>
      </c>
      <c r="I355" s="98">
        <v>124</v>
      </c>
      <c r="J355" s="98">
        <v>170</v>
      </c>
      <c r="K355" s="208">
        <v>99.799999999999841</v>
      </c>
      <c r="L355" s="208">
        <v>109.5000000000002</v>
      </c>
      <c r="M355" s="208">
        <v>136.10000000000048</v>
      </c>
      <c r="N355" s="98"/>
      <c r="O355" s="98"/>
      <c r="P355" s="98"/>
      <c r="Q355" s="208">
        <v>90.500000000000199</v>
      </c>
      <c r="R355" s="98">
        <v>114.40000000000012</v>
      </c>
      <c r="S355" s="98">
        <v>126.5000000000002</v>
      </c>
      <c r="T355" s="98">
        <v>176.40000000000012</v>
      </c>
      <c r="U355" s="98">
        <v>90.500000000000199</v>
      </c>
      <c r="V355" s="98">
        <v>417.5</v>
      </c>
      <c r="W355" s="98">
        <v>522.99999999999841</v>
      </c>
      <c r="X355" s="98"/>
      <c r="Y355" s="98"/>
      <c r="Z355" s="98"/>
      <c r="AA355" s="230"/>
      <c r="AB355" s="230"/>
    </row>
    <row r="356" spans="2:28">
      <c r="B356" s="98">
        <v>386</v>
      </c>
      <c r="C356" s="98">
        <v>102.1</v>
      </c>
      <c r="D356" s="98">
        <v>544.6</v>
      </c>
      <c r="E356" s="98">
        <v>170.8</v>
      </c>
      <c r="F356" s="98">
        <v>174.4</v>
      </c>
      <c r="G356" s="98">
        <v>136.4</v>
      </c>
      <c r="H356" s="98">
        <v>101.9</v>
      </c>
      <c r="I356" s="98">
        <v>123.9</v>
      </c>
      <c r="J356" s="98">
        <v>169.8</v>
      </c>
      <c r="K356" s="209">
        <v>99.679999999999836</v>
      </c>
      <c r="L356" s="209">
        <v>109.4000000000002</v>
      </c>
      <c r="M356" s="209">
        <v>135.96000000000049</v>
      </c>
      <c r="N356" s="98"/>
      <c r="O356" s="98"/>
      <c r="P356" s="98"/>
      <c r="Q356" s="208">
        <v>90.400000000000205</v>
      </c>
      <c r="R356" s="98">
        <v>114.24000000000012</v>
      </c>
      <c r="S356" s="98">
        <v>126.4000000000002</v>
      </c>
      <c r="T356" s="98">
        <v>176.24000000000012</v>
      </c>
      <c r="U356" s="98">
        <v>90.400000000000205</v>
      </c>
      <c r="V356" s="98">
        <v>417</v>
      </c>
      <c r="W356" s="98">
        <v>522.79999999999836</v>
      </c>
      <c r="X356" s="98"/>
      <c r="Y356" s="98"/>
      <c r="Z356" s="98"/>
      <c r="AA356" s="230"/>
      <c r="AB356" s="230"/>
    </row>
    <row r="357" spans="2:28">
      <c r="B357" s="98">
        <v>387</v>
      </c>
      <c r="C357" s="98">
        <v>102</v>
      </c>
      <c r="D357" s="98">
        <v>543.9</v>
      </c>
      <c r="E357" s="98">
        <v>170.6</v>
      </c>
      <c r="F357" s="98">
        <v>174.1</v>
      </c>
      <c r="G357" s="98">
        <v>136.30000000000001</v>
      </c>
      <c r="H357" s="98">
        <v>101.9</v>
      </c>
      <c r="I357" s="98">
        <v>123.9</v>
      </c>
      <c r="J357" s="98">
        <v>169.6</v>
      </c>
      <c r="K357" s="208">
        <v>99.559999999999832</v>
      </c>
      <c r="L357" s="208">
        <v>109.30000000000021</v>
      </c>
      <c r="M357" s="208">
        <v>135.8200000000005</v>
      </c>
      <c r="N357" s="98"/>
      <c r="O357" s="98"/>
      <c r="P357" s="98"/>
      <c r="Q357" s="208">
        <v>90.30000000000021</v>
      </c>
      <c r="R357" s="98">
        <v>114.08000000000013</v>
      </c>
      <c r="S357" s="98">
        <v>126.30000000000021</v>
      </c>
      <c r="T357" s="98">
        <v>176.08000000000013</v>
      </c>
      <c r="U357" s="98">
        <v>90.30000000000021</v>
      </c>
      <c r="V357" s="98">
        <v>416.5</v>
      </c>
      <c r="W357" s="98">
        <v>522.59999999999832</v>
      </c>
      <c r="X357" s="98"/>
      <c r="Y357" s="98"/>
      <c r="Z357" s="98"/>
      <c r="AA357" s="230"/>
      <c r="AB357" s="230"/>
    </row>
    <row r="358" spans="2:28">
      <c r="B358" s="98">
        <v>388</v>
      </c>
      <c r="C358" s="98">
        <v>102</v>
      </c>
      <c r="D358" s="98">
        <v>543.1</v>
      </c>
      <c r="E358" s="98">
        <v>170.4</v>
      </c>
      <c r="F358" s="98">
        <v>173.9</v>
      </c>
      <c r="G358" s="98">
        <v>136.19999999999999</v>
      </c>
      <c r="H358" s="98">
        <v>101.8</v>
      </c>
      <c r="I358" s="98">
        <v>123.8</v>
      </c>
      <c r="J358" s="98">
        <v>169.4</v>
      </c>
      <c r="K358" s="209">
        <v>99.439999999999827</v>
      </c>
      <c r="L358" s="209">
        <v>109.20000000000022</v>
      </c>
      <c r="M358" s="209">
        <v>135.68000000000052</v>
      </c>
      <c r="N358" s="98"/>
      <c r="O358" s="98"/>
      <c r="P358" s="98"/>
      <c r="Q358" s="208">
        <v>90.200000000000216</v>
      </c>
      <c r="R358" s="98">
        <v>113.92000000000013</v>
      </c>
      <c r="S358" s="98">
        <v>126.20000000000022</v>
      </c>
      <c r="T358" s="98">
        <v>175.92000000000013</v>
      </c>
      <c r="U358" s="98">
        <v>90.200000000000216</v>
      </c>
      <c r="V358" s="98">
        <v>416</v>
      </c>
      <c r="W358" s="98">
        <v>522.39999999999827</v>
      </c>
      <c r="X358" s="98"/>
      <c r="Y358" s="98"/>
      <c r="Z358" s="98"/>
      <c r="AA358" s="230"/>
      <c r="AB358" s="230"/>
    </row>
    <row r="359" spans="2:28">
      <c r="B359" s="98">
        <v>389</v>
      </c>
      <c r="C359" s="98">
        <v>101.9</v>
      </c>
      <c r="D359" s="98">
        <v>542.4</v>
      </c>
      <c r="E359" s="98">
        <v>170.2</v>
      </c>
      <c r="F359" s="98">
        <v>173.6</v>
      </c>
      <c r="G359" s="98">
        <v>136.1</v>
      </c>
      <c r="H359" s="98">
        <v>101.7</v>
      </c>
      <c r="I359" s="98">
        <v>123.7</v>
      </c>
      <c r="J359" s="98">
        <v>169.2</v>
      </c>
      <c r="K359" s="208">
        <v>99.319999999999823</v>
      </c>
      <c r="L359" s="208">
        <v>109.10000000000022</v>
      </c>
      <c r="M359" s="208">
        <v>135.54000000000053</v>
      </c>
      <c r="N359" s="98"/>
      <c r="O359" s="98"/>
      <c r="P359" s="98"/>
      <c r="Q359" s="208">
        <v>90.100000000000222</v>
      </c>
      <c r="R359" s="98">
        <v>113.76000000000013</v>
      </c>
      <c r="S359" s="98">
        <v>126.10000000000022</v>
      </c>
      <c r="T359" s="98">
        <v>175.76000000000013</v>
      </c>
      <c r="U359" s="98">
        <v>90.100000000000222</v>
      </c>
      <c r="V359" s="98">
        <v>415.5</v>
      </c>
      <c r="W359" s="98">
        <v>522.19999999999823</v>
      </c>
      <c r="X359" s="98"/>
      <c r="Y359" s="98"/>
      <c r="Z359" s="98"/>
      <c r="AA359" s="230"/>
      <c r="AB359" s="230"/>
    </row>
    <row r="360" spans="2:28">
      <c r="B360" s="98">
        <v>390</v>
      </c>
      <c r="C360" s="98">
        <v>101.8</v>
      </c>
      <c r="D360" s="98">
        <v>541.6</v>
      </c>
      <c r="E360" s="98">
        <v>170</v>
      </c>
      <c r="F360" s="98">
        <v>173.4</v>
      </c>
      <c r="G360" s="98">
        <v>136</v>
      </c>
      <c r="H360" s="98">
        <v>101.6</v>
      </c>
      <c r="I360" s="98">
        <v>123.6</v>
      </c>
      <c r="J360" s="98">
        <v>169</v>
      </c>
      <c r="K360" s="209">
        <v>99.199999999999818</v>
      </c>
      <c r="L360" s="209">
        <v>109.00000000000023</v>
      </c>
      <c r="M360" s="209">
        <v>135.40000000000055</v>
      </c>
      <c r="N360" s="98"/>
      <c r="O360" s="98"/>
      <c r="P360" s="98"/>
      <c r="Q360" s="208">
        <v>90.000000000000227</v>
      </c>
      <c r="R360" s="98">
        <v>113.60000000000014</v>
      </c>
      <c r="S360" s="98">
        <v>126.00000000000023</v>
      </c>
      <c r="T360" s="98">
        <v>175.60000000000014</v>
      </c>
      <c r="U360" s="98">
        <v>90.000000000000227</v>
      </c>
      <c r="V360" s="98">
        <v>415</v>
      </c>
      <c r="W360" s="98">
        <v>521.99999999999818</v>
      </c>
      <c r="X360" s="98"/>
      <c r="Y360" s="98"/>
      <c r="Z360" s="98"/>
      <c r="AA360" s="230"/>
      <c r="AB360" s="230"/>
    </row>
    <row r="361" spans="2:28">
      <c r="B361" s="98">
        <v>391</v>
      </c>
      <c r="C361" s="98">
        <v>101.7</v>
      </c>
      <c r="D361" s="98">
        <v>540.79999999999995</v>
      </c>
      <c r="E361" s="98">
        <v>169.8</v>
      </c>
      <c r="F361" s="98">
        <v>173.2</v>
      </c>
      <c r="G361" s="98">
        <v>135.9</v>
      </c>
      <c r="H361" s="98">
        <v>101.6</v>
      </c>
      <c r="I361" s="98">
        <v>123.6</v>
      </c>
      <c r="J361" s="98">
        <v>168.8</v>
      </c>
      <c r="K361" s="208">
        <v>99.079999999999814</v>
      </c>
      <c r="L361" s="208">
        <v>108.90000000000023</v>
      </c>
      <c r="M361" s="208">
        <v>135.26000000000056</v>
      </c>
      <c r="N361" s="98"/>
      <c r="O361" s="98"/>
      <c r="P361" s="98"/>
      <c r="Q361" s="208">
        <v>89.900000000000233</v>
      </c>
      <c r="R361" s="98">
        <v>113.44000000000014</v>
      </c>
      <c r="S361" s="98">
        <v>125.90000000000023</v>
      </c>
      <c r="T361" s="98">
        <v>175.44000000000014</v>
      </c>
      <c r="U361" s="98">
        <v>89.900000000000233</v>
      </c>
      <c r="V361" s="98">
        <v>414.5</v>
      </c>
      <c r="W361" s="98">
        <v>521.79999999999814</v>
      </c>
      <c r="X361" s="98"/>
      <c r="Y361" s="98"/>
      <c r="Z361" s="98"/>
      <c r="AA361" s="230"/>
      <c r="AB361" s="230"/>
    </row>
    <row r="362" spans="2:28">
      <c r="B362" s="98">
        <v>392</v>
      </c>
      <c r="C362" s="98">
        <v>101.6</v>
      </c>
      <c r="D362" s="98">
        <v>540.1</v>
      </c>
      <c r="E362" s="98">
        <v>169.6</v>
      </c>
      <c r="F362" s="98">
        <v>172.9</v>
      </c>
      <c r="G362" s="98">
        <v>135.80000000000001</v>
      </c>
      <c r="H362" s="98">
        <v>101.5</v>
      </c>
      <c r="I362" s="98">
        <v>123.5</v>
      </c>
      <c r="J362" s="98">
        <v>168.6</v>
      </c>
      <c r="K362" s="209">
        <v>98.959999999999809</v>
      </c>
      <c r="L362" s="209">
        <v>108.80000000000024</v>
      </c>
      <c r="M362" s="209">
        <v>135.12000000000057</v>
      </c>
      <c r="N362" s="98"/>
      <c r="O362" s="98"/>
      <c r="P362" s="98"/>
      <c r="Q362" s="208">
        <v>89.800000000000239</v>
      </c>
      <c r="R362" s="98">
        <v>113.28000000000014</v>
      </c>
      <c r="S362" s="98">
        <v>125.80000000000024</v>
      </c>
      <c r="T362" s="98">
        <v>175.28000000000014</v>
      </c>
      <c r="U362" s="98">
        <v>89.800000000000239</v>
      </c>
      <c r="V362" s="98">
        <v>414</v>
      </c>
      <c r="W362" s="98">
        <v>521.59999999999809</v>
      </c>
      <c r="X362" s="98"/>
      <c r="Y362" s="98"/>
      <c r="Z362" s="98"/>
      <c r="AA362" s="230"/>
      <c r="AB362" s="230"/>
    </row>
    <row r="363" spans="2:28">
      <c r="B363" s="98">
        <v>393</v>
      </c>
      <c r="C363" s="98">
        <v>101.6</v>
      </c>
      <c r="D363" s="98">
        <v>539.29999999999995</v>
      </c>
      <c r="E363" s="98">
        <v>169.4</v>
      </c>
      <c r="F363" s="98">
        <v>172.7</v>
      </c>
      <c r="G363" s="98">
        <v>135.69999999999999</v>
      </c>
      <c r="H363" s="98">
        <v>101.4</v>
      </c>
      <c r="I363" s="98">
        <v>123.4</v>
      </c>
      <c r="J363" s="98">
        <v>168.4</v>
      </c>
      <c r="K363" s="208">
        <v>98.839999999999804</v>
      </c>
      <c r="L363" s="208">
        <v>108.70000000000024</v>
      </c>
      <c r="M363" s="208">
        <v>134.98000000000059</v>
      </c>
      <c r="N363" s="98"/>
      <c r="O363" s="98"/>
      <c r="P363" s="98"/>
      <c r="Q363" s="208">
        <v>89.700000000000244</v>
      </c>
      <c r="R363" s="98">
        <v>113.12000000000015</v>
      </c>
      <c r="S363" s="98">
        <v>125.70000000000024</v>
      </c>
      <c r="T363" s="98">
        <v>175.12000000000015</v>
      </c>
      <c r="U363" s="98">
        <v>89.700000000000244</v>
      </c>
      <c r="V363" s="98">
        <v>413.5</v>
      </c>
      <c r="W363" s="98">
        <v>521.39999999999804</v>
      </c>
      <c r="X363" s="98"/>
      <c r="Y363" s="98"/>
      <c r="Z363" s="98"/>
      <c r="AA363" s="230"/>
      <c r="AB363" s="230"/>
    </row>
    <row r="364" spans="2:28">
      <c r="B364" s="98">
        <v>394</v>
      </c>
      <c r="C364" s="98">
        <v>101.5</v>
      </c>
      <c r="D364" s="98">
        <v>538.6</v>
      </c>
      <c r="E364" s="98">
        <v>169.2</v>
      </c>
      <c r="F364" s="98">
        <v>172.4</v>
      </c>
      <c r="G364" s="98">
        <v>135.6</v>
      </c>
      <c r="H364" s="98">
        <v>101.4</v>
      </c>
      <c r="I364" s="98">
        <v>123.4</v>
      </c>
      <c r="J364" s="98">
        <v>168.2</v>
      </c>
      <c r="K364" s="209">
        <v>98.7199999999998</v>
      </c>
      <c r="L364" s="209">
        <v>108.60000000000025</v>
      </c>
      <c r="M364" s="209">
        <v>134.8400000000006</v>
      </c>
      <c r="N364" s="98"/>
      <c r="O364" s="98"/>
      <c r="P364" s="98"/>
      <c r="Q364" s="208">
        <v>89.60000000000025</v>
      </c>
      <c r="R364" s="98">
        <v>112.96000000000015</v>
      </c>
      <c r="S364" s="98">
        <v>125.60000000000025</v>
      </c>
      <c r="T364" s="98">
        <v>174.96000000000015</v>
      </c>
      <c r="U364" s="98">
        <v>89.60000000000025</v>
      </c>
      <c r="V364" s="98">
        <v>413</v>
      </c>
      <c r="W364" s="98">
        <v>521.199999999998</v>
      </c>
      <c r="X364" s="98"/>
      <c r="Y364" s="98"/>
      <c r="Z364" s="98"/>
      <c r="AA364" s="230"/>
      <c r="AB364" s="230"/>
    </row>
    <row r="365" spans="2:28">
      <c r="B365" s="98">
        <v>395</v>
      </c>
      <c r="C365" s="98">
        <v>101.4</v>
      </c>
      <c r="D365" s="98">
        <v>537.79999999999995</v>
      </c>
      <c r="E365" s="98">
        <v>169</v>
      </c>
      <c r="F365" s="98">
        <v>172.2</v>
      </c>
      <c r="G365" s="98">
        <v>135.5</v>
      </c>
      <c r="H365" s="98">
        <v>101.3</v>
      </c>
      <c r="I365" s="98">
        <v>123.3</v>
      </c>
      <c r="J365" s="98">
        <v>168</v>
      </c>
      <c r="K365" s="208">
        <v>98.599999999999795</v>
      </c>
      <c r="L365" s="208">
        <v>108.50000000000026</v>
      </c>
      <c r="M365" s="208">
        <v>134.70000000000061</v>
      </c>
      <c r="N365" s="98"/>
      <c r="O365" s="98"/>
      <c r="P365" s="98"/>
      <c r="Q365" s="208">
        <v>89.500000000000256</v>
      </c>
      <c r="R365" s="98">
        <v>112.80000000000015</v>
      </c>
      <c r="S365" s="98">
        <v>125.50000000000026</v>
      </c>
      <c r="T365" s="98">
        <v>174.80000000000015</v>
      </c>
      <c r="U365" s="98">
        <v>89.500000000000256</v>
      </c>
      <c r="V365" s="98">
        <v>412.5</v>
      </c>
      <c r="W365" s="98">
        <v>520.99999999999795</v>
      </c>
      <c r="X365" s="98"/>
      <c r="Y365" s="98"/>
      <c r="Z365" s="98"/>
      <c r="AA365" s="230"/>
      <c r="AB365" s="230"/>
    </row>
    <row r="366" spans="2:28">
      <c r="B366" s="98">
        <v>396</v>
      </c>
      <c r="C366" s="98">
        <v>101.3</v>
      </c>
      <c r="D366" s="98">
        <v>537</v>
      </c>
      <c r="E366" s="98">
        <v>168.8</v>
      </c>
      <c r="F366" s="98">
        <v>172</v>
      </c>
      <c r="G366" s="98">
        <v>135.4</v>
      </c>
      <c r="H366" s="98">
        <v>101.2</v>
      </c>
      <c r="I366" s="98">
        <v>123.2</v>
      </c>
      <c r="J366" s="98">
        <v>167.8</v>
      </c>
      <c r="K366" s="209">
        <v>98.479999999999791</v>
      </c>
      <c r="L366" s="209">
        <v>108.40000000000026</v>
      </c>
      <c r="M366" s="209">
        <v>134.56000000000063</v>
      </c>
      <c r="N366" s="98"/>
      <c r="O366" s="98"/>
      <c r="P366" s="98"/>
      <c r="Q366" s="208">
        <v>89.400000000000261</v>
      </c>
      <c r="R366" s="98">
        <v>112.64000000000016</v>
      </c>
      <c r="S366" s="98">
        <v>125.40000000000026</v>
      </c>
      <c r="T366" s="98">
        <v>174.64000000000016</v>
      </c>
      <c r="U366" s="98">
        <v>89.400000000000261</v>
      </c>
      <c r="V366" s="98">
        <v>412</v>
      </c>
      <c r="W366" s="98">
        <v>520.79999999999791</v>
      </c>
      <c r="X366" s="98"/>
      <c r="Y366" s="98"/>
      <c r="Z366" s="98"/>
      <c r="AA366" s="230"/>
      <c r="AB366" s="230"/>
    </row>
    <row r="367" spans="2:28">
      <c r="B367" s="98">
        <v>397</v>
      </c>
      <c r="C367" s="98">
        <v>101.2</v>
      </c>
      <c r="D367" s="98">
        <v>536.29999999999995</v>
      </c>
      <c r="E367" s="98">
        <v>168.6</v>
      </c>
      <c r="F367" s="98">
        <v>171.7</v>
      </c>
      <c r="G367" s="98">
        <v>135.30000000000001</v>
      </c>
      <c r="H367" s="98">
        <v>101.1</v>
      </c>
      <c r="I367" s="98">
        <v>123.1</v>
      </c>
      <c r="J367" s="98">
        <v>167.6</v>
      </c>
      <c r="K367" s="208">
        <v>98.359999999999786</v>
      </c>
      <c r="L367" s="208">
        <v>108.30000000000027</v>
      </c>
      <c r="M367" s="208">
        <v>134.42000000000064</v>
      </c>
      <c r="N367" s="98"/>
      <c r="O367" s="98"/>
      <c r="P367" s="98"/>
      <c r="Q367" s="208">
        <v>89.300000000000267</v>
      </c>
      <c r="R367" s="98">
        <v>112.48000000000016</v>
      </c>
      <c r="S367" s="98">
        <v>125.30000000000027</v>
      </c>
      <c r="T367" s="98">
        <v>174.48000000000016</v>
      </c>
      <c r="U367" s="98">
        <v>89.300000000000267</v>
      </c>
      <c r="V367" s="98">
        <v>411.5</v>
      </c>
      <c r="W367" s="98">
        <v>520.59999999999786</v>
      </c>
      <c r="X367" s="98"/>
      <c r="Y367" s="98"/>
      <c r="Z367" s="98"/>
      <c r="AA367" s="230"/>
      <c r="AB367" s="230"/>
    </row>
    <row r="368" spans="2:28">
      <c r="B368" s="98">
        <v>398</v>
      </c>
      <c r="C368" s="98">
        <v>101.2</v>
      </c>
      <c r="D368" s="98">
        <v>535.5</v>
      </c>
      <c r="E368" s="98">
        <v>168.4</v>
      </c>
      <c r="F368" s="98">
        <v>171.5</v>
      </c>
      <c r="G368" s="98">
        <v>135.19999999999999</v>
      </c>
      <c r="H368" s="98">
        <v>101.1</v>
      </c>
      <c r="I368" s="98">
        <v>123.1</v>
      </c>
      <c r="J368" s="98">
        <v>167.4</v>
      </c>
      <c r="K368" s="209">
        <v>98.239999999999782</v>
      </c>
      <c r="L368" s="209">
        <v>108.20000000000027</v>
      </c>
      <c r="M368" s="209">
        <v>134.28000000000065</v>
      </c>
      <c r="N368" s="98"/>
      <c r="O368" s="98"/>
      <c r="P368" s="98"/>
      <c r="Q368" s="208">
        <v>89.200000000000273</v>
      </c>
      <c r="R368" s="98">
        <v>112.32000000000016</v>
      </c>
      <c r="S368" s="98">
        <v>125.20000000000027</v>
      </c>
      <c r="T368" s="98">
        <v>174.32000000000016</v>
      </c>
      <c r="U368" s="98">
        <v>89.200000000000273</v>
      </c>
      <c r="V368" s="98">
        <v>411</v>
      </c>
      <c r="W368" s="98">
        <v>520.39999999999782</v>
      </c>
      <c r="X368" s="98"/>
      <c r="Y368" s="98"/>
      <c r="Z368" s="98"/>
      <c r="AA368" s="230"/>
      <c r="AB368" s="230"/>
    </row>
    <row r="369" spans="2:28">
      <c r="B369" s="98">
        <v>399</v>
      </c>
      <c r="C369" s="98">
        <v>101.1</v>
      </c>
      <c r="D369" s="98">
        <v>534.79999999999995</v>
      </c>
      <c r="E369" s="98">
        <v>168.2</v>
      </c>
      <c r="F369" s="98">
        <v>171.2</v>
      </c>
      <c r="G369" s="98">
        <v>135.1</v>
      </c>
      <c r="H369" s="98">
        <v>101</v>
      </c>
      <c r="I369" s="98">
        <v>123</v>
      </c>
      <c r="J369" s="98">
        <v>167.2</v>
      </c>
      <c r="K369" s="208">
        <v>98.119999999999777</v>
      </c>
      <c r="L369" s="208">
        <v>108.10000000000028</v>
      </c>
      <c r="M369" s="208">
        <v>134.14000000000067</v>
      </c>
      <c r="N369" s="98"/>
      <c r="O369" s="98"/>
      <c r="P369" s="98"/>
      <c r="Q369" s="208">
        <v>89.100000000000279</v>
      </c>
      <c r="R369" s="98">
        <v>112.16000000000017</v>
      </c>
      <c r="S369" s="98">
        <v>125.10000000000028</v>
      </c>
      <c r="T369" s="98">
        <v>174.16000000000017</v>
      </c>
      <c r="U369" s="98">
        <v>89.100000000000279</v>
      </c>
      <c r="V369" s="98">
        <v>410.5</v>
      </c>
      <c r="W369" s="98">
        <v>520.19999999999777</v>
      </c>
      <c r="X369" s="98"/>
      <c r="Y369" s="98"/>
      <c r="Z369" s="98"/>
      <c r="AA369" s="230"/>
      <c r="AB369" s="230"/>
    </row>
    <row r="370" spans="2:28">
      <c r="B370" s="98">
        <v>400</v>
      </c>
      <c r="C370" s="98">
        <v>101</v>
      </c>
      <c r="D370" s="98">
        <v>534</v>
      </c>
      <c r="E370" s="98">
        <v>168</v>
      </c>
      <c r="F370" s="98">
        <v>171</v>
      </c>
      <c r="G370" s="98">
        <v>135</v>
      </c>
      <c r="H370" s="98">
        <v>101</v>
      </c>
      <c r="I370" s="98">
        <v>122.9</v>
      </c>
      <c r="J370" s="98">
        <v>167</v>
      </c>
      <c r="K370" s="209">
        <v>98</v>
      </c>
      <c r="L370" s="209">
        <v>108</v>
      </c>
      <c r="M370" s="209">
        <v>134</v>
      </c>
      <c r="N370" s="98"/>
      <c r="O370" s="98"/>
      <c r="P370" s="98">
        <v>315</v>
      </c>
      <c r="Q370" s="209">
        <v>89</v>
      </c>
      <c r="R370" s="98">
        <v>112</v>
      </c>
      <c r="S370" s="98">
        <v>125</v>
      </c>
      <c r="T370" s="98">
        <v>174</v>
      </c>
      <c r="U370" s="98">
        <v>89</v>
      </c>
      <c r="V370" s="98">
        <v>410</v>
      </c>
      <c r="W370" s="98">
        <v>520</v>
      </c>
      <c r="X370" s="98"/>
      <c r="Y370" s="98"/>
      <c r="Z370" s="98"/>
      <c r="AA370" s="230">
        <v>475</v>
      </c>
      <c r="AB370" s="230"/>
    </row>
    <row r="371" spans="2:28">
      <c r="B371" s="98">
        <v>401</v>
      </c>
      <c r="C371" s="98">
        <v>101</v>
      </c>
      <c r="D371" s="98">
        <v>533.1</v>
      </c>
      <c r="E371" s="98">
        <v>167.8</v>
      </c>
      <c r="F371" s="98">
        <v>170.8</v>
      </c>
      <c r="G371" s="98">
        <v>134.9</v>
      </c>
      <c r="H371" s="98">
        <v>100.9</v>
      </c>
      <c r="I371" s="98">
        <v>122.9</v>
      </c>
      <c r="J371" s="98">
        <v>166.8</v>
      </c>
      <c r="K371" s="208">
        <v>97.94</v>
      </c>
      <c r="L371" s="208">
        <v>107.9</v>
      </c>
      <c r="M371" s="208">
        <v>133.88</v>
      </c>
      <c r="N371" s="98"/>
      <c r="O371" s="98"/>
      <c r="P371" s="98"/>
      <c r="Q371" s="208">
        <v>88.92</v>
      </c>
      <c r="R371" s="98">
        <v>111.92</v>
      </c>
      <c r="S371" s="98">
        <v>124.92</v>
      </c>
      <c r="T371" s="98">
        <v>173.88</v>
      </c>
      <c r="U371" s="98">
        <v>88.92</v>
      </c>
      <c r="V371" s="98">
        <v>409.4</v>
      </c>
      <c r="W371" s="98">
        <v>519.79999999999995</v>
      </c>
      <c r="X371" s="98"/>
      <c r="Y371" s="98"/>
      <c r="Z371" s="98"/>
      <c r="AA371" s="230"/>
      <c r="AB371" s="230"/>
    </row>
    <row r="372" spans="2:28">
      <c r="B372" s="98">
        <v>402</v>
      </c>
      <c r="C372" s="98">
        <v>100.9</v>
      </c>
      <c r="D372" s="98">
        <v>532.20000000000005</v>
      </c>
      <c r="E372" s="98">
        <v>167.6</v>
      </c>
      <c r="F372" s="98">
        <v>170.6</v>
      </c>
      <c r="G372" s="98">
        <v>134.80000000000001</v>
      </c>
      <c r="H372" s="98">
        <v>100.9</v>
      </c>
      <c r="I372" s="98">
        <v>122.8</v>
      </c>
      <c r="J372" s="98">
        <v>166.6</v>
      </c>
      <c r="K372" s="209">
        <v>97.88</v>
      </c>
      <c r="L372" s="209">
        <v>107.80000000000001</v>
      </c>
      <c r="M372" s="209">
        <v>133.76</v>
      </c>
      <c r="N372" s="98"/>
      <c r="O372" s="98"/>
      <c r="P372" s="98"/>
      <c r="Q372" s="208">
        <v>88.84</v>
      </c>
      <c r="R372" s="98">
        <v>111.84</v>
      </c>
      <c r="S372" s="98">
        <v>124.84</v>
      </c>
      <c r="T372" s="98">
        <v>173.76</v>
      </c>
      <c r="U372" s="98">
        <v>88.84</v>
      </c>
      <c r="V372" s="98">
        <v>408.79999999999995</v>
      </c>
      <c r="W372" s="98">
        <v>519.59999999999991</v>
      </c>
      <c r="X372" s="98"/>
      <c r="Y372" s="98"/>
      <c r="Z372" s="98"/>
      <c r="AA372" s="230"/>
      <c r="AB372" s="230"/>
    </row>
    <row r="373" spans="2:28">
      <c r="B373" s="98">
        <v>403</v>
      </c>
      <c r="C373" s="98">
        <v>100.9</v>
      </c>
      <c r="D373" s="98">
        <v>531.20000000000005</v>
      </c>
      <c r="E373" s="98">
        <v>167.4</v>
      </c>
      <c r="F373" s="98">
        <v>170.4</v>
      </c>
      <c r="G373" s="98">
        <v>134.80000000000001</v>
      </c>
      <c r="H373" s="98">
        <v>100.9</v>
      </c>
      <c r="I373" s="98">
        <v>122.7</v>
      </c>
      <c r="J373" s="98">
        <v>166.4</v>
      </c>
      <c r="K373" s="208">
        <v>97.82</v>
      </c>
      <c r="L373" s="208">
        <v>107.70000000000002</v>
      </c>
      <c r="M373" s="208">
        <v>133.63999999999999</v>
      </c>
      <c r="N373" s="98"/>
      <c r="O373" s="98"/>
      <c r="P373" s="98"/>
      <c r="Q373" s="208">
        <v>88.76</v>
      </c>
      <c r="R373" s="98">
        <v>111.76</v>
      </c>
      <c r="S373" s="98">
        <v>124.76</v>
      </c>
      <c r="T373" s="98">
        <v>173.64</v>
      </c>
      <c r="U373" s="98">
        <v>88.76</v>
      </c>
      <c r="V373" s="98">
        <v>408.19999999999993</v>
      </c>
      <c r="W373" s="98">
        <v>519.39999999999986</v>
      </c>
      <c r="X373" s="98"/>
      <c r="Y373" s="98"/>
      <c r="Z373" s="98"/>
      <c r="AA373" s="230"/>
      <c r="AB373" s="230"/>
    </row>
    <row r="374" spans="2:28">
      <c r="B374" s="98">
        <v>404</v>
      </c>
      <c r="C374" s="98">
        <v>100.8</v>
      </c>
      <c r="D374" s="98">
        <v>530.29999999999995</v>
      </c>
      <c r="E374" s="98">
        <v>167.2</v>
      </c>
      <c r="F374" s="98">
        <v>170.2</v>
      </c>
      <c r="G374" s="98">
        <v>134.69999999999999</v>
      </c>
      <c r="H374" s="98">
        <v>100.8</v>
      </c>
      <c r="I374" s="98">
        <v>122.6</v>
      </c>
      <c r="J374" s="98">
        <v>166.2</v>
      </c>
      <c r="K374" s="209">
        <v>97.759999999999991</v>
      </c>
      <c r="L374" s="209">
        <v>107.60000000000002</v>
      </c>
      <c r="M374" s="209">
        <v>133.51999999999998</v>
      </c>
      <c r="N374" s="98"/>
      <c r="O374" s="98"/>
      <c r="P374" s="98"/>
      <c r="Q374" s="208">
        <v>88.68</v>
      </c>
      <c r="R374" s="98">
        <v>111.68</v>
      </c>
      <c r="S374" s="98">
        <v>124.68</v>
      </c>
      <c r="T374" s="98">
        <v>173.51999999999998</v>
      </c>
      <c r="U374" s="98">
        <v>88.68</v>
      </c>
      <c r="V374" s="98">
        <v>407.59999999999991</v>
      </c>
      <c r="W374" s="98">
        <v>519.19999999999982</v>
      </c>
      <c r="X374" s="98"/>
      <c r="Y374" s="98"/>
      <c r="Z374" s="98"/>
      <c r="AA374" s="230"/>
      <c r="AB374" s="230"/>
    </row>
    <row r="375" spans="2:28">
      <c r="B375" s="98">
        <v>405</v>
      </c>
      <c r="C375" s="98">
        <v>100.8</v>
      </c>
      <c r="D375" s="98">
        <v>529.4</v>
      </c>
      <c r="E375" s="98">
        <v>167</v>
      </c>
      <c r="F375" s="98">
        <v>170</v>
      </c>
      <c r="G375" s="98">
        <v>134.6</v>
      </c>
      <c r="H375" s="98">
        <v>100.8</v>
      </c>
      <c r="I375" s="98">
        <v>122.6</v>
      </c>
      <c r="J375" s="98">
        <v>166</v>
      </c>
      <c r="K375" s="208">
        <v>97.699999999999989</v>
      </c>
      <c r="L375" s="208">
        <v>107.50000000000003</v>
      </c>
      <c r="M375" s="208">
        <v>133.39999999999998</v>
      </c>
      <c r="N375" s="98"/>
      <c r="O375" s="98"/>
      <c r="P375" s="98"/>
      <c r="Q375" s="208">
        <v>88.600000000000009</v>
      </c>
      <c r="R375" s="98">
        <v>111.60000000000001</v>
      </c>
      <c r="S375" s="98">
        <v>124.60000000000001</v>
      </c>
      <c r="T375" s="98">
        <v>173.39999999999998</v>
      </c>
      <c r="U375" s="98">
        <v>88.600000000000009</v>
      </c>
      <c r="V375" s="98">
        <v>406.99999999999989</v>
      </c>
      <c r="W375" s="98">
        <v>518.99999999999977</v>
      </c>
      <c r="X375" s="98"/>
      <c r="Y375" s="98"/>
      <c r="Z375" s="98"/>
      <c r="AA375" s="230"/>
      <c r="AB375" s="230"/>
    </row>
    <row r="376" spans="2:28">
      <c r="B376" s="98">
        <v>406</v>
      </c>
      <c r="C376" s="98">
        <v>100.8</v>
      </c>
      <c r="D376" s="98">
        <v>528.5</v>
      </c>
      <c r="E376" s="98">
        <v>166.8</v>
      </c>
      <c r="F376" s="98">
        <v>169.8</v>
      </c>
      <c r="G376" s="98">
        <v>134.5</v>
      </c>
      <c r="H376" s="98">
        <v>100.8</v>
      </c>
      <c r="I376" s="98">
        <v>122.5</v>
      </c>
      <c r="J376" s="98">
        <v>165.8</v>
      </c>
      <c r="K376" s="209">
        <v>97.639999999999986</v>
      </c>
      <c r="L376" s="209">
        <v>107.40000000000003</v>
      </c>
      <c r="M376" s="209">
        <v>133.27999999999997</v>
      </c>
      <c r="N376" s="98"/>
      <c r="O376" s="98"/>
      <c r="P376" s="98"/>
      <c r="Q376" s="208">
        <v>88.52000000000001</v>
      </c>
      <c r="R376" s="98">
        <v>111.52000000000001</v>
      </c>
      <c r="S376" s="98">
        <v>124.52000000000001</v>
      </c>
      <c r="T376" s="98">
        <v>173.27999999999997</v>
      </c>
      <c r="U376" s="98">
        <v>88.52000000000001</v>
      </c>
      <c r="V376" s="98">
        <v>406.39999999999986</v>
      </c>
      <c r="W376" s="98">
        <v>518.79999999999973</v>
      </c>
      <c r="X376" s="98"/>
      <c r="Y376" s="98"/>
      <c r="Z376" s="98"/>
      <c r="AA376" s="230"/>
      <c r="AB376" s="230"/>
    </row>
    <row r="377" spans="2:28">
      <c r="B377" s="98">
        <v>407</v>
      </c>
      <c r="C377" s="98">
        <v>100.7</v>
      </c>
      <c r="D377" s="98">
        <v>527.6</v>
      </c>
      <c r="E377" s="98">
        <v>166.6</v>
      </c>
      <c r="F377" s="98">
        <v>169.6</v>
      </c>
      <c r="G377" s="98">
        <v>134.4</v>
      </c>
      <c r="H377" s="98">
        <v>100.7</v>
      </c>
      <c r="I377" s="98">
        <v>122.4</v>
      </c>
      <c r="J377" s="98">
        <v>165.6</v>
      </c>
      <c r="K377" s="208">
        <v>97.579999999999984</v>
      </c>
      <c r="L377" s="208">
        <v>107.30000000000004</v>
      </c>
      <c r="M377" s="208">
        <v>133.15999999999997</v>
      </c>
      <c r="N377" s="98"/>
      <c r="O377" s="98"/>
      <c r="P377" s="98"/>
      <c r="Q377" s="208">
        <v>88.440000000000012</v>
      </c>
      <c r="R377" s="98">
        <v>111.44000000000001</v>
      </c>
      <c r="S377" s="98">
        <v>124.44000000000001</v>
      </c>
      <c r="T377" s="98">
        <v>173.15999999999997</v>
      </c>
      <c r="U377" s="98">
        <v>88.440000000000012</v>
      </c>
      <c r="V377" s="98">
        <v>405.79999999999984</v>
      </c>
      <c r="W377" s="98">
        <v>518.59999999999968</v>
      </c>
      <c r="X377" s="98"/>
      <c r="Y377" s="98"/>
      <c r="Z377" s="98"/>
      <c r="AA377" s="230"/>
      <c r="AB377" s="230"/>
    </row>
    <row r="378" spans="2:28">
      <c r="B378" s="98">
        <v>408</v>
      </c>
      <c r="C378" s="98">
        <v>100.7</v>
      </c>
      <c r="D378" s="98">
        <v>526.6</v>
      </c>
      <c r="E378" s="98">
        <v>166.4</v>
      </c>
      <c r="F378" s="98">
        <v>169.4</v>
      </c>
      <c r="G378" s="98">
        <v>134.4</v>
      </c>
      <c r="H378" s="98">
        <v>100.7</v>
      </c>
      <c r="I378" s="98">
        <v>122.4</v>
      </c>
      <c r="J378" s="98">
        <v>165.4</v>
      </c>
      <c r="K378" s="209">
        <v>97.519999999999982</v>
      </c>
      <c r="L378" s="209">
        <v>107.20000000000005</v>
      </c>
      <c r="M378" s="209">
        <v>133.03999999999996</v>
      </c>
      <c r="N378" s="98"/>
      <c r="O378" s="98"/>
      <c r="P378" s="98"/>
      <c r="Q378" s="208">
        <v>88.360000000000014</v>
      </c>
      <c r="R378" s="98">
        <v>111.36000000000001</v>
      </c>
      <c r="S378" s="98">
        <v>124.36000000000001</v>
      </c>
      <c r="T378" s="98">
        <v>173.03999999999996</v>
      </c>
      <c r="U378" s="98">
        <v>88.360000000000014</v>
      </c>
      <c r="V378" s="98">
        <v>405.19999999999982</v>
      </c>
      <c r="W378" s="98">
        <v>518.39999999999964</v>
      </c>
      <c r="X378" s="98"/>
      <c r="Y378" s="98"/>
      <c r="Z378" s="98"/>
      <c r="AA378" s="230"/>
      <c r="AB378" s="230"/>
    </row>
    <row r="379" spans="2:28">
      <c r="B379" s="98">
        <v>409</v>
      </c>
      <c r="C379" s="98">
        <v>100.6</v>
      </c>
      <c r="D379" s="98">
        <v>525.70000000000005</v>
      </c>
      <c r="E379" s="98">
        <v>166.2</v>
      </c>
      <c r="F379" s="98">
        <v>169.2</v>
      </c>
      <c r="G379" s="98">
        <v>134.30000000000001</v>
      </c>
      <c r="H379" s="98">
        <v>100.6</v>
      </c>
      <c r="I379" s="98">
        <v>122.3</v>
      </c>
      <c r="J379" s="98">
        <v>165.2</v>
      </c>
      <c r="K379" s="208">
        <v>97.45999999999998</v>
      </c>
      <c r="L379" s="208">
        <v>107.10000000000005</v>
      </c>
      <c r="M379" s="208">
        <v>132.91999999999996</v>
      </c>
      <c r="N379" s="98"/>
      <c r="O379" s="98"/>
      <c r="P379" s="98"/>
      <c r="Q379" s="208">
        <v>88.280000000000015</v>
      </c>
      <c r="R379" s="98">
        <v>111.28000000000002</v>
      </c>
      <c r="S379" s="98">
        <v>124.28000000000002</v>
      </c>
      <c r="T379" s="98">
        <v>172.91999999999996</v>
      </c>
      <c r="U379" s="98">
        <v>88.280000000000015</v>
      </c>
      <c r="V379" s="98">
        <v>404.5999999999998</v>
      </c>
      <c r="W379" s="98">
        <v>518.19999999999959</v>
      </c>
      <c r="X379" s="98"/>
      <c r="Y379" s="98"/>
      <c r="Z379" s="98"/>
      <c r="AA379" s="230"/>
      <c r="AB379" s="230"/>
    </row>
    <row r="380" spans="2:28">
      <c r="B380" s="98">
        <v>410</v>
      </c>
      <c r="C380" s="98">
        <v>100.6</v>
      </c>
      <c r="D380" s="98">
        <v>524.79999999999995</v>
      </c>
      <c r="E380" s="98">
        <v>166</v>
      </c>
      <c r="F380" s="98">
        <v>169</v>
      </c>
      <c r="G380" s="98">
        <v>134.19999999999999</v>
      </c>
      <c r="H380" s="98">
        <v>100.6</v>
      </c>
      <c r="I380" s="98">
        <v>122.2</v>
      </c>
      <c r="J380" s="98">
        <v>165</v>
      </c>
      <c r="K380" s="209">
        <v>97.399999999999977</v>
      </c>
      <c r="L380" s="209">
        <v>107.00000000000006</v>
      </c>
      <c r="M380" s="209">
        <v>132.79999999999995</v>
      </c>
      <c r="N380" s="98"/>
      <c r="O380" s="98"/>
      <c r="P380" s="98"/>
      <c r="Q380" s="208">
        <v>88.200000000000017</v>
      </c>
      <c r="R380" s="98">
        <v>111.20000000000002</v>
      </c>
      <c r="S380" s="98">
        <v>124.20000000000002</v>
      </c>
      <c r="T380" s="98">
        <v>172.79999999999995</v>
      </c>
      <c r="U380" s="98">
        <v>88.200000000000017</v>
      </c>
      <c r="V380" s="98">
        <v>403.99999999999977</v>
      </c>
      <c r="W380" s="98">
        <v>517.99999999999955</v>
      </c>
      <c r="X380" s="98"/>
      <c r="Y380" s="98"/>
      <c r="Z380" s="98"/>
      <c r="AA380" s="230"/>
      <c r="AB380" s="230"/>
    </row>
    <row r="381" spans="2:28">
      <c r="B381" s="98">
        <v>411</v>
      </c>
      <c r="C381" s="98">
        <v>100.6</v>
      </c>
      <c r="D381" s="98">
        <v>523.9</v>
      </c>
      <c r="E381" s="98">
        <v>165.8</v>
      </c>
      <c r="F381" s="98">
        <v>168.8</v>
      </c>
      <c r="G381" s="98">
        <v>134.1</v>
      </c>
      <c r="H381" s="98">
        <v>100.6</v>
      </c>
      <c r="I381" s="98">
        <v>122.1</v>
      </c>
      <c r="J381" s="98">
        <v>164.8</v>
      </c>
      <c r="K381" s="208">
        <v>97.339999999999975</v>
      </c>
      <c r="L381" s="208">
        <v>106.90000000000006</v>
      </c>
      <c r="M381" s="208">
        <v>132.67999999999995</v>
      </c>
      <c r="N381" s="98"/>
      <c r="O381" s="98"/>
      <c r="P381" s="98"/>
      <c r="Q381" s="208">
        <v>88.120000000000019</v>
      </c>
      <c r="R381" s="98">
        <v>111.12000000000002</v>
      </c>
      <c r="S381" s="98">
        <v>124.12000000000002</v>
      </c>
      <c r="T381" s="98">
        <v>172.67999999999995</v>
      </c>
      <c r="U381" s="98">
        <v>88.120000000000019</v>
      </c>
      <c r="V381" s="98">
        <v>403.39999999999975</v>
      </c>
      <c r="W381" s="98">
        <v>517.7999999999995</v>
      </c>
      <c r="X381" s="98"/>
      <c r="Y381" s="98"/>
      <c r="Z381" s="98"/>
      <c r="AA381" s="230"/>
      <c r="AB381" s="230"/>
    </row>
    <row r="382" spans="2:28">
      <c r="B382" s="98">
        <v>412</v>
      </c>
      <c r="C382" s="98">
        <v>100.5</v>
      </c>
      <c r="D382" s="98">
        <v>523</v>
      </c>
      <c r="E382" s="98">
        <v>165.6</v>
      </c>
      <c r="F382" s="98">
        <v>168.6</v>
      </c>
      <c r="G382" s="98">
        <v>134</v>
      </c>
      <c r="H382" s="98">
        <v>100.5</v>
      </c>
      <c r="I382" s="98">
        <v>122.1</v>
      </c>
      <c r="J382" s="98">
        <v>164.6</v>
      </c>
      <c r="K382" s="209">
        <v>97.279999999999973</v>
      </c>
      <c r="L382" s="209">
        <v>106.80000000000007</v>
      </c>
      <c r="M382" s="209">
        <v>132.55999999999995</v>
      </c>
      <c r="N382" s="98"/>
      <c r="O382" s="98"/>
      <c r="P382" s="98"/>
      <c r="Q382" s="208">
        <v>88.04000000000002</v>
      </c>
      <c r="R382" s="98">
        <v>111.04000000000002</v>
      </c>
      <c r="S382" s="98">
        <v>124.04000000000002</v>
      </c>
      <c r="T382" s="98">
        <v>172.55999999999995</v>
      </c>
      <c r="U382" s="98">
        <v>88.04000000000002</v>
      </c>
      <c r="V382" s="98">
        <v>402.79999999999973</v>
      </c>
      <c r="W382" s="98">
        <v>517.59999999999945</v>
      </c>
      <c r="X382" s="98"/>
      <c r="Y382" s="98"/>
      <c r="Z382" s="98"/>
      <c r="AA382" s="230"/>
      <c r="AB382" s="230"/>
    </row>
    <row r="383" spans="2:28">
      <c r="B383" s="98">
        <v>413</v>
      </c>
      <c r="C383" s="98">
        <v>100.5</v>
      </c>
      <c r="D383" s="98">
        <v>522</v>
      </c>
      <c r="E383" s="98">
        <v>165.4</v>
      </c>
      <c r="F383" s="98">
        <v>168.4</v>
      </c>
      <c r="G383" s="98">
        <v>134</v>
      </c>
      <c r="H383" s="98">
        <v>100.5</v>
      </c>
      <c r="I383" s="98">
        <v>122</v>
      </c>
      <c r="J383" s="98">
        <v>164.4</v>
      </c>
      <c r="K383" s="208">
        <v>97.21999999999997</v>
      </c>
      <c r="L383" s="208">
        <v>106.70000000000007</v>
      </c>
      <c r="M383" s="208">
        <v>132.43999999999994</v>
      </c>
      <c r="N383" s="98"/>
      <c r="O383" s="98"/>
      <c r="P383" s="98"/>
      <c r="Q383" s="208">
        <v>87.960000000000022</v>
      </c>
      <c r="R383" s="98">
        <v>110.96000000000002</v>
      </c>
      <c r="S383" s="98">
        <v>123.96000000000002</v>
      </c>
      <c r="T383" s="98">
        <v>172.43999999999994</v>
      </c>
      <c r="U383" s="98">
        <v>87.960000000000022</v>
      </c>
      <c r="V383" s="98">
        <v>402.1999999999997</v>
      </c>
      <c r="W383" s="98">
        <v>517.39999999999941</v>
      </c>
      <c r="X383" s="98"/>
      <c r="Y383" s="98"/>
      <c r="Z383" s="98"/>
      <c r="AA383" s="230"/>
      <c r="AB383" s="230"/>
    </row>
    <row r="384" spans="2:28">
      <c r="B384" s="98">
        <v>414</v>
      </c>
      <c r="C384" s="98">
        <v>100.4</v>
      </c>
      <c r="D384" s="98">
        <v>521.1</v>
      </c>
      <c r="E384" s="98">
        <v>165.2</v>
      </c>
      <c r="F384" s="98">
        <v>168.2</v>
      </c>
      <c r="G384" s="98">
        <v>133.9</v>
      </c>
      <c r="H384" s="98">
        <v>100.5</v>
      </c>
      <c r="I384" s="98">
        <v>121.9</v>
      </c>
      <c r="J384" s="98">
        <v>164.2</v>
      </c>
      <c r="K384" s="209">
        <v>97.159999999999968</v>
      </c>
      <c r="L384" s="209">
        <v>106.60000000000008</v>
      </c>
      <c r="M384" s="209">
        <v>132.31999999999994</v>
      </c>
      <c r="N384" s="98"/>
      <c r="O384" s="98"/>
      <c r="P384" s="98"/>
      <c r="Q384" s="208">
        <v>87.880000000000024</v>
      </c>
      <c r="R384" s="98">
        <v>110.88000000000002</v>
      </c>
      <c r="S384" s="98">
        <v>123.88000000000002</v>
      </c>
      <c r="T384" s="98">
        <v>172.31999999999994</v>
      </c>
      <c r="U384" s="98">
        <v>87.880000000000024</v>
      </c>
      <c r="V384" s="98">
        <v>401.59999999999968</v>
      </c>
      <c r="W384" s="98">
        <v>517.19999999999936</v>
      </c>
      <c r="X384" s="98"/>
      <c r="Y384" s="98"/>
      <c r="Z384" s="98"/>
      <c r="AA384" s="230"/>
      <c r="AB384" s="230"/>
    </row>
    <row r="385" spans="2:28">
      <c r="B385" s="98">
        <v>415</v>
      </c>
      <c r="C385" s="98">
        <v>100.4</v>
      </c>
      <c r="D385" s="98">
        <v>520.20000000000005</v>
      </c>
      <c r="E385" s="98">
        <v>165</v>
      </c>
      <c r="F385" s="98">
        <v>168</v>
      </c>
      <c r="G385" s="98">
        <v>133.80000000000001</v>
      </c>
      <c r="H385" s="98">
        <v>100.4</v>
      </c>
      <c r="I385" s="98">
        <v>121.9</v>
      </c>
      <c r="J385" s="98">
        <v>164</v>
      </c>
      <c r="K385" s="208">
        <v>97.099999999999966</v>
      </c>
      <c r="L385" s="208">
        <v>106.50000000000009</v>
      </c>
      <c r="M385" s="208">
        <v>132.19999999999993</v>
      </c>
      <c r="N385" s="98"/>
      <c r="O385" s="98"/>
      <c r="P385" s="98"/>
      <c r="Q385" s="208">
        <v>87.800000000000026</v>
      </c>
      <c r="R385" s="98">
        <v>110.80000000000003</v>
      </c>
      <c r="S385" s="98">
        <v>123.80000000000003</v>
      </c>
      <c r="T385" s="98">
        <v>172.19999999999993</v>
      </c>
      <c r="U385" s="98">
        <v>87.800000000000026</v>
      </c>
      <c r="V385" s="98">
        <v>400.99999999999966</v>
      </c>
      <c r="W385" s="98">
        <v>516.99999999999932</v>
      </c>
      <c r="X385" s="98"/>
      <c r="Y385" s="98"/>
      <c r="Z385" s="98"/>
      <c r="AA385" s="230"/>
      <c r="AB385" s="230"/>
    </row>
    <row r="386" spans="2:28">
      <c r="B386" s="98">
        <v>416</v>
      </c>
      <c r="C386" s="98">
        <v>100.4</v>
      </c>
      <c r="D386" s="98">
        <v>519.29999999999995</v>
      </c>
      <c r="E386" s="98">
        <v>164.8</v>
      </c>
      <c r="F386" s="98">
        <v>167.8</v>
      </c>
      <c r="G386" s="98">
        <v>133.69999999999999</v>
      </c>
      <c r="H386" s="98">
        <v>100.4</v>
      </c>
      <c r="I386" s="98">
        <v>121.8</v>
      </c>
      <c r="J386" s="98">
        <v>163.80000000000001</v>
      </c>
      <c r="K386" s="209">
        <v>97.039999999999964</v>
      </c>
      <c r="L386" s="209">
        <v>106.40000000000009</v>
      </c>
      <c r="M386" s="209">
        <v>132.07999999999993</v>
      </c>
      <c r="N386" s="98"/>
      <c r="O386" s="98"/>
      <c r="P386" s="98"/>
      <c r="Q386" s="208">
        <v>87.720000000000027</v>
      </c>
      <c r="R386" s="98">
        <v>110.72000000000003</v>
      </c>
      <c r="S386" s="98">
        <v>123.72000000000003</v>
      </c>
      <c r="T386" s="98">
        <v>172.07999999999993</v>
      </c>
      <c r="U386" s="98">
        <v>87.720000000000027</v>
      </c>
      <c r="V386" s="98">
        <v>400.39999999999964</v>
      </c>
      <c r="W386" s="98">
        <v>516.79999999999927</v>
      </c>
      <c r="X386" s="98"/>
      <c r="Y386" s="98"/>
      <c r="Z386" s="98"/>
      <c r="AA386" s="230"/>
      <c r="AB386" s="230"/>
    </row>
    <row r="387" spans="2:28">
      <c r="B387" s="98">
        <v>417</v>
      </c>
      <c r="C387" s="98">
        <v>100.3</v>
      </c>
      <c r="D387" s="98">
        <v>518.4</v>
      </c>
      <c r="E387" s="98">
        <v>164.6</v>
      </c>
      <c r="F387" s="98">
        <v>167.6</v>
      </c>
      <c r="G387" s="98">
        <v>133.6</v>
      </c>
      <c r="H387" s="98">
        <v>100.4</v>
      </c>
      <c r="I387" s="98">
        <v>121.7</v>
      </c>
      <c r="J387" s="98">
        <v>163.6</v>
      </c>
      <c r="K387" s="208">
        <v>96.979999999999961</v>
      </c>
      <c r="L387" s="208">
        <v>106.3000000000001</v>
      </c>
      <c r="M387" s="208">
        <v>131.95999999999992</v>
      </c>
      <c r="N387" s="98"/>
      <c r="O387" s="98"/>
      <c r="P387" s="98"/>
      <c r="Q387" s="208">
        <v>87.640000000000029</v>
      </c>
      <c r="R387" s="98">
        <v>110.64000000000003</v>
      </c>
      <c r="S387" s="98">
        <v>123.64000000000003</v>
      </c>
      <c r="T387" s="98">
        <v>171.95999999999992</v>
      </c>
      <c r="U387" s="98">
        <v>87.640000000000029</v>
      </c>
      <c r="V387" s="98">
        <v>399.79999999999961</v>
      </c>
      <c r="W387" s="98">
        <v>516.59999999999923</v>
      </c>
      <c r="X387" s="98"/>
      <c r="Y387" s="98"/>
      <c r="Z387" s="98"/>
      <c r="AA387" s="230"/>
      <c r="AB387" s="230"/>
    </row>
    <row r="388" spans="2:28">
      <c r="B388" s="98">
        <v>418</v>
      </c>
      <c r="C388" s="98">
        <v>100.3</v>
      </c>
      <c r="D388" s="98">
        <v>517.4</v>
      </c>
      <c r="E388" s="98">
        <v>164.4</v>
      </c>
      <c r="F388" s="98">
        <v>167.4</v>
      </c>
      <c r="G388" s="98">
        <v>133.6</v>
      </c>
      <c r="H388" s="98">
        <v>100.3</v>
      </c>
      <c r="I388" s="98">
        <v>121.6</v>
      </c>
      <c r="J388" s="98">
        <v>163.4</v>
      </c>
      <c r="K388" s="209">
        <v>96.919999999999959</v>
      </c>
      <c r="L388" s="209">
        <v>106.2000000000001</v>
      </c>
      <c r="M388" s="209">
        <v>131.83999999999992</v>
      </c>
      <c r="N388" s="98"/>
      <c r="O388" s="98"/>
      <c r="P388" s="98"/>
      <c r="Q388" s="208">
        <v>87.560000000000031</v>
      </c>
      <c r="R388" s="98">
        <v>110.56000000000003</v>
      </c>
      <c r="S388" s="98">
        <v>123.56000000000003</v>
      </c>
      <c r="T388" s="98">
        <v>171.83999999999992</v>
      </c>
      <c r="U388" s="98">
        <v>87.560000000000031</v>
      </c>
      <c r="V388" s="98">
        <v>399.19999999999959</v>
      </c>
      <c r="W388" s="98">
        <v>516.39999999999918</v>
      </c>
      <c r="X388" s="98"/>
      <c r="Y388" s="98"/>
      <c r="Z388" s="98"/>
      <c r="AA388" s="230"/>
      <c r="AB388" s="230"/>
    </row>
    <row r="389" spans="2:28">
      <c r="B389" s="98">
        <v>419</v>
      </c>
      <c r="C389" s="98">
        <v>100.2</v>
      </c>
      <c r="D389" s="98">
        <v>516.5</v>
      </c>
      <c r="E389" s="98">
        <v>164.2</v>
      </c>
      <c r="F389" s="98">
        <v>167.2</v>
      </c>
      <c r="G389" s="98">
        <v>133.5</v>
      </c>
      <c r="H389" s="98">
        <v>100.3</v>
      </c>
      <c r="I389" s="98">
        <v>121.6</v>
      </c>
      <c r="J389" s="98">
        <v>163.19999999999999</v>
      </c>
      <c r="K389" s="208">
        <v>96.859999999999957</v>
      </c>
      <c r="L389" s="208">
        <v>106.10000000000011</v>
      </c>
      <c r="M389" s="208">
        <v>131.71999999999991</v>
      </c>
      <c r="N389" s="98"/>
      <c r="O389" s="98"/>
      <c r="P389" s="98"/>
      <c r="Q389" s="208">
        <v>87.480000000000032</v>
      </c>
      <c r="R389" s="98">
        <v>110.48000000000003</v>
      </c>
      <c r="S389" s="98">
        <v>123.48000000000003</v>
      </c>
      <c r="T389" s="98">
        <v>171.71999999999991</v>
      </c>
      <c r="U389" s="98">
        <v>87.480000000000032</v>
      </c>
      <c r="V389" s="98">
        <v>398.59999999999957</v>
      </c>
      <c r="W389" s="98">
        <v>516.19999999999914</v>
      </c>
      <c r="X389" s="98"/>
      <c r="Y389" s="98"/>
      <c r="Z389" s="98"/>
      <c r="AA389" s="230"/>
      <c r="AB389" s="230"/>
    </row>
    <row r="390" spans="2:28">
      <c r="B390" s="98">
        <v>420</v>
      </c>
      <c r="C390" s="98">
        <v>100.2</v>
      </c>
      <c r="D390" s="98">
        <v>515.6</v>
      </c>
      <c r="E390" s="98">
        <v>164</v>
      </c>
      <c r="F390" s="98">
        <v>167</v>
      </c>
      <c r="G390" s="98">
        <v>133.4</v>
      </c>
      <c r="H390" s="98">
        <v>100.2</v>
      </c>
      <c r="I390" s="98">
        <v>121.5</v>
      </c>
      <c r="J390" s="98">
        <v>163</v>
      </c>
      <c r="K390" s="209">
        <v>96.799999999999955</v>
      </c>
      <c r="L390" s="209">
        <v>106.00000000000011</v>
      </c>
      <c r="M390" s="209">
        <v>131.59999999999991</v>
      </c>
      <c r="N390" s="98"/>
      <c r="O390" s="98"/>
      <c r="P390" s="98"/>
      <c r="Q390" s="208">
        <v>87.400000000000034</v>
      </c>
      <c r="R390" s="98">
        <v>110.40000000000003</v>
      </c>
      <c r="S390" s="98">
        <v>123.40000000000003</v>
      </c>
      <c r="T390" s="98">
        <v>171.59999999999991</v>
      </c>
      <c r="U390" s="98">
        <v>87.400000000000034</v>
      </c>
      <c r="V390" s="98">
        <v>397.99999999999955</v>
      </c>
      <c r="W390" s="98">
        <v>515.99999999999909</v>
      </c>
      <c r="X390" s="98"/>
      <c r="Y390" s="98"/>
      <c r="Z390" s="98"/>
      <c r="AA390" s="230"/>
      <c r="AB390" s="230"/>
    </row>
    <row r="391" spans="2:28">
      <c r="B391" s="98">
        <v>421</v>
      </c>
      <c r="C391" s="98">
        <v>100.2</v>
      </c>
      <c r="D391" s="98">
        <v>514.70000000000005</v>
      </c>
      <c r="E391" s="98">
        <v>163.80000000000001</v>
      </c>
      <c r="F391" s="98">
        <v>166.8</v>
      </c>
      <c r="G391" s="98">
        <v>133.30000000000001</v>
      </c>
      <c r="H391" s="98">
        <v>100.2</v>
      </c>
      <c r="I391" s="98">
        <v>121.4</v>
      </c>
      <c r="J391" s="98">
        <v>162.80000000000001</v>
      </c>
      <c r="K391" s="208">
        <v>96.739999999999952</v>
      </c>
      <c r="L391" s="208">
        <v>105.90000000000012</v>
      </c>
      <c r="M391" s="208">
        <v>131.4799999999999</v>
      </c>
      <c r="N391" s="98"/>
      <c r="O391" s="98"/>
      <c r="P391" s="98"/>
      <c r="Q391" s="208">
        <v>87.320000000000036</v>
      </c>
      <c r="R391" s="98">
        <v>110.32000000000004</v>
      </c>
      <c r="S391" s="98">
        <v>123.32000000000004</v>
      </c>
      <c r="T391" s="98">
        <v>171.4799999999999</v>
      </c>
      <c r="U391" s="98">
        <v>87.320000000000036</v>
      </c>
      <c r="V391" s="98">
        <v>397.39999999999952</v>
      </c>
      <c r="W391" s="98">
        <v>515.79999999999905</v>
      </c>
      <c r="X391" s="98"/>
      <c r="Y391" s="98"/>
      <c r="Z391" s="98"/>
      <c r="AA391" s="230"/>
      <c r="AB391" s="230"/>
    </row>
    <row r="392" spans="2:28">
      <c r="B392" s="98">
        <v>422</v>
      </c>
      <c r="C392" s="98">
        <v>100.1</v>
      </c>
      <c r="D392" s="98">
        <v>513.79999999999995</v>
      </c>
      <c r="E392" s="98">
        <v>163.6</v>
      </c>
      <c r="F392" s="98">
        <v>166.6</v>
      </c>
      <c r="G392" s="98">
        <v>133.19999999999999</v>
      </c>
      <c r="H392" s="98">
        <v>100.2</v>
      </c>
      <c r="I392" s="98">
        <v>121.4</v>
      </c>
      <c r="J392" s="98">
        <v>162.6</v>
      </c>
      <c r="K392" s="209">
        <v>96.67999999999995</v>
      </c>
      <c r="L392" s="209">
        <v>105.80000000000013</v>
      </c>
      <c r="M392" s="209">
        <v>131.3599999999999</v>
      </c>
      <c r="N392" s="98"/>
      <c r="O392" s="98"/>
      <c r="P392" s="98"/>
      <c r="Q392" s="208">
        <v>87.240000000000038</v>
      </c>
      <c r="R392" s="98">
        <v>110.24000000000004</v>
      </c>
      <c r="S392" s="98">
        <v>123.24000000000004</v>
      </c>
      <c r="T392" s="98">
        <v>171.3599999999999</v>
      </c>
      <c r="U392" s="98">
        <v>87.240000000000038</v>
      </c>
      <c r="V392" s="98">
        <v>396.7999999999995</v>
      </c>
      <c r="W392" s="98">
        <v>515.599999999999</v>
      </c>
      <c r="X392" s="98"/>
      <c r="Y392" s="98"/>
      <c r="Z392" s="98"/>
      <c r="AA392" s="230"/>
      <c r="AB392" s="230"/>
    </row>
    <row r="393" spans="2:28">
      <c r="B393" s="98">
        <v>423</v>
      </c>
      <c r="C393" s="98">
        <v>100.1</v>
      </c>
      <c r="D393" s="98">
        <v>512.79999999999995</v>
      </c>
      <c r="E393" s="98">
        <v>163.4</v>
      </c>
      <c r="F393" s="98">
        <v>166.4</v>
      </c>
      <c r="G393" s="98">
        <v>133.19999999999999</v>
      </c>
      <c r="H393" s="98">
        <v>100.1</v>
      </c>
      <c r="I393" s="98">
        <v>121.3</v>
      </c>
      <c r="J393" s="98">
        <v>162.4</v>
      </c>
      <c r="K393" s="208">
        <v>96.619999999999948</v>
      </c>
      <c r="L393" s="208">
        <v>105.70000000000013</v>
      </c>
      <c r="M393" s="208">
        <v>131.2399999999999</v>
      </c>
      <c r="N393" s="98"/>
      <c r="O393" s="98"/>
      <c r="P393" s="98"/>
      <c r="Q393" s="208">
        <v>87.160000000000039</v>
      </c>
      <c r="R393" s="98">
        <v>110.16000000000004</v>
      </c>
      <c r="S393" s="98">
        <v>123.16000000000004</v>
      </c>
      <c r="T393" s="98">
        <v>171.2399999999999</v>
      </c>
      <c r="U393" s="98">
        <v>87.160000000000039</v>
      </c>
      <c r="V393" s="98">
        <v>396.19999999999948</v>
      </c>
      <c r="W393" s="98">
        <v>515.39999999999895</v>
      </c>
      <c r="X393" s="98"/>
      <c r="Y393" s="98"/>
      <c r="Z393" s="98"/>
      <c r="AA393" s="230"/>
      <c r="AB393" s="230"/>
    </row>
    <row r="394" spans="2:28">
      <c r="B394" s="98">
        <v>424</v>
      </c>
      <c r="C394" s="98">
        <v>100</v>
      </c>
      <c r="D394" s="98">
        <v>511.9</v>
      </c>
      <c r="E394" s="98">
        <v>163.19999999999999</v>
      </c>
      <c r="F394" s="98">
        <v>166.2</v>
      </c>
      <c r="G394" s="98">
        <v>133.1</v>
      </c>
      <c r="H394" s="98">
        <v>100.1</v>
      </c>
      <c r="I394" s="98">
        <v>121.2</v>
      </c>
      <c r="J394" s="98">
        <v>162.19999999999999</v>
      </c>
      <c r="K394" s="209">
        <v>96.559999999999945</v>
      </c>
      <c r="L394" s="209">
        <v>105.60000000000014</v>
      </c>
      <c r="M394" s="209">
        <v>131.11999999999989</v>
      </c>
      <c r="N394" s="98"/>
      <c r="O394" s="98"/>
      <c r="P394" s="98"/>
      <c r="Q394" s="208">
        <v>87.080000000000041</v>
      </c>
      <c r="R394" s="98">
        <v>110.08000000000004</v>
      </c>
      <c r="S394" s="98">
        <v>123.08000000000004</v>
      </c>
      <c r="T394" s="98">
        <v>171.11999999999989</v>
      </c>
      <c r="U394" s="98">
        <v>87.080000000000041</v>
      </c>
      <c r="V394" s="98">
        <v>395.59999999999945</v>
      </c>
      <c r="W394" s="98">
        <v>515.19999999999891</v>
      </c>
      <c r="X394" s="98"/>
      <c r="Y394" s="98"/>
      <c r="Z394" s="98"/>
      <c r="AA394" s="230"/>
      <c r="AB394" s="230"/>
    </row>
    <row r="395" spans="2:28">
      <c r="B395" s="98">
        <v>425</v>
      </c>
      <c r="C395" s="98">
        <v>100</v>
      </c>
      <c r="D395" s="98">
        <v>511</v>
      </c>
      <c r="E395" s="98">
        <v>163</v>
      </c>
      <c r="F395" s="98">
        <v>166</v>
      </c>
      <c r="G395" s="98">
        <v>133</v>
      </c>
      <c r="H395" s="98">
        <v>100.1</v>
      </c>
      <c r="I395" s="98">
        <v>121.1</v>
      </c>
      <c r="J395" s="98">
        <v>162</v>
      </c>
      <c r="K395" s="208">
        <v>96.499999999999943</v>
      </c>
      <c r="L395" s="208">
        <v>105.50000000000014</v>
      </c>
      <c r="M395" s="208">
        <v>130.99999999999989</v>
      </c>
      <c r="N395" s="98"/>
      <c r="O395" s="98"/>
      <c r="P395" s="98"/>
      <c r="Q395" s="208">
        <v>87.000000000000043</v>
      </c>
      <c r="R395" s="98">
        <v>110.00000000000004</v>
      </c>
      <c r="S395" s="98">
        <v>123.00000000000004</v>
      </c>
      <c r="T395" s="98">
        <v>170.99999999999989</v>
      </c>
      <c r="U395" s="98">
        <v>87.000000000000043</v>
      </c>
      <c r="V395" s="98">
        <v>394.99999999999943</v>
      </c>
      <c r="W395" s="98">
        <v>514.99999999999886</v>
      </c>
      <c r="X395" s="98"/>
      <c r="Y395" s="98"/>
      <c r="Z395" s="98"/>
      <c r="AA395" s="230"/>
      <c r="AB395" s="230"/>
    </row>
    <row r="396" spans="2:28">
      <c r="B396" s="98">
        <v>426</v>
      </c>
      <c r="C396" s="98">
        <v>100</v>
      </c>
      <c r="D396" s="98">
        <v>510</v>
      </c>
      <c r="E396" s="98">
        <v>162.80000000000001</v>
      </c>
      <c r="F396" s="98">
        <v>165.8</v>
      </c>
      <c r="G396" s="98">
        <v>132.9</v>
      </c>
      <c r="H396" s="98">
        <v>100</v>
      </c>
      <c r="I396" s="98">
        <v>121.1</v>
      </c>
      <c r="J396" s="98">
        <v>161.80000000000001</v>
      </c>
      <c r="K396" s="209">
        <v>96.439999999999941</v>
      </c>
      <c r="L396" s="209">
        <v>105.40000000000015</v>
      </c>
      <c r="M396" s="209">
        <v>130.87999999999988</v>
      </c>
      <c r="N396" s="98"/>
      <c r="O396" s="98"/>
      <c r="P396" s="98"/>
      <c r="Q396" s="208">
        <v>86.920000000000044</v>
      </c>
      <c r="R396" s="98">
        <v>109.92000000000004</v>
      </c>
      <c r="S396" s="98">
        <v>122.92000000000004</v>
      </c>
      <c r="T396" s="98">
        <v>170.87999999999988</v>
      </c>
      <c r="U396" s="98">
        <v>86.920000000000044</v>
      </c>
      <c r="V396" s="98">
        <v>394.39999999999941</v>
      </c>
      <c r="W396" s="98">
        <v>514.79999999999882</v>
      </c>
      <c r="X396" s="98"/>
      <c r="Y396" s="98"/>
      <c r="Z396" s="98"/>
      <c r="AA396" s="230"/>
      <c r="AB396" s="230"/>
    </row>
    <row r="397" spans="2:28">
      <c r="B397" s="98">
        <v>427</v>
      </c>
      <c r="C397" s="98">
        <v>99.9</v>
      </c>
      <c r="D397" s="98">
        <v>508.9</v>
      </c>
      <c r="E397" s="98">
        <v>162.6</v>
      </c>
      <c r="F397" s="98">
        <v>165.7</v>
      </c>
      <c r="G397" s="98">
        <v>132.80000000000001</v>
      </c>
      <c r="H397" s="98">
        <v>100</v>
      </c>
      <c r="I397" s="98">
        <v>121</v>
      </c>
      <c r="J397" s="98">
        <v>161.69999999999999</v>
      </c>
      <c r="K397" s="208">
        <v>96.379999999999939</v>
      </c>
      <c r="L397" s="208">
        <v>105.30000000000015</v>
      </c>
      <c r="M397" s="208">
        <v>130.75999999999988</v>
      </c>
      <c r="N397" s="98"/>
      <c r="O397" s="98"/>
      <c r="P397" s="98"/>
      <c r="Q397" s="208">
        <v>86.840000000000046</v>
      </c>
      <c r="R397" s="98">
        <v>109.84000000000005</v>
      </c>
      <c r="S397" s="98">
        <v>122.84000000000005</v>
      </c>
      <c r="T397" s="98">
        <v>170.75999999999988</v>
      </c>
      <c r="U397" s="98">
        <v>86.840000000000046</v>
      </c>
      <c r="V397" s="98">
        <v>393.79999999999939</v>
      </c>
      <c r="W397" s="98">
        <v>514.59999999999877</v>
      </c>
      <c r="X397" s="98"/>
      <c r="Y397" s="98"/>
      <c r="Z397" s="98"/>
      <c r="AA397" s="230"/>
      <c r="AB397" s="230"/>
    </row>
    <row r="398" spans="2:28">
      <c r="B398" s="98">
        <v>428</v>
      </c>
      <c r="C398" s="98">
        <v>99.9</v>
      </c>
      <c r="D398" s="98">
        <v>507.9</v>
      </c>
      <c r="E398" s="98">
        <v>162.4</v>
      </c>
      <c r="F398" s="98">
        <v>165.5</v>
      </c>
      <c r="G398" s="98">
        <v>132.80000000000001</v>
      </c>
      <c r="H398" s="98">
        <v>100</v>
      </c>
      <c r="I398" s="98">
        <v>120.9</v>
      </c>
      <c r="J398" s="98">
        <v>161.5</v>
      </c>
      <c r="K398" s="209">
        <v>96.319999999999936</v>
      </c>
      <c r="L398" s="209">
        <v>105.20000000000016</v>
      </c>
      <c r="M398" s="209">
        <v>130.63999999999987</v>
      </c>
      <c r="N398" s="98"/>
      <c r="O398" s="98"/>
      <c r="P398" s="98"/>
      <c r="Q398" s="208">
        <v>86.760000000000048</v>
      </c>
      <c r="R398" s="98">
        <v>109.76000000000005</v>
      </c>
      <c r="S398" s="98">
        <v>122.76000000000005</v>
      </c>
      <c r="T398" s="98">
        <v>170.63999999999987</v>
      </c>
      <c r="U398" s="98">
        <v>86.760000000000048</v>
      </c>
      <c r="V398" s="98">
        <v>393.19999999999936</v>
      </c>
      <c r="W398" s="98">
        <v>514.39999999999873</v>
      </c>
      <c r="X398" s="98"/>
      <c r="Y398" s="98"/>
      <c r="Z398" s="98"/>
      <c r="AA398" s="230"/>
      <c r="AB398" s="230"/>
    </row>
    <row r="399" spans="2:28">
      <c r="B399" s="98">
        <v>429</v>
      </c>
      <c r="C399" s="98">
        <v>99.8</v>
      </c>
      <c r="D399" s="98">
        <v>506.8</v>
      </c>
      <c r="E399" s="98">
        <v>162.19999999999999</v>
      </c>
      <c r="F399" s="98">
        <v>165.4</v>
      </c>
      <c r="G399" s="98">
        <v>132.69999999999999</v>
      </c>
      <c r="H399" s="98">
        <v>99.9</v>
      </c>
      <c r="I399" s="98">
        <v>120.9</v>
      </c>
      <c r="J399" s="98">
        <v>161.4</v>
      </c>
      <c r="K399" s="208">
        <v>96.259999999999934</v>
      </c>
      <c r="L399" s="208">
        <v>105.10000000000016</v>
      </c>
      <c r="M399" s="208">
        <v>130.51999999999987</v>
      </c>
      <c r="N399" s="98"/>
      <c r="O399" s="98"/>
      <c r="P399" s="98"/>
      <c r="Q399" s="208">
        <v>86.680000000000049</v>
      </c>
      <c r="R399" s="98">
        <v>109.68000000000005</v>
      </c>
      <c r="S399" s="98">
        <v>122.68000000000005</v>
      </c>
      <c r="T399" s="98">
        <v>170.51999999999987</v>
      </c>
      <c r="U399" s="98">
        <v>86.680000000000049</v>
      </c>
      <c r="V399" s="98">
        <v>392.59999999999934</v>
      </c>
      <c r="W399" s="98">
        <v>514.19999999999868</v>
      </c>
      <c r="X399" s="98"/>
      <c r="Y399" s="98"/>
      <c r="Z399" s="98"/>
      <c r="AA399" s="230"/>
      <c r="AB399" s="230"/>
    </row>
    <row r="400" spans="2:28">
      <c r="B400" s="98">
        <v>430</v>
      </c>
      <c r="C400" s="98">
        <v>99.8</v>
      </c>
      <c r="D400" s="98">
        <v>505.8</v>
      </c>
      <c r="E400" s="98">
        <v>162</v>
      </c>
      <c r="F400" s="98">
        <v>165.2</v>
      </c>
      <c r="G400" s="98">
        <v>132.6</v>
      </c>
      <c r="H400" s="98">
        <v>99.9</v>
      </c>
      <c r="I400" s="98">
        <v>120.8</v>
      </c>
      <c r="J400" s="98">
        <v>161.19999999999999</v>
      </c>
      <c r="K400" s="209">
        <v>96.199999999999932</v>
      </c>
      <c r="L400" s="209">
        <v>105.00000000000017</v>
      </c>
      <c r="M400" s="209">
        <v>130.39999999999986</v>
      </c>
      <c r="N400" s="98"/>
      <c r="O400" s="98"/>
      <c r="P400" s="98"/>
      <c r="Q400" s="208">
        <v>86.600000000000051</v>
      </c>
      <c r="R400" s="98">
        <v>109.60000000000005</v>
      </c>
      <c r="S400" s="98">
        <v>122.60000000000005</v>
      </c>
      <c r="T400" s="98">
        <v>170.39999999999986</v>
      </c>
      <c r="U400" s="98">
        <v>86.600000000000051</v>
      </c>
      <c r="V400" s="98">
        <v>391.99999999999932</v>
      </c>
      <c r="W400" s="98">
        <v>513.99999999999864</v>
      </c>
      <c r="X400" s="98"/>
      <c r="Y400" s="98"/>
      <c r="Z400" s="98"/>
      <c r="AA400" s="230"/>
      <c r="AB400" s="230"/>
    </row>
    <row r="401" spans="2:28">
      <c r="B401" s="98">
        <v>431</v>
      </c>
      <c r="C401" s="98">
        <v>99.7</v>
      </c>
      <c r="D401" s="98">
        <v>504.8</v>
      </c>
      <c r="E401" s="98">
        <v>161.80000000000001</v>
      </c>
      <c r="F401" s="98">
        <v>165</v>
      </c>
      <c r="G401" s="98">
        <v>132.5</v>
      </c>
      <c r="H401" s="98">
        <v>99.9</v>
      </c>
      <c r="I401" s="98">
        <v>120.7</v>
      </c>
      <c r="J401" s="98">
        <v>161</v>
      </c>
      <c r="K401" s="208">
        <v>96.13999999999993</v>
      </c>
      <c r="L401" s="208">
        <v>104.90000000000018</v>
      </c>
      <c r="M401" s="208">
        <v>130.27999999999986</v>
      </c>
      <c r="N401" s="98"/>
      <c r="O401" s="98"/>
      <c r="P401" s="98"/>
      <c r="Q401" s="208">
        <v>86.520000000000053</v>
      </c>
      <c r="R401" s="98">
        <v>109.52000000000005</v>
      </c>
      <c r="S401" s="98">
        <v>122.52000000000005</v>
      </c>
      <c r="T401" s="98">
        <v>170.27999999999986</v>
      </c>
      <c r="U401" s="98">
        <v>86.520000000000053</v>
      </c>
      <c r="V401" s="98">
        <v>391.3999999999993</v>
      </c>
      <c r="W401" s="98">
        <v>513.79999999999859</v>
      </c>
      <c r="X401" s="98"/>
      <c r="Y401" s="98"/>
      <c r="Z401" s="98"/>
      <c r="AA401" s="230"/>
      <c r="AB401" s="230"/>
    </row>
    <row r="402" spans="2:28">
      <c r="B402" s="98">
        <v>432</v>
      </c>
      <c r="C402" s="98">
        <v>99.7</v>
      </c>
      <c r="D402" s="98">
        <v>503.7</v>
      </c>
      <c r="E402" s="98">
        <v>161.6</v>
      </c>
      <c r="F402" s="98">
        <v>164.9</v>
      </c>
      <c r="G402" s="98">
        <v>132.4</v>
      </c>
      <c r="H402" s="98">
        <v>99.8</v>
      </c>
      <c r="I402" s="98">
        <v>120.6</v>
      </c>
      <c r="J402" s="98">
        <v>160.9</v>
      </c>
      <c r="K402" s="209">
        <v>96.079999999999927</v>
      </c>
      <c r="L402" s="209">
        <v>104.80000000000018</v>
      </c>
      <c r="M402" s="209">
        <v>130.15999999999985</v>
      </c>
      <c r="N402" s="98"/>
      <c r="O402" s="98"/>
      <c r="P402" s="98"/>
      <c r="Q402" s="208">
        <v>86.440000000000055</v>
      </c>
      <c r="R402" s="98">
        <v>109.44000000000005</v>
      </c>
      <c r="S402" s="98">
        <v>122.44000000000005</v>
      </c>
      <c r="T402" s="98">
        <v>170.15999999999985</v>
      </c>
      <c r="U402" s="98">
        <v>86.440000000000055</v>
      </c>
      <c r="V402" s="98">
        <v>390.79999999999927</v>
      </c>
      <c r="W402" s="98">
        <v>513.59999999999854</v>
      </c>
      <c r="X402" s="98"/>
      <c r="Y402" s="98"/>
      <c r="Z402" s="98"/>
      <c r="AA402" s="230"/>
      <c r="AB402" s="230"/>
    </row>
    <row r="403" spans="2:28">
      <c r="B403" s="98">
        <v>433</v>
      </c>
      <c r="C403" s="98">
        <v>99.6</v>
      </c>
      <c r="D403" s="98">
        <v>502.7</v>
      </c>
      <c r="E403" s="98">
        <v>161.4</v>
      </c>
      <c r="F403" s="98">
        <v>164.7</v>
      </c>
      <c r="G403" s="98">
        <v>132.4</v>
      </c>
      <c r="H403" s="98">
        <v>99.8</v>
      </c>
      <c r="I403" s="98">
        <v>120.6</v>
      </c>
      <c r="J403" s="98">
        <v>160.69999999999999</v>
      </c>
      <c r="K403" s="208">
        <v>96.019999999999925</v>
      </c>
      <c r="L403" s="208">
        <v>104.70000000000019</v>
      </c>
      <c r="M403" s="208">
        <v>130.03999999999985</v>
      </c>
      <c r="N403" s="98"/>
      <c r="O403" s="98"/>
      <c r="P403" s="98"/>
      <c r="Q403" s="208">
        <v>86.360000000000056</v>
      </c>
      <c r="R403" s="98">
        <v>109.36000000000006</v>
      </c>
      <c r="S403" s="98">
        <v>122.36000000000006</v>
      </c>
      <c r="T403" s="98">
        <v>170.03999999999985</v>
      </c>
      <c r="U403" s="98">
        <v>86.360000000000056</v>
      </c>
      <c r="V403" s="98">
        <v>390.19999999999925</v>
      </c>
      <c r="W403" s="98">
        <v>513.3999999999985</v>
      </c>
      <c r="X403" s="98"/>
      <c r="Y403" s="98"/>
      <c r="Z403" s="98"/>
      <c r="AA403" s="230"/>
      <c r="AB403" s="230"/>
    </row>
    <row r="404" spans="2:28">
      <c r="B404" s="98">
        <v>434</v>
      </c>
      <c r="C404" s="98">
        <v>99.6</v>
      </c>
      <c r="D404" s="98">
        <v>501.6</v>
      </c>
      <c r="E404" s="98">
        <v>161.19999999999999</v>
      </c>
      <c r="F404" s="98">
        <v>164.6</v>
      </c>
      <c r="G404" s="98">
        <v>132.30000000000001</v>
      </c>
      <c r="H404" s="98">
        <v>99.7</v>
      </c>
      <c r="I404" s="98">
        <v>120.5</v>
      </c>
      <c r="J404" s="98">
        <v>160.6</v>
      </c>
      <c r="K404" s="209">
        <v>95.959999999999923</v>
      </c>
      <c r="L404" s="209">
        <v>104.60000000000019</v>
      </c>
      <c r="M404" s="209">
        <v>129.91999999999985</v>
      </c>
      <c r="N404" s="98"/>
      <c r="O404" s="98"/>
      <c r="P404" s="98"/>
      <c r="Q404" s="208">
        <v>86.280000000000058</v>
      </c>
      <c r="R404" s="98">
        <v>109.28000000000006</v>
      </c>
      <c r="S404" s="98">
        <v>122.28000000000006</v>
      </c>
      <c r="T404" s="98">
        <v>169.91999999999985</v>
      </c>
      <c r="U404" s="98">
        <v>86.280000000000058</v>
      </c>
      <c r="V404" s="98">
        <v>389.59999999999923</v>
      </c>
      <c r="W404" s="98">
        <v>513.19999999999845</v>
      </c>
      <c r="X404" s="98"/>
      <c r="Y404" s="98"/>
      <c r="Z404" s="98"/>
      <c r="AA404" s="230"/>
      <c r="AB404" s="230"/>
    </row>
    <row r="405" spans="2:28">
      <c r="B405" s="98">
        <v>435</v>
      </c>
      <c r="C405" s="98">
        <v>99.6</v>
      </c>
      <c r="D405" s="98">
        <v>500.6</v>
      </c>
      <c r="E405" s="98">
        <v>161</v>
      </c>
      <c r="F405" s="98">
        <v>164.4</v>
      </c>
      <c r="G405" s="98">
        <v>132.19999999999999</v>
      </c>
      <c r="H405" s="98">
        <v>99.7</v>
      </c>
      <c r="I405" s="98">
        <v>120.4</v>
      </c>
      <c r="J405" s="98">
        <v>160.4</v>
      </c>
      <c r="K405" s="208">
        <v>95.89999999999992</v>
      </c>
      <c r="L405" s="208">
        <v>104.5000000000002</v>
      </c>
      <c r="M405" s="208">
        <v>129.79999999999984</v>
      </c>
      <c r="N405" s="98"/>
      <c r="O405" s="98"/>
      <c r="P405" s="98"/>
      <c r="Q405" s="208">
        <v>86.20000000000006</v>
      </c>
      <c r="R405" s="98">
        <v>109.20000000000006</v>
      </c>
      <c r="S405" s="98">
        <v>122.20000000000006</v>
      </c>
      <c r="T405" s="98">
        <v>169.79999999999984</v>
      </c>
      <c r="U405" s="98">
        <v>86.20000000000006</v>
      </c>
      <c r="V405" s="98">
        <v>388.9999999999992</v>
      </c>
      <c r="W405" s="98">
        <v>512.99999999999841</v>
      </c>
      <c r="X405" s="98"/>
      <c r="Y405" s="98"/>
      <c r="Z405" s="98"/>
      <c r="AA405" s="230"/>
      <c r="AB405" s="230"/>
    </row>
    <row r="406" spans="2:28">
      <c r="B406" s="98">
        <v>436</v>
      </c>
      <c r="C406" s="98">
        <v>99.5</v>
      </c>
      <c r="D406" s="98">
        <v>499.6</v>
      </c>
      <c r="E406" s="98">
        <v>160.80000000000001</v>
      </c>
      <c r="F406" s="98">
        <v>164.2</v>
      </c>
      <c r="G406" s="98">
        <v>132.1</v>
      </c>
      <c r="H406" s="98">
        <v>99.7</v>
      </c>
      <c r="I406" s="98">
        <v>120.4</v>
      </c>
      <c r="J406" s="98">
        <v>160.19999999999999</v>
      </c>
      <c r="K406" s="209">
        <v>95.839999999999918</v>
      </c>
      <c r="L406" s="209">
        <v>104.4000000000002</v>
      </c>
      <c r="M406" s="209">
        <v>129.67999999999984</v>
      </c>
      <c r="N406" s="98"/>
      <c r="O406" s="98"/>
      <c r="P406" s="98"/>
      <c r="Q406" s="208">
        <v>86.120000000000061</v>
      </c>
      <c r="R406" s="98">
        <v>109.12000000000006</v>
      </c>
      <c r="S406" s="98">
        <v>122.12000000000006</v>
      </c>
      <c r="T406" s="98">
        <v>169.67999999999984</v>
      </c>
      <c r="U406" s="98">
        <v>86.120000000000061</v>
      </c>
      <c r="V406" s="98">
        <v>388.39999999999918</v>
      </c>
      <c r="W406" s="98">
        <v>512.79999999999836</v>
      </c>
      <c r="X406" s="98"/>
      <c r="Y406" s="98"/>
      <c r="Z406" s="98"/>
      <c r="AA406" s="230"/>
      <c r="AB406" s="230"/>
    </row>
    <row r="407" spans="2:28">
      <c r="B407" s="98">
        <v>437</v>
      </c>
      <c r="C407" s="98">
        <v>99.5</v>
      </c>
      <c r="D407" s="98">
        <v>498.5</v>
      </c>
      <c r="E407" s="98">
        <v>160.6</v>
      </c>
      <c r="F407" s="98">
        <v>164.1</v>
      </c>
      <c r="G407" s="98">
        <v>132</v>
      </c>
      <c r="H407" s="98">
        <v>99.6</v>
      </c>
      <c r="I407" s="98">
        <v>120.3</v>
      </c>
      <c r="J407" s="98">
        <v>160.1</v>
      </c>
      <c r="K407" s="208">
        <v>95.779999999999916</v>
      </c>
      <c r="L407" s="208">
        <v>104.30000000000021</v>
      </c>
      <c r="M407" s="208">
        <v>129.55999999999983</v>
      </c>
      <c r="N407" s="98"/>
      <c r="O407" s="98"/>
      <c r="P407" s="98"/>
      <c r="Q407" s="208">
        <v>86.040000000000063</v>
      </c>
      <c r="R407" s="98">
        <v>109.04000000000006</v>
      </c>
      <c r="S407" s="98">
        <v>122.04000000000006</v>
      </c>
      <c r="T407" s="98">
        <v>169.55999999999983</v>
      </c>
      <c r="U407" s="98">
        <v>86.040000000000063</v>
      </c>
      <c r="V407" s="98">
        <v>387.79999999999916</v>
      </c>
      <c r="W407" s="98">
        <v>512.59999999999832</v>
      </c>
      <c r="X407" s="98"/>
      <c r="Y407" s="98"/>
      <c r="Z407" s="98"/>
      <c r="AA407" s="230"/>
      <c r="AB407" s="230"/>
    </row>
    <row r="408" spans="2:28">
      <c r="B408" s="98">
        <v>438</v>
      </c>
      <c r="C408" s="98">
        <v>99.4</v>
      </c>
      <c r="D408" s="98">
        <v>497.5</v>
      </c>
      <c r="E408" s="98">
        <v>160.4</v>
      </c>
      <c r="F408" s="98">
        <v>163.9</v>
      </c>
      <c r="G408" s="98">
        <v>132</v>
      </c>
      <c r="H408" s="98">
        <v>99.6</v>
      </c>
      <c r="I408" s="98">
        <v>120.2</v>
      </c>
      <c r="J408" s="98">
        <v>159.9</v>
      </c>
      <c r="K408" s="209">
        <v>95.719999999999914</v>
      </c>
      <c r="L408" s="209">
        <v>104.20000000000022</v>
      </c>
      <c r="M408" s="209">
        <v>129.43999999999983</v>
      </c>
      <c r="N408" s="98"/>
      <c r="O408" s="98"/>
      <c r="P408" s="98"/>
      <c r="Q408" s="208">
        <v>85.960000000000065</v>
      </c>
      <c r="R408" s="98">
        <v>108.96000000000006</v>
      </c>
      <c r="S408" s="98">
        <v>121.96000000000006</v>
      </c>
      <c r="T408" s="98">
        <v>169.43999999999983</v>
      </c>
      <c r="U408" s="98">
        <v>85.960000000000065</v>
      </c>
      <c r="V408" s="98">
        <v>387.19999999999914</v>
      </c>
      <c r="W408" s="98">
        <v>512.39999999999827</v>
      </c>
      <c r="X408" s="98"/>
      <c r="Y408" s="98"/>
      <c r="Z408" s="98"/>
      <c r="AA408" s="230"/>
      <c r="AB408" s="230"/>
    </row>
    <row r="409" spans="2:28">
      <c r="B409" s="98">
        <v>439</v>
      </c>
      <c r="C409" s="98">
        <v>99.4</v>
      </c>
      <c r="D409" s="98">
        <v>496.4</v>
      </c>
      <c r="E409" s="98">
        <v>160.19999999999999</v>
      </c>
      <c r="F409" s="98">
        <v>163.80000000000001</v>
      </c>
      <c r="G409" s="98">
        <v>131.9</v>
      </c>
      <c r="H409" s="98">
        <v>99.6</v>
      </c>
      <c r="I409" s="98">
        <v>120.1</v>
      </c>
      <c r="J409" s="98">
        <v>159.80000000000001</v>
      </c>
      <c r="K409" s="208">
        <v>95.659999999999911</v>
      </c>
      <c r="L409" s="208">
        <v>104.10000000000022</v>
      </c>
      <c r="M409" s="208">
        <v>129.31999999999982</v>
      </c>
      <c r="N409" s="98"/>
      <c r="O409" s="98"/>
      <c r="P409" s="98"/>
      <c r="Q409" s="208">
        <v>85.880000000000067</v>
      </c>
      <c r="R409" s="98">
        <v>108.88000000000007</v>
      </c>
      <c r="S409" s="98">
        <v>121.88000000000007</v>
      </c>
      <c r="T409" s="98">
        <v>169.31999999999982</v>
      </c>
      <c r="U409" s="98">
        <v>85.880000000000067</v>
      </c>
      <c r="V409" s="98">
        <v>386.59999999999911</v>
      </c>
      <c r="W409" s="98">
        <v>512.19999999999823</v>
      </c>
      <c r="X409" s="98"/>
      <c r="Y409" s="98"/>
      <c r="Z409" s="98"/>
      <c r="AA409" s="230"/>
      <c r="AB409" s="230"/>
    </row>
    <row r="410" spans="2:28">
      <c r="B410" s="98">
        <v>440</v>
      </c>
      <c r="C410" s="98">
        <v>99.3</v>
      </c>
      <c r="D410" s="98">
        <v>495.4</v>
      </c>
      <c r="E410" s="98">
        <v>160</v>
      </c>
      <c r="F410" s="98">
        <v>163.6</v>
      </c>
      <c r="G410" s="98">
        <v>131.80000000000001</v>
      </c>
      <c r="H410" s="98">
        <v>99.5</v>
      </c>
      <c r="I410" s="98">
        <v>120.1</v>
      </c>
      <c r="J410" s="98">
        <v>159.6</v>
      </c>
      <c r="K410" s="209">
        <v>95.599999999999909</v>
      </c>
      <c r="L410" s="209">
        <v>104.00000000000023</v>
      </c>
      <c r="M410" s="209">
        <v>129.19999999999982</v>
      </c>
      <c r="N410" s="98"/>
      <c r="O410" s="98"/>
      <c r="P410" s="98"/>
      <c r="Q410" s="208">
        <v>85.800000000000068</v>
      </c>
      <c r="R410" s="98">
        <v>108.80000000000007</v>
      </c>
      <c r="S410" s="98">
        <v>121.80000000000007</v>
      </c>
      <c r="T410" s="98">
        <v>169.19999999999982</v>
      </c>
      <c r="U410" s="98">
        <v>85.800000000000068</v>
      </c>
      <c r="V410" s="98">
        <v>385.99999999999909</v>
      </c>
      <c r="W410" s="98">
        <v>511.99999999999824</v>
      </c>
      <c r="X410" s="98"/>
      <c r="Y410" s="98"/>
      <c r="Z410" s="98"/>
      <c r="AA410" s="230"/>
      <c r="AB410" s="230"/>
    </row>
    <row r="411" spans="2:28">
      <c r="B411" s="98">
        <v>441</v>
      </c>
      <c r="C411" s="98">
        <v>99.3</v>
      </c>
      <c r="D411" s="98">
        <v>494.4</v>
      </c>
      <c r="E411" s="98">
        <v>159.80000000000001</v>
      </c>
      <c r="F411" s="98">
        <v>163.4</v>
      </c>
      <c r="G411" s="98">
        <v>131.69999999999999</v>
      </c>
      <c r="H411" s="98">
        <v>99.5</v>
      </c>
      <c r="I411" s="98">
        <v>120</v>
      </c>
      <c r="J411" s="98">
        <v>159.4</v>
      </c>
      <c r="K411" s="208">
        <v>95.539999999999907</v>
      </c>
      <c r="L411" s="208">
        <v>103.90000000000023</v>
      </c>
      <c r="M411" s="208">
        <v>129.07999999999981</v>
      </c>
      <c r="N411" s="98"/>
      <c r="O411" s="98"/>
      <c r="P411" s="98"/>
      <c r="Q411" s="208">
        <v>85.72000000000007</v>
      </c>
      <c r="R411" s="98">
        <v>108.72000000000007</v>
      </c>
      <c r="S411" s="98">
        <v>121.72000000000007</v>
      </c>
      <c r="T411" s="98">
        <v>169.07999999999981</v>
      </c>
      <c r="U411" s="98">
        <v>85.72000000000007</v>
      </c>
      <c r="V411" s="98">
        <v>385.39999999999907</v>
      </c>
      <c r="W411" s="98">
        <v>511.79999999999825</v>
      </c>
      <c r="X411" s="98"/>
      <c r="Y411" s="98"/>
      <c r="Z411" s="98"/>
      <c r="AA411" s="230"/>
      <c r="AB411" s="230"/>
    </row>
    <row r="412" spans="2:28">
      <c r="B412" s="98">
        <v>442</v>
      </c>
      <c r="C412" s="98">
        <v>99.3</v>
      </c>
      <c r="D412" s="98">
        <v>493.3</v>
      </c>
      <c r="E412" s="98">
        <v>159.6</v>
      </c>
      <c r="F412" s="98">
        <v>163.30000000000001</v>
      </c>
      <c r="G412" s="98">
        <v>131.6</v>
      </c>
      <c r="H412" s="98">
        <v>99.4</v>
      </c>
      <c r="I412" s="98">
        <v>119.9</v>
      </c>
      <c r="J412" s="98">
        <v>159.30000000000001</v>
      </c>
      <c r="K412" s="209">
        <v>95.479999999999905</v>
      </c>
      <c r="L412" s="209">
        <v>103.80000000000024</v>
      </c>
      <c r="M412" s="209">
        <v>128.95999999999981</v>
      </c>
      <c r="N412" s="98"/>
      <c r="O412" s="98"/>
      <c r="P412" s="98"/>
      <c r="Q412" s="208">
        <v>85.640000000000072</v>
      </c>
      <c r="R412" s="98">
        <v>108.64000000000007</v>
      </c>
      <c r="S412" s="98">
        <v>121.64000000000007</v>
      </c>
      <c r="T412" s="98">
        <v>168.95999999999981</v>
      </c>
      <c r="U412" s="98">
        <v>85.640000000000072</v>
      </c>
      <c r="V412" s="98">
        <v>384.79999999999905</v>
      </c>
      <c r="W412" s="98">
        <v>511.59999999999826</v>
      </c>
      <c r="X412" s="98"/>
      <c r="Y412" s="98"/>
      <c r="Z412" s="98"/>
      <c r="AA412" s="230"/>
      <c r="AB412" s="230"/>
    </row>
    <row r="413" spans="2:28">
      <c r="B413" s="98">
        <v>443</v>
      </c>
      <c r="C413" s="98">
        <v>99.2</v>
      </c>
      <c r="D413" s="98">
        <v>492.3</v>
      </c>
      <c r="E413" s="98">
        <v>159.4</v>
      </c>
      <c r="F413" s="98">
        <v>163.1</v>
      </c>
      <c r="G413" s="98">
        <v>131.6</v>
      </c>
      <c r="H413" s="98">
        <v>99.4</v>
      </c>
      <c r="I413" s="98">
        <v>119.9</v>
      </c>
      <c r="J413" s="98">
        <v>159.1</v>
      </c>
      <c r="K413" s="208">
        <v>95.419999999999902</v>
      </c>
      <c r="L413" s="208">
        <v>103.70000000000024</v>
      </c>
      <c r="M413" s="208">
        <v>128.8399999999998</v>
      </c>
      <c r="N413" s="98"/>
      <c r="O413" s="98"/>
      <c r="P413" s="98"/>
      <c r="Q413" s="208">
        <v>85.560000000000073</v>
      </c>
      <c r="R413" s="98">
        <v>108.56000000000007</v>
      </c>
      <c r="S413" s="98">
        <v>121.56000000000007</v>
      </c>
      <c r="T413" s="98">
        <v>168.8399999999998</v>
      </c>
      <c r="U413" s="98">
        <v>85.560000000000073</v>
      </c>
      <c r="V413" s="98">
        <v>384.19999999999902</v>
      </c>
      <c r="W413" s="98">
        <v>511.39999999999827</v>
      </c>
      <c r="X413" s="98"/>
      <c r="Y413" s="98"/>
      <c r="Z413" s="98"/>
      <c r="AA413" s="230"/>
      <c r="AB413" s="230"/>
    </row>
    <row r="414" spans="2:28">
      <c r="B414" s="98">
        <v>444</v>
      </c>
      <c r="C414" s="98">
        <v>99.2</v>
      </c>
      <c r="D414" s="98">
        <v>491.2</v>
      </c>
      <c r="E414" s="98">
        <v>159.19999999999999</v>
      </c>
      <c r="F414" s="98">
        <v>163</v>
      </c>
      <c r="G414" s="98">
        <v>131.5</v>
      </c>
      <c r="H414" s="98">
        <v>99.4</v>
      </c>
      <c r="I414" s="98">
        <v>119.8</v>
      </c>
      <c r="J414" s="98">
        <v>159</v>
      </c>
      <c r="K414" s="209">
        <v>95.3599999999999</v>
      </c>
      <c r="L414" s="209">
        <v>103.60000000000025</v>
      </c>
      <c r="M414" s="209">
        <v>128.7199999999998</v>
      </c>
      <c r="N414" s="98"/>
      <c r="O414" s="98"/>
      <c r="P414" s="98"/>
      <c r="Q414" s="208">
        <v>85.480000000000075</v>
      </c>
      <c r="R414" s="98">
        <v>108.48000000000008</v>
      </c>
      <c r="S414" s="98">
        <v>121.48000000000008</v>
      </c>
      <c r="T414" s="98">
        <v>168.7199999999998</v>
      </c>
      <c r="U414" s="98">
        <v>85.480000000000075</v>
      </c>
      <c r="V414" s="98">
        <v>383.599999999999</v>
      </c>
      <c r="W414" s="98">
        <v>511.19999999999828</v>
      </c>
      <c r="X414" s="98"/>
      <c r="Y414" s="98"/>
      <c r="Z414" s="98"/>
      <c r="AA414" s="230"/>
      <c r="AB414" s="230"/>
    </row>
    <row r="415" spans="2:28">
      <c r="B415" s="98">
        <v>445</v>
      </c>
      <c r="C415" s="98">
        <v>99.1</v>
      </c>
      <c r="D415" s="98">
        <v>490.2</v>
      </c>
      <c r="E415" s="98">
        <v>159</v>
      </c>
      <c r="F415" s="98">
        <v>162.80000000000001</v>
      </c>
      <c r="G415" s="98">
        <v>131.4</v>
      </c>
      <c r="H415" s="98">
        <v>99.3</v>
      </c>
      <c r="I415" s="98">
        <v>119.7</v>
      </c>
      <c r="J415" s="98">
        <v>158.80000000000001</v>
      </c>
      <c r="K415" s="208">
        <v>95.299999999999898</v>
      </c>
      <c r="L415" s="208">
        <v>103.50000000000026</v>
      </c>
      <c r="M415" s="208">
        <v>128.5999999999998</v>
      </c>
      <c r="N415" s="98"/>
      <c r="O415" s="98"/>
      <c r="P415" s="98"/>
      <c r="Q415" s="208">
        <v>85.400000000000077</v>
      </c>
      <c r="R415" s="98">
        <v>108.40000000000008</v>
      </c>
      <c r="S415" s="98">
        <v>121.40000000000008</v>
      </c>
      <c r="T415" s="98">
        <v>168.5999999999998</v>
      </c>
      <c r="U415" s="98">
        <v>85.400000000000077</v>
      </c>
      <c r="V415" s="98">
        <v>382.99999999999898</v>
      </c>
      <c r="W415" s="98">
        <v>510.99999999999829</v>
      </c>
      <c r="X415" s="98"/>
      <c r="Y415" s="98"/>
      <c r="Z415" s="98"/>
      <c r="AA415" s="230"/>
      <c r="AB415" s="230"/>
    </row>
    <row r="416" spans="2:28">
      <c r="B416" s="98">
        <v>446</v>
      </c>
      <c r="C416" s="98">
        <v>99.1</v>
      </c>
      <c r="D416" s="98">
        <v>489.2</v>
      </c>
      <c r="E416" s="98">
        <v>158.80000000000001</v>
      </c>
      <c r="F416" s="98">
        <v>162.6</v>
      </c>
      <c r="G416" s="98">
        <v>131.30000000000001</v>
      </c>
      <c r="H416" s="98">
        <v>99.3</v>
      </c>
      <c r="I416" s="98">
        <v>119.6</v>
      </c>
      <c r="J416" s="98">
        <v>158.6</v>
      </c>
      <c r="K416" s="209">
        <v>95.239999999999895</v>
      </c>
      <c r="L416" s="209">
        <v>103.40000000000026</v>
      </c>
      <c r="M416" s="209">
        <v>128.47999999999979</v>
      </c>
      <c r="N416" s="98"/>
      <c r="O416" s="98"/>
      <c r="P416" s="98"/>
      <c r="Q416" s="208">
        <v>85.320000000000078</v>
      </c>
      <c r="R416" s="98">
        <v>108.32000000000008</v>
      </c>
      <c r="S416" s="98">
        <v>121.32000000000008</v>
      </c>
      <c r="T416" s="98">
        <v>168.47999999999979</v>
      </c>
      <c r="U416" s="98">
        <v>85.320000000000078</v>
      </c>
      <c r="V416" s="98">
        <v>382.39999999999895</v>
      </c>
      <c r="W416" s="98">
        <v>510.79999999999831</v>
      </c>
      <c r="X416" s="98"/>
      <c r="Y416" s="98"/>
      <c r="Z416" s="98"/>
      <c r="AA416" s="230"/>
      <c r="AB416" s="230"/>
    </row>
    <row r="417" spans="2:28">
      <c r="B417" s="98">
        <v>447</v>
      </c>
      <c r="C417" s="98">
        <v>99</v>
      </c>
      <c r="D417" s="98">
        <v>488.1</v>
      </c>
      <c r="E417" s="98">
        <v>158.6</v>
      </c>
      <c r="F417" s="98">
        <v>162.5</v>
      </c>
      <c r="G417" s="98">
        <v>131.19999999999999</v>
      </c>
      <c r="H417" s="98">
        <v>99.3</v>
      </c>
      <c r="I417" s="98">
        <v>119.6</v>
      </c>
      <c r="J417" s="98">
        <v>158.5</v>
      </c>
      <c r="K417" s="208">
        <v>95.179999999999893</v>
      </c>
      <c r="L417" s="208">
        <v>103.30000000000027</v>
      </c>
      <c r="M417" s="208">
        <v>128.35999999999979</v>
      </c>
      <c r="N417" s="98"/>
      <c r="O417" s="98"/>
      <c r="P417" s="98"/>
      <c r="Q417" s="208">
        <v>85.24000000000008</v>
      </c>
      <c r="R417" s="98">
        <v>108.24000000000008</v>
      </c>
      <c r="S417" s="98">
        <v>121.24000000000008</v>
      </c>
      <c r="T417" s="98">
        <v>168.35999999999979</v>
      </c>
      <c r="U417" s="98">
        <v>85.24000000000008</v>
      </c>
      <c r="V417" s="98">
        <v>381.79999999999893</v>
      </c>
      <c r="W417" s="98">
        <v>510.59999999999832</v>
      </c>
      <c r="X417" s="98"/>
      <c r="Y417" s="98"/>
      <c r="Z417" s="98"/>
      <c r="AA417" s="230"/>
      <c r="AB417" s="230"/>
    </row>
    <row r="418" spans="2:28">
      <c r="B418" s="98">
        <v>448</v>
      </c>
      <c r="C418" s="98">
        <v>99</v>
      </c>
      <c r="D418" s="98">
        <v>487.1</v>
      </c>
      <c r="E418" s="98">
        <v>158.4</v>
      </c>
      <c r="F418" s="98">
        <v>162.30000000000001</v>
      </c>
      <c r="G418" s="98">
        <v>131.19999999999999</v>
      </c>
      <c r="H418" s="98">
        <v>99.2</v>
      </c>
      <c r="I418" s="98">
        <v>119.5</v>
      </c>
      <c r="J418" s="98">
        <v>158.30000000000001</v>
      </c>
      <c r="K418" s="209">
        <v>95.119999999999891</v>
      </c>
      <c r="L418" s="209">
        <v>103.20000000000027</v>
      </c>
      <c r="M418" s="209">
        <v>128.23999999999978</v>
      </c>
      <c r="N418" s="98"/>
      <c r="O418" s="98"/>
      <c r="P418" s="98"/>
      <c r="Q418" s="208">
        <v>85.160000000000082</v>
      </c>
      <c r="R418" s="98">
        <v>108.16000000000008</v>
      </c>
      <c r="S418" s="98">
        <v>121.16000000000008</v>
      </c>
      <c r="T418" s="98">
        <v>168.23999999999978</v>
      </c>
      <c r="U418" s="98">
        <v>85.160000000000082</v>
      </c>
      <c r="V418" s="98">
        <v>381.19999999999891</v>
      </c>
      <c r="W418" s="98">
        <v>510.39999999999833</v>
      </c>
      <c r="X418" s="98"/>
      <c r="Y418" s="98"/>
      <c r="Z418" s="98"/>
      <c r="AA418" s="230"/>
      <c r="AB418" s="230"/>
    </row>
    <row r="419" spans="2:28">
      <c r="B419" s="98">
        <v>449</v>
      </c>
      <c r="C419" s="98">
        <v>98.9</v>
      </c>
      <c r="D419" s="98">
        <v>486</v>
      </c>
      <c r="E419" s="98">
        <v>158.19999999999999</v>
      </c>
      <c r="F419" s="98">
        <v>162.19999999999999</v>
      </c>
      <c r="G419" s="98">
        <v>131.1</v>
      </c>
      <c r="H419" s="98">
        <v>99.2</v>
      </c>
      <c r="I419" s="98">
        <v>119.4</v>
      </c>
      <c r="J419" s="98">
        <v>158.19999999999999</v>
      </c>
      <c r="K419" s="208">
        <v>95.059999999999889</v>
      </c>
      <c r="L419" s="208">
        <v>103.10000000000028</v>
      </c>
      <c r="M419" s="208">
        <v>128.11999999999978</v>
      </c>
      <c r="N419" s="98"/>
      <c r="O419" s="98"/>
      <c r="P419" s="98"/>
      <c r="Q419" s="208">
        <v>85.080000000000084</v>
      </c>
      <c r="R419" s="98">
        <v>108.08000000000008</v>
      </c>
      <c r="S419" s="98">
        <v>121.08000000000008</v>
      </c>
      <c r="T419" s="98">
        <v>168.11999999999978</v>
      </c>
      <c r="U419" s="98">
        <v>85.080000000000084</v>
      </c>
      <c r="V419" s="98">
        <v>380.59999999999889</v>
      </c>
      <c r="W419" s="98">
        <v>510.19999999999834</v>
      </c>
      <c r="X419" s="98"/>
      <c r="Y419" s="98"/>
      <c r="Z419" s="98"/>
      <c r="AA419" s="230"/>
      <c r="AB419" s="230"/>
    </row>
    <row r="420" spans="2:28">
      <c r="B420" s="98">
        <v>450</v>
      </c>
      <c r="C420" s="98">
        <v>98.9</v>
      </c>
      <c r="D420" s="98">
        <v>485</v>
      </c>
      <c r="E420" s="98">
        <v>158</v>
      </c>
      <c r="F420" s="98">
        <v>162</v>
      </c>
      <c r="G420" s="98">
        <v>131</v>
      </c>
      <c r="H420" s="98">
        <v>99.1</v>
      </c>
      <c r="I420" s="98">
        <v>119.4</v>
      </c>
      <c r="J420" s="98">
        <v>158</v>
      </c>
      <c r="K420" s="209">
        <v>95</v>
      </c>
      <c r="L420" s="209">
        <v>103</v>
      </c>
      <c r="M420" s="209">
        <v>128</v>
      </c>
      <c r="N420" s="98"/>
      <c r="O420" s="98"/>
      <c r="P420" s="98"/>
      <c r="Q420" s="209">
        <v>85</v>
      </c>
      <c r="R420" s="98">
        <v>108</v>
      </c>
      <c r="S420" s="98">
        <v>121</v>
      </c>
      <c r="T420" s="98">
        <v>168</v>
      </c>
      <c r="U420" s="98">
        <v>85</v>
      </c>
      <c r="V420" s="98">
        <v>380</v>
      </c>
      <c r="W420" s="98">
        <v>510</v>
      </c>
      <c r="X420" s="98"/>
      <c r="Y420" s="98"/>
      <c r="Z420" s="98"/>
      <c r="AA420" s="230">
        <v>420</v>
      </c>
      <c r="AB420" s="230"/>
    </row>
    <row r="421" spans="2:28">
      <c r="B421" s="98">
        <v>451</v>
      </c>
      <c r="C421" s="98">
        <v>98.8</v>
      </c>
      <c r="D421" s="98">
        <v>483.7</v>
      </c>
      <c r="E421" s="98">
        <v>157.80000000000001</v>
      </c>
      <c r="F421" s="98">
        <v>161.80000000000001</v>
      </c>
      <c r="G421" s="98">
        <v>131</v>
      </c>
      <c r="H421" s="98">
        <v>99.1</v>
      </c>
      <c r="I421" s="98">
        <v>119.3</v>
      </c>
      <c r="J421" s="98">
        <v>157.80000000000001</v>
      </c>
      <c r="K421" s="208">
        <v>94.94</v>
      </c>
      <c r="L421" s="208">
        <v>102.94</v>
      </c>
      <c r="M421" s="208">
        <v>127.88</v>
      </c>
      <c r="N421" s="98"/>
      <c r="O421" s="98"/>
      <c r="P421" s="98"/>
      <c r="Q421" s="208">
        <v>84.92</v>
      </c>
      <c r="R421" s="98">
        <v>107.94</v>
      </c>
      <c r="S421" s="98">
        <v>120.96</v>
      </c>
      <c r="T421" s="98">
        <v>167.96</v>
      </c>
      <c r="U421" s="98">
        <v>84.92</v>
      </c>
      <c r="V421" s="98">
        <v>379.4</v>
      </c>
      <c r="W421" s="98">
        <v>509.6</v>
      </c>
      <c r="X421" s="98"/>
      <c r="Y421" s="98"/>
      <c r="Z421" s="98"/>
      <c r="AA421" s="230"/>
      <c r="AB421" s="230"/>
    </row>
    <row r="422" spans="2:28">
      <c r="B422" s="98">
        <v>452</v>
      </c>
      <c r="C422" s="98">
        <v>98.8</v>
      </c>
      <c r="D422" s="98">
        <v>482.4</v>
      </c>
      <c r="E422" s="98">
        <v>157.6</v>
      </c>
      <c r="F422" s="98">
        <v>161.69999999999999</v>
      </c>
      <c r="G422" s="98">
        <v>130.9</v>
      </c>
      <c r="H422" s="98">
        <v>99.1</v>
      </c>
      <c r="I422" s="98">
        <v>119.2</v>
      </c>
      <c r="J422" s="98">
        <v>157.69999999999999</v>
      </c>
      <c r="K422" s="209">
        <v>94.88</v>
      </c>
      <c r="L422" s="209">
        <v>102.88</v>
      </c>
      <c r="M422" s="209">
        <v>127.75999999999999</v>
      </c>
      <c r="N422" s="98"/>
      <c r="O422" s="98"/>
      <c r="P422" s="98"/>
      <c r="Q422" s="208">
        <v>84.84</v>
      </c>
      <c r="R422" s="98">
        <v>107.88</v>
      </c>
      <c r="S422" s="98">
        <v>120.91999999999999</v>
      </c>
      <c r="T422" s="98">
        <v>167.92000000000002</v>
      </c>
      <c r="U422" s="98">
        <v>84.84</v>
      </c>
      <c r="V422" s="98">
        <v>378.79999999999995</v>
      </c>
      <c r="W422" s="98">
        <v>509.20000000000005</v>
      </c>
      <c r="X422" s="98"/>
      <c r="Y422" s="98"/>
      <c r="Z422" s="98"/>
      <c r="AA422" s="230"/>
      <c r="AB422" s="230"/>
    </row>
    <row r="423" spans="2:28">
      <c r="B423" s="98">
        <v>453</v>
      </c>
      <c r="C423" s="98">
        <v>98.7</v>
      </c>
      <c r="D423" s="98">
        <v>481</v>
      </c>
      <c r="E423" s="98">
        <v>157.4</v>
      </c>
      <c r="F423" s="98">
        <v>161.5</v>
      </c>
      <c r="G423" s="98">
        <v>130.9</v>
      </c>
      <c r="H423" s="98">
        <v>99</v>
      </c>
      <c r="I423" s="98">
        <v>119.1</v>
      </c>
      <c r="J423" s="98">
        <v>157.5</v>
      </c>
      <c r="K423" s="208">
        <v>94.82</v>
      </c>
      <c r="L423" s="208">
        <v>102.82</v>
      </c>
      <c r="M423" s="208">
        <v>127.63999999999999</v>
      </c>
      <c r="N423" s="98"/>
      <c r="O423" s="98"/>
      <c r="P423" s="98"/>
      <c r="Q423" s="208">
        <v>84.76</v>
      </c>
      <c r="R423" s="98">
        <v>107.82</v>
      </c>
      <c r="S423" s="98">
        <v>120.87999999999998</v>
      </c>
      <c r="T423" s="98">
        <v>167.88000000000002</v>
      </c>
      <c r="U423" s="98">
        <v>84.76</v>
      </c>
      <c r="V423" s="98">
        <v>378.19999999999993</v>
      </c>
      <c r="W423" s="98">
        <v>508.80000000000007</v>
      </c>
      <c r="X423" s="98"/>
      <c r="Y423" s="98"/>
      <c r="Z423" s="98"/>
      <c r="AA423" s="230"/>
      <c r="AB423" s="230"/>
    </row>
    <row r="424" spans="2:28">
      <c r="B424" s="98">
        <v>454</v>
      </c>
      <c r="C424" s="98">
        <v>98.6</v>
      </c>
      <c r="D424" s="98">
        <v>479.7</v>
      </c>
      <c r="E424" s="98">
        <v>157.19999999999999</v>
      </c>
      <c r="F424" s="98">
        <v>161.4</v>
      </c>
      <c r="G424" s="98">
        <v>130.80000000000001</v>
      </c>
      <c r="H424" s="98">
        <v>99</v>
      </c>
      <c r="I424" s="98">
        <v>119.1</v>
      </c>
      <c r="J424" s="98">
        <v>157.4</v>
      </c>
      <c r="K424" s="209">
        <v>94.759999999999991</v>
      </c>
      <c r="L424" s="209">
        <v>102.75999999999999</v>
      </c>
      <c r="M424" s="209">
        <v>127.51999999999998</v>
      </c>
      <c r="N424" s="98"/>
      <c r="O424" s="98"/>
      <c r="P424" s="98"/>
      <c r="Q424" s="208">
        <v>84.68</v>
      </c>
      <c r="R424" s="98">
        <v>107.75999999999999</v>
      </c>
      <c r="S424" s="98">
        <v>120.83999999999997</v>
      </c>
      <c r="T424" s="98">
        <v>167.84000000000003</v>
      </c>
      <c r="U424" s="98">
        <v>84.68</v>
      </c>
      <c r="V424" s="98">
        <v>377.59999999999991</v>
      </c>
      <c r="W424" s="98">
        <v>508.40000000000009</v>
      </c>
      <c r="X424" s="98"/>
      <c r="Y424" s="98"/>
      <c r="Z424" s="98"/>
      <c r="AA424" s="230"/>
      <c r="AB424" s="230"/>
    </row>
    <row r="425" spans="2:28">
      <c r="B425" s="98">
        <v>455</v>
      </c>
      <c r="C425" s="98">
        <v>98.5</v>
      </c>
      <c r="D425" s="98">
        <v>478.4</v>
      </c>
      <c r="E425" s="98">
        <v>157</v>
      </c>
      <c r="F425" s="98">
        <v>161.19999999999999</v>
      </c>
      <c r="G425" s="98">
        <v>130.80000000000001</v>
      </c>
      <c r="H425" s="98">
        <v>98.9</v>
      </c>
      <c r="I425" s="98">
        <v>119</v>
      </c>
      <c r="J425" s="98">
        <v>157.19999999999999</v>
      </c>
      <c r="K425" s="208">
        <v>94.699999999999989</v>
      </c>
      <c r="L425" s="208">
        <v>102.69999999999999</v>
      </c>
      <c r="M425" s="208">
        <v>127.39999999999998</v>
      </c>
      <c r="N425" s="98"/>
      <c r="O425" s="98"/>
      <c r="P425" s="98"/>
      <c r="Q425" s="208">
        <v>84.600000000000009</v>
      </c>
      <c r="R425" s="98">
        <v>107.69999999999999</v>
      </c>
      <c r="S425" s="98">
        <v>120.79999999999997</v>
      </c>
      <c r="T425" s="98">
        <v>167.80000000000004</v>
      </c>
      <c r="U425" s="98">
        <v>84.600000000000009</v>
      </c>
      <c r="V425" s="98">
        <v>376.99999999999989</v>
      </c>
      <c r="W425" s="98">
        <v>508.00000000000011</v>
      </c>
      <c r="X425" s="98"/>
      <c r="Y425" s="98"/>
      <c r="Z425" s="98"/>
      <c r="AA425" s="230"/>
      <c r="AB425" s="230"/>
    </row>
    <row r="426" spans="2:28">
      <c r="B426" s="98">
        <v>456</v>
      </c>
      <c r="C426" s="98">
        <v>98.5</v>
      </c>
      <c r="D426" s="98">
        <v>477.1</v>
      </c>
      <c r="E426" s="98">
        <v>156.80000000000001</v>
      </c>
      <c r="F426" s="98">
        <v>161</v>
      </c>
      <c r="G426" s="98">
        <v>130.80000000000001</v>
      </c>
      <c r="H426" s="98">
        <v>98.9</v>
      </c>
      <c r="I426" s="98">
        <v>118.9</v>
      </c>
      <c r="J426" s="98">
        <v>157</v>
      </c>
      <c r="K426" s="209">
        <v>94.639999999999986</v>
      </c>
      <c r="L426" s="209">
        <v>102.63999999999999</v>
      </c>
      <c r="M426" s="209">
        <v>127.27999999999997</v>
      </c>
      <c r="N426" s="98"/>
      <c r="O426" s="98"/>
      <c r="P426" s="98"/>
      <c r="Q426" s="208">
        <v>84.52000000000001</v>
      </c>
      <c r="R426" s="98">
        <v>107.63999999999999</v>
      </c>
      <c r="S426" s="98">
        <v>120.75999999999996</v>
      </c>
      <c r="T426" s="98">
        <v>167.76000000000005</v>
      </c>
      <c r="U426" s="98">
        <v>84.52000000000001</v>
      </c>
      <c r="V426" s="98">
        <v>376.39999999999986</v>
      </c>
      <c r="W426" s="98">
        <v>507.60000000000014</v>
      </c>
      <c r="X426" s="98"/>
      <c r="Y426" s="98"/>
      <c r="Z426" s="98"/>
      <c r="AA426" s="230"/>
      <c r="AB426" s="230"/>
    </row>
    <row r="427" spans="2:28">
      <c r="B427" s="98">
        <v>457</v>
      </c>
      <c r="C427" s="98">
        <v>98.4</v>
      </c>
      <c r="D427" s="98">
        <v>475.8</v>
      </c>
      <c r="E427" s="98">
        <v>156.6</v>
      </c>
      <c r="F427" s="98">
        <v>160.9</v>
      </c>
      <c r="G427" s="98">
        <v>130.69999999999999</v>
      </c>
      <c r="H427" s="98">
        <v>98.8</v>
      </c>
      <c r="I427" s="98">
        <v>118.9</v>
      </c>
      <c r="J427" s="98">
        <v>156.9</v>
      </c>
      <c r="K427" s="208">
        <v>94.579999999999984</v>
      </c>
      <c r="L427" s="208">
        <v>102.57999999999998</v>
      </c>
      <c r="M427" s="208">
        <v>127.15999999999997</v>
      </c>
      <c r="N427" s="98"/>
      <c r="O427" s="98"/>
      <c r="P427" s="98"/>
      <c r="Q427" s="208">
        <v>84.440000000000012</v>
      </c>
      <c r="R427" s="98">
        <v>107.57999999999998</v>
      </c>
      <c r="S427" s="98">
        <v>120.71999999999996</v>
      </c>
      <c r="T427" s="98">
        <v>167.72000000000006</v>
      </c>
      <c r="U427" s="98">
        <v>84.440000000000012</v>
      </c>
      <c r="V427" s="98">
        <v>375.79999999999984</v>
      </c>
      <c r="W427" s="98">
        <v>507.20000000000016</v>
      </c>
      <c r="X427" s="98"/>
      <c r="Y427" s="98"/>
      <c r="Z427" s="98"/>
      <c r="AA427" s="230"/>
      <c r="AB427" s="230"/>
    </row>
    <row r="428" spans="2:28">
      <c r="B428" s="98">
        <v>458</v>
      </c>
      <c r="C428" s="98">
        <v>98.3</v>
      </c>
      <c r="D428" s="98">
        <v>474.4</v>
      </c>
      <c r="E428" s="98">
        <v>156.4</v>
      </c>
      <c r="F428" s="98">
        <v>160.69999999999999</v>
      </c>
      <c r="G428" s="98">
        <v>130.69999999999999</v>
      </c>
      <c r="H428" s="98">
        <v>98.7</v>
      </c>
      <c r="I428" s="98">
        <v>118.8</v>
      </c>
      <c r="J428" s="98">
        <v>156.69999999999999</v>
      </c>
      <c r="K428" s="209">
        <v>94.519999999999982</v>
      </c>
      <c r="L428" s="209">
        <v>102.51999999999998</v>
      </c>
      <c r="M428" s="209">
        <v>127.03999999999996</v>
      </c>
      <c r="N428" s="98"/>
      <c r="O428" s="98"/>
      <c r="P428" s="98"/>
      <c r="Q428" s="208">
        <v>84.360000000000014</v>
      </c>
      <c r="R428" s="98">
        <v>107.51999999999998</v>
      </c>
      <c r="S428" s="98">
        <v>120.67999999999995</v>
      </c>
      <c r="T428" s="98">
        <v>167.68000000000006</v>
      </c>
      <c r="U428" s="98">
        <v>84.360000000000014</v>
      </c>
      <c r="V428" s="98">
        <v>375.19999999999982</v>
      </c>
      <c r="W428" s="98">
        <v>506.80000000000018</v>
      </c>
      <c r="X428" s="98"/>
      <c r="Y428" s="98"/>
      <c r="Z428" s="98"/>
      <c r="AA428" s="230"/>
      <c r="AB428" s="230"/>
    </row>
    <row r="429" spans="2:28">
      <c r="B429" s="98">
        <v>459</v>
      </c>
      <c r="C429" s="98">
        <v>98.3</v>
      </c>
      <c r="D429" s="98">
        <v>473.1</v>
      </c>
      <c r="E429" s="98">
        <v>156.19999999999999</v>
      </c>
      <c r="F429" s="98">
        <v>160.6</v>
      </c>
      <c r="G429" s="98">
        <v>130.6</v>
      </c>
      <c r="H429" s="98">
        <v>98.6</v>
      </c>
      <c r="I429" s="98">
        <v>118.7</v>
      </c>
      <c r="J429" s="98">
        <v>156.6</v>
      </c>
      <c r="K429" s="208">
        <v>94.45999999999998</v>
      </c>
      <c r="L429" s="208">
        <v>102.45999999999998</v>
      </c>
      <c r="M429" s="208">
        <v>126.91999999999996</v>
      </c>
      <c r="N429" s="98"/>
      <c r="O429" s="98"/>
      <c r="P429" s="98"/>
      <c r="Q429" s="208">
        <v>84.280000000000015</v>
      </c>
      <c r="R429" s="98">
        <v>107.45999999999998</v>
      </c>
      <c r="S429" s="98">
        <v>120.63999999999994</v>
      </c>
      <c r="T429" s="98">
        <v>167.64000000000007</v>
      </c>
      <c r="U429" s="98">
        <v>84.280000000000015</v>
      </c>
      <c r="V429" s="98">
        <v>374.5999999999998</v>
      </c>
      <c r="W429" s="98">
        <v>506.4000000000002</v>
      </c>
      <c r="X429" s="98"/>
      <c r="Y429" s="98"/>
      <c r="Z429" s="98"/>
      <c r="AA429" s="230"/>
      <c r="AB429" s="230"/>
    </row>
    <row r="430" spans="2:28">
      <c r="B430" s="98">
        <v>460</v>
      </c>
      <c r="C430" s="98">
        <v>98.2</v>
      </c>
      <c r="D430" s="98">
        <v>471.8</v>
      </c>
      <c r="E430" s="98">
        <v>156</v>
      </c>
      <c r="F430" s="98">
        <v>160.4</v>
      </c>
      <c r="G430" s="98">
        <v>130.6</v>
      </c>
      <c r="H430" s="98">
        <v>98.6</v>
      </c>
      <c r="I430" s="98">
        <v>118.6</v>
      </c>
      <c r="J430" s="98">
        <v>156.4</v>
      </c>
      <c r="K430" s="209">
        <v>94.399999999999977</v>
      </c>
      <c r="L430" s="209">
        <v>102.39999999999998</v>
      </c>
      <c r="M430" s="209">
        <v>126.79999999999995</v>
      </c>
      <c r="N430" s="98"/>
      <c r="O430" s="98"/>
      <c r="P430" s="98"/>
      <c r="Q430" s="208">
        <v>84.200000000000017</v>
      </c>
      <c r="R430" s="98">
        <v>107.39999999999998</v>
      </c>
      <c r="S430" s="98">
        <v>120.59999999999994</v>
      </c>
      <c r="T430" s="98">
        <v>167.60000000000008</v>
      </c>
      <c r="U430" s="98">
        <v>84.200000000000017</v>
      </c>
      <c r="V430" s="98">
        <v>373.99999999999977</v>
      </c>
      <c r="W430" s="98">
        <v>506.00000000000023</v>
      </c>
      <c r="X430" s="98"/>
      <c r="Y430" s="98"/>
      <c r="Z430" s="98"/>
      <c r="AA430" s="230"/>
      <c r="AB430" s="230"/>
    </row>
    <row r="431" spans="2:28">
      <c r="B431" s="98">
        <v>461</v>
      </c>
      <c r="C431" s="98">
        <v>98.1</v>
      </c>
      <c r="D431" s="98">
        <v>470.5</v>
      </c>
      <c r="E431" s="98">
        <v>155.80000000000001</v>
      </c>
      <c r="F431" s="98">
        <v>160.19999999999999</v>
      </c>
      <c r="G431" s="98">
        <v>130.6</v>
      </c>
      <c r="H431" s="98">
        <v>98.5</v>
      </c>
      <c r="I431" s="98">
        <v>118.6</v>
      </c>
      <c r="J431" s="98">
        <v>156.19999999999999</v>
      </c>
      <c r="K431" s="208">
        <v>94.339999999999975</v>
      </c>
      <c r="L431" s="208">
        <v>102.33999999999997</v>
      </c>
      <c r="M431" s="208">
        <v>126.67999999999995</v>
      </c>
      <c r="N431" s="98"/>
      <c r="O431" s="98"/>
      <c r="P431" s="98"/>
      <c r="Q431" s="208">
        <v>84.120000000000019</v>
      </c>
      <c r="R431" s="98">
        <v>107.33999999999997</v>
      </c>
      <c r="S431" s="98">
        <v>120.55999999999993</v>
      </c>
      <c r="T431" s="98">
        <v>167.56000000000009</v>
      </c>
      <c r="U431" s="98">
        <v>84.120000000000019</v>
      </c>
      <c r="V431" s="98">
        <v>373.39999999999975</v>
      </c>
      <c r="W431" s="98">
        <v>505.60000000000025</v>
      </c>
      <c r="X431" s="98"/>
      <c r="Y431" s="98"/>
      <c r="Z431" s="98"/>
      <c r="AA431" s="230"/>
      <c r="AB431" s="230"/>
    </row>
    <row r="432" spans="2:28">
      <c r="B432" s="98">
        <v>462</v>
      </c>
      <c r="C432" s="98">
        <v>98</v>
      </c>
      <c r="D432" s="98">
        <v>469.2</v>
      </c>
      <c r="E432" s="98">
        <v>155.6</v>
      </c>
      <c r="F432" s="98">
        <v>160.1</v>
      </c>
      <c r="G432" s="98">
        <v>130.5</v>
      </c>
      <c r="H432" s="98">
        <v>98.4</v>
      </c>
      <c r="I432" s="98">
        <v>118.5</v>
      </c>
      <c r="J432" s="98">
        <v>156.1</v>
      </c>
      <c r="K432" s="209">
        <v>94.279999999999973</v>
      </c>
      <c r="L432" s="209">
        <v>102.27999999999997</v>
      </c>
      <c r="M432" s="209">
        <v>126.55999999999995</v>
      </c>
      <c r="N432" s="98"/>
      <c r="O432" s="98"/>
      <c r="P432" s="98"/>
      <c r="Q432" s="208">
        <v>84.04000000000002</v>
      </c>
      <c r="R432" s="98">
        <v>107.27999999999997</v>
      </c>
      <c r="S432" s="98">
        <v>120.51999999999992</v>
      </c>
      <c r="T432" s="98">
        <v>167.5200000000001</v>
      </c>
      <c r="U432" s="98">
        <v>84.04000000000002</v>
      </c>
      <c r="V432" s="98">
        <v>372.79999999999973</v>
      </c>
      <c r="W432" s="98">
        <v>505.20000000000027</v>
      </c>
      <c r="X432" s="98"/>
      <c r="Y432" s="98"/>
      <c r="Z432" s="98"/>
      <c r="AA432" s="230"/>
      <c r="AB432" s="230"/>
    </row>
    <row r="433" spans="2:28">
      <c r="B433" s="98">
        <v>463</v>
      </c>
      <c r="C433" s="98">
        <v>98</v>
      </c>
      <c r="D433" s="98">
        <v>467.8</v>
      </c>
      <c r="E433" s="98">
        <v>155.4</v>
      </c>
      <c r="F433" s="98">
        <v>159.9</v>
      </c>
      <c r="G433" s="98">
        <v>130.5</v>
      </c>
      <c r="H433" s="98">
        <v>98.4</v>
      </c>
      <c r="I433" s="98">
        <v>118.4</v>
      </c>
      <c r="J433" s="98">
        <v>155.9</v>
      </c>
      <c r="K433" s="208">
        <v>94.21999999999997</v>
      </c>
      <c r="L433" s="208">
        <v>102.21999999999997</v>
      </c>
      <c r="M433" s="208">
        <v>126.43999999999994</v>
      </c>
      <c r="N433" s="98"/>
      <c r="O433" s="98"/>
      <c r="P433" s="98"/>
      <c r="Q433" s="208">
        <v>83.960000000000022</v>
      </c>
      <c r="R433" s="98">
        <v>107.21999999999997</v>
      </c>
      <c r="S433" s="98">
        <v>120.47999999999992</v>
      </c>
      <c r="T433" s="98">
        <v>167.4800000000001</v>
      </c>
      <c r="U433" s="98">
        <v>83.960000000000022</v>
      </c>
      <c r="V433" s="98">
        <v>372.1999999999997</v>
      </c>
      <c r="W433" s="98">
        <v>504.8000000000003</v>
      </c>
      <c r="X433" s="98"/>
      <c r="Y433" s="98"/>
      <c r="Z433" s="98"/>
      <c r="AA433" s="230"/>
      <c r="AB433" s="230"/>
    </row>
    <row r="434" spans="2:28">
      <c r="B434" s="98">
        <v>464</v>
      </c>
      <c r="C434" s="98">
        <v>97.9</v>
      </c>
      <c r="D434" s="98">
        <v>466.5</v>
      </c>
      <c r="E434" s="98">
        <v>155.19999999999999</v>
      </c>
      <c r="F434" s="98">
        <v>159.80000000000001</v>
      </c>
      <c r="G434" s="98">
        <v>130.4</v>
      </c>
      <c r="H434" s="98">
        <v>98.3</v>
      </c>
      <c r="I434" s="98">
        <v>118.4</v>
      </c>
      <c r="J434" s="98">
        <v>155.80000000000001</v>
      </c>
      <c r="K434" s="209">
        <v>94.159999999999968</v>
      </c>
      <c r="L434" s="209">
        <v>102.15999999999997</v>
      </c>
      <c r="M434" s="209">
        <v>126.31999999999994</v>
      </c>
      <c r="N434" s="98"/>
      <c r="O434" s="98"/>
      <c r="P434" s="98"/>
      <c r="Q434" s="208">
        <v>83.880000000000024</v>
      </c>
      <c r="R434" s="98">
        <v>107.15999999999997</v>
      </c>
      <c r="S434" s="98">
        <v>120.43999999999991</v>
      </c>
      <c r="T434" s="98">
        <v>167.44000000000011</v>
      </c>
      <c r="U434" s="98">
        <v>83.880000000000024</v>
      </c>
      <c r="V434" s="98">
        <v>371.59999999999968</v>
      </c>
      <c r="W434" s="98">
        <v>504.40000000000032</v>
      </c>
      <c r="X434" s="98"/>
      <c r="Y434" s="98"/>
      <c r="Z434" s="98"/>
      <c r="AA434" s="230"/>
      <c r="AB434" s="230"/>
    </row>
    <row r="435" spans="2:28">
      <c r="B435" s="98">
        <v>465</v>
      </c>
      <c r="C435" s="98">
        <v>97.8</v>
      </c>
      <c r="D435" s="98">
        <v>465.2</v>
      </c>
      <c r="E435" s="98">
        <v>155</v>
      </c>
      <c r="F435" s="98">
        <v>159.6</v>
      </c>
      <c r="G435" s="98">
        <v>130.4</v>
      </c>
      <c r="H435" s="98">
        <v>98.2</v>
      </c>
      <c r="I435" s="98">
        <v>118.3</v>
      </c>
      <c r="J435" s="98">
        <v>155.6</v>
      </c>
      <c r="K435" s="208">
        <v>94.099999999999966</v>
      </c>
      <c r="L435" s="208">
        <v>102.09999999999997</v>
      </c>
      <c r="M435" s="208">
        <v>126.19999999999993</v>
      </c>
      <c r="N435" s="98"/>
      <c r="O435" s="98"/>
      <c r="P435" s="98"/>
      <c r="Q435" s="208">
        <v>83.800000000000026</v>
      </c>
      <c r="R435" s="98">
        <v>107.09999999999997</v>
      </c>
      <c r="S435" s="98">
        <v>120.39999999999991</v>
      </c>
      <c r="T435" s="98">
        <v>167.40000000000012</v>
      </c>
      <c r="U435" s="98">
        <v>83.800000000000026</v>
      </c>
      <c r="V435" s="98">
        <v>370.99999999999966</v>
      </c>
      <c r="W435" s="98">
        <v>504.00000000000034</v>
      </c>
      <c r="X435" s="98"/>
      <c r="Y435" s="98"/>
      <c r="Z435" s="98"/>
      <c r="AA435" s="230"/>
      <c r="AB435" s="230"/>
    </row>
    <row r="436" spans="2:28">
      <c r="B436" s="98">
        <v>466</v>
      </c>
      <c r="C436" s="98">
        <v>97.7</v>
      </c>
      <c r="D436" s="98">
        <v>463.9</v>
      </c>
      <c r="E436" s="98">
        <v>154.80000000000001</v>
      </c>
      <c r="F436" s="98">
        <v>159.4</v>
      </c>
      <c r="G436" s="98">
        <v>130.4</v>
      </c>
      <c r="H436" s="98">
        <v>98.1</v>
      </c>
      <c r="I436" s="98">
        <v>118.2</v>
      </c>
      <c r="J436" s="98">
        <v>155.4</v>
      </c>
      <c r="K436" s="209">
        <v>94.039999999999964</v>
      </c>
      <c r="L436" s="209">
        <v>102.03999999999996</v>
      </c>
      <c r="M436" s="209">
        <v>126.07999999999993</v>
      </c>
      <c r="N436" s="98"/>
      <c r="O436" s="98"/>
      <c r="P436" s="98"/>
      <c r="Q436" s="208">
        <v>83.720000000000027</v>
      </c>
      <c r="R436" s="98">
        <v>107.03999999999996</v>
      </c>
      <c r="S436" s="98">
        <v>120.3599999999999</v>
      </c>
      <c r="T436" s="98">
        <v>167.36000000000013</v>
      </c>
      <c r="U436" s="98">
        <v>83.720000000000027</v>
      </c>
      <c r="V436" s="98">
        <v>370.39999999999964</v>
      </c>
      <c r="W436" s="98">
        <v>503.60000000000036</v>
      </c>
      <c r="X436" s="98"/>
      <c r="Y436" s="98"/>
      <c r="Z436" s="98"/>
      <c r="AA436" s="230"/>
      <c r="AB436" s="230"/>
    </row>
    <row r="437" spans="2:28">
      <c r="B437" s="98">
        <v>467</v>
      </c>
      <c r="C437" s="98">
        <v>97.7</v>
      </c>
      <c r="D437" s="98">
        <v>462.6</v>
      </c>
      <c r="E437" s="98">
        <v>154.6</v>
      </c>
      <c r="F437" s="98">
        <v>159.30000000000001</v>
      </c>
      <c r="G437" s="98">
        <v>130.30000000000001</v>
      </c>
      <c r="H437" s="98">
        <v>98.1</v>
      </c>
      <c r="I437" s="98">
        <v>118.1</v>
      </c>
      <c r="J437" s="98">
        <v>155.30000000000001</v>
      </c>
      <c r="K437" s="208">
        <v>93.979999999999961</v>
      </c>
      <c r="L437" s="208">
        <v>101.97999999999996</v>
      </c>
      <c r="M437" s="208">
        <v>125.95999999999992</v>
      </c>
      <c r="N437" s="98"/>
      <c r="O437" s="98"/>
      <c r="P437" s="98"/>
      <c r="Q437" s="208">
        <v>83.640000000000029</v>
      </c>
      <c r="R437" s="98">
        <v>106.97999999999996</v>
      </c>
      <c r="S437" s="98">
        <v>120.31999999999989</v>
      </c>
      <c r="T437" s="98">
        <v>167.32000000000014</v>
      </c>
      <c r="U437" s="98">
        <v>83.640000000000029</v>
      </c>
      <c r="V437" s="98">
        <v>369.79999999999961</v>
      </c>
      <c r="W437" s="98">
        <v>503.20000000000039</v>
      </c>
      <c r="X437" s="98"/>
      <c r="Y437" s="98"/>
      <c r="Z437" s="98"/>
      <c r="AA437" s="230"/>
      <c r="AB437" s="230"/>
    </row>
    <row r="438" spans="2:28">
      <c r="B438" s="98">
        <v>468</v>
      </c>
      <c r="C438" s="98">
        <v>97.6</v>
      </c>
      <c r="D438" s="98">
        <v>461.2</v>
      </c>
      <c r="E438" s="98">
        <v>154.4</v>
      </c>
      <c r="F438" s="98">
        <v>159.1</v>
      </c>
      <c r="G438" s="98">
        <v>130.30000000000001</v>
      </c>
      <c r="H438" s="98">
        <v>98</v>
      </c>
      <c r="I438" s="98">
        <v>118.1</v>
      </c>
      <c r="J438" s="98">
        <v>155.1</v>
      </c>
      <c r="K438" s="209">
        <v>93.919999999999959</v>
      </c>
      <c r="L438" s="209">
        <v>101.91999999999996</v>
      </c>
      <c r="M438" s="209">
        <v>125.83999999999992</v>
      </c>
      <c r="N438" s="98"/>
      <c r="O438" s="98"/>
      <c r="P438" s="98"/>
      <c r="Q438" s="208">
        <v>83.560000000000031</v>
      </c>
      <c r="R438" s="98">
        <v>106.91999999999996</v>
      </c>
      <c r="S438" s="98">
        <v>120.27999999999989</v>
      </c>
      <c r="T438" s="98">
        <v>167.28000000000014</v>
      </c>
      <c r="U438" s="98">
        <v>83.560000000000031</v>
      </c>
      <c r="V438" s="98">
        <v>369.19999999999959</v>
      </c>
      <c r="W438" s="98">
        <v>502.80000000000041</v>
      </c>
      <c r="X438" s="98"/>
      <c r="Y438" s="98"/>
      <c r="Z438" s="98"/>
      <c r="AA438" s="230"/>
      <c r="AB438" s="230"/>
    </row>
    <row r="439" spans="2:28">
      <c r="B439" s="98">
        <v>469</v>
      </c>
      <c r="C439" s="98">
        <v>97.5</v>
      </c>
      <c r="D439" s="98">
        <v>459.9</v>
      </c>
      <c r="E439" s="98">
        <v>154.19999999999999</v>
      </c>
      <c r="F439" s="98">
        <v>159</v>
      </c>
      <c r="G439" s="98">
        <v>130.19999999999999</v>
      </c>
      <c r="H439" s="98">
        <v>97.9</v>
      </c>
      <c r="I439" s="98">
        <v>118</v>
      </c>
      <c r="J439" s="98">
        <v>155</v>
      </c>
      <c r="K439" s="208">
        <v>93.859999999999957</v>
      </c>
      <c r="L439" s="208">
        <v>101.85999999999996</v>
      </c>
      <c r="M439" s="208">
        <v>125.71999999999991</v>
      </c>
      <c r="N439" s="98"/>
      <c r="O439" s="98"/>
      <c r="P439" s="98"/>
      <c r="Q439" s="208">
        <v>83.480000000000032</v>
      </c>
      <c r="R439" s="98">
        <v>106.85999999999996</v>
      </c>
      <c r="S439" s="98">
        <v>120.23999999999988</v>
      </c>
      <c r="T439" s="98">
        <v>167.24000000000015</v>
      </c>
      <c r="U439" s="98">
        <v>83.480000000000032</v>
      </c>
      <c r="V439" s="98">
        <v>368.59999999999957</v>
      </c>
      <c r="W439" s="98">
        <v>502.40000000000043</v>
      </c>
      <c r="X439" s="98"/>
      <c r="Y439" s="98"/>
      <c r="Z439" s="98"/>
      <c r="AA439" s="230"/>
      <c r="AB439" s="230"/>
    </row>
    <row r="440" spans="2:28">
      <c r="B440" s="98">
        <v>470</v>
      </c>
      <c r="C440" s="98">
        <v>97.5</v>
      </c>
      <c r="D440" s="98">
        <v>458.6</v>
      </c>
      <c r="E440" s="98">
        <v>154</v>
      </c>
      <c r="F440" s="98">
        <v>158.80000000000001</v>
      </c>
      <c r="G440" s="98">
        <v>130.19999999999999</v>
      </c>
      <c r="H440" s="98">
        <v>97.9</v>
      </c>
      <c r="I440" s="98">
        <v>117.9</v>
      </c>
      <c r="J440" s="98">
        <v>154.80000000000001</v>
      </c>
      <c r="K440" s="209">
        <v>93.799999999999955</v>
      </c>
      <c r="L440" s="209">
        <v>101.79999999999995</v>
      </c>
      <c r="M440" s="209">
        <v>125.59999999999991</v>
      </c>
      <c r="N440" s="98"/>
      <c r="O440" s="98"/>
      <c r="P440" s="98"/>
      <c r="Q440" s="208">
        <v>83.400000000000034</v>
      </c>
      <c r="R440" s="98">
        <v>106.79999999999995</v>
      </c>
      <c r="S440" s="98">
        <v>120.19999999999987</v>
      </c>
      <c r="T440" s="98">
        <v>167.20000000000016</v>
      </c>
      <c r="U440" s="98">
        <v>83.400000000000034</v>
      </c>
      <c r="V440" s="98">
        <v>367.99999999999955</v>
      </c>
      <c r="W440" s="98">
        <v>502.00000000000045</v>
      </c>
      <c r="X440" s="98"/>
      <c r="Y440" s="98"/>
      <c r="Z440" s="98"/>
      <c r="AA440" s="230"/>
      <c r="AB440" s="230"/>
    </row>
    <row r="441" spans="2:28">
      <c r="B441" s="98">
        <v>471</v>
      </c>
      <c r="C441" s="98">
        <v>97.4</v>
      </c>
      <c r="D441" s="98">
        <v>457.3</v>
      </c>
      <c r="E441" s="98">
        <v>153.80000000000001</v>
      </c>
      <c r="F441" s="98">
        <v>158.6</v>
      </c>
      <c r="G441" s="98">
        <v>130.19999999999999</v>
      </c>
      <c r="H441" s="98">
        <v>97.8</v>
      </c>
      <c r="I441" s="98">
        <v>117.9</v>
      </c>
      <c r="J441" s="98">
        <v>154.6</v>
      </c>
      <c r="K441" s="208">
        <v>93.739999999999952</v>
      </c>
      <c r="L441" s="208">
        <v>101.73999999999995</v>
      </c>
      <c r="M441" s="208">
        <v>125.4799999999999</v>
      </c>
      <c r="N441" s="98"/>
      <c r="O441" s="98"/>
      <c r="P441" s="98"/>
      <c r="Q441" s="208">
        <v>83.320000000000036</v>
      </c>
      <c r="R441" s="98">
        <v>106.73999999999995</v>
      </c>
      <c r="S441" s="98">
        <v>120.15999999999987</v>
      </c>
      <c r="T441" s="98">
        <v>167.16000000000017</v>
      </c>
      <c r="U441" s="98">
        <v>83.320000000000036</v>
      </c>
      <c r="V441" s="98">
        <v>367.39999999999952</v>
      </c>
      <c r="W441" s="98">
        <v>501.60000000000048</v>
      </c>
      <c r="X441" s="98"/>
      <c r="Y441" s="98"/>
      <c r="Z441" s="98"/>
      <c r="AA441" s="230"/>
      <c r="AB441" s="230"/>
    </row>
    <row r="442" spans="2:28">
      <c r="B442" s="98">
        <v>472</v>
      </c>
      <c r="C442" s="98">
        <v>97.3</v>
      </c>
      <c r="D442" s="98">
        <v>456</v>
      </c>
      <c r="E442" s="98">
        <v>153.6</v>
      </c>
      <c r="F442" s="98">
        <v>158.5</v>
      </c>
      <c r="G442" s="98">
        <v>130.1</v>
      </c>
      <c r="H442" s="98">
        <v>97.7</v>
      </c>
      <c r="I442" s="98">
        <v>117.8</v>
      </c>
      <c r="J442" s="98">
        <v>154.5</v>
      </c>
      <c r="K442" s="209">
        <v>93.67999999999995</v>
      </c>
      <c r="L442" s="209">
        <v>101.67999999999995</v>
      </c>
      <c r="M442" s="209">
        <v>125.3599999999999</v>
      </c>
      <c r="N442" s="98"/>
      <c r="O442" s="98"/>
      <c r="P442" s="98"/>
      <c r="Q442" s="208">
        <v>83.240000000000038</v>
      </c>
      <c r="R442" s="98">
        <v>106.67999999999995</v>
      </c>
      <c r="S442" s="98">
        <v>120.11999999999986</v>
      </c>
      <c r="T442" s="98">
        <v>167.12000000000018</v>
      </c>
      <c r="U442" s="98">
        <v>83.240000000000038</v>
      </c>
      <c r="V442" s="98">
        <v>366.7999999999995</v>
      </c>
      <c r="W442" s="98">
        <v>501.2000000000005</v>
      </c>
      <c r="X442" s="98"/>
      <c r="Y442" s="98"/>
      <c r="Z442" s="98"/>
      <c r="AA442" s="230"/>
      <c r="AB442" s="230"/>
    </row>
    <row r="443" spans="2:28">
      <c r="B443" s="98">
        <v>473</v>
      </c>
      <c r="C443" s="98">
        <v>97.2</v>
      </c>
      <c r="D443" s="98">
        <v>454.6</v>
      </c>
      <c r="E443" s="98">
        <v>153.4</v>
      </c>
      <c r="F443" s="98">
        <v>158.30000000000001</v>
      </c>
      <c r="G443" s="98">
        <v>130.1</v>
      </c>
      <c r="H443" s="98">
        <v>97.6</v>
      </c>
      <c r="I443" s="98">
        <v>117.7</v>
      </c>
      <c r="J443" s="98">
        <v>154.30000000000001</v>
      </c>
      <c r="K443" s="208">
        <v>93.619999999999948</v>
      </c>
      <c r="L443" s="208">
        <v>101.61999999999995</v>
      </c>
      <c r="M443" s="208">
        <v>125.2399999999999</v>
      </c>
      <c r="N443" s="98"/>
      <c r="O443" s="98"/>
      <c r="P443" s="98"/>
      <c r="Q443" s="208">
        <v>83.160000000000039</v>
      </c>
      <c r="R443" s="98">
        <v>106.61999999999995</v>
      </c>
      <c r="S443" s="98">
        <v>120.07999999999986</v>
      </c>
      <c r="T443" s="98">
        <v>167.08000000000018</v>
      </c>
      <c r="U443" s="98">
        <v>83.160000000000039</v>
      </c>
      <c r="V443" s="98">
        <v>366.19999999999948</v>
      </c>
      <c r="W443" s="98">
        <v>500.80000000000052</v>
      </c>
      <c r="X443" s="98"/>
      <c r="Y443" s="98"/>
      <c r="Z443" s="98"/>
      <c r="AA443" s="230"/>
      <c r="AB443" s="230"/>
    </row>
    <row r="444" spans="2:28">
      <c r="B444" s="98">
        <v>474</v>
      </c>
      <c r="C444" s="98">
        <v>97.2</v>
      </c>
      <c r="D444" s="98">
        <v>453.3</v>
      </c>
      <c r="E444" s="98">
        <v>153.19999999999999</v>
      </c>
      <c r="F444" s="98">
        <v>158.19999999999999</v>
      </c>
      <c r="G444" s="98">
        <v>130</v>
      </c>
      <c r="H444" s="98">
        <v>97.6</v>
      </c>
      <c r="I444" s="98">
        <v>117.6</v>
      </c>
      <c r="J444" s="98">
        <v>154.19999999999999</v>
      </c>
      <c r="K444" s="209">
        <v>93.559999999999945</v>
      </c>
      <c r="L444" s="209">
        <v>101.55999999999995</v>
      </c>
      <c r="M444" s="209">
        <v>125.11999999999989</v>
      </c>
      <c r="N444" s="98"/>
      <c r="O444" s="98"/>
      <c r="P444" s="98"/>
      <c r="Q444" s="208">
        <v>83.080000000000041</v>
      </c>
      <c r="R444" s="98">
        <v>106.55999999999995</v>
      </c>
      <c r="S444" s="98">
        <v>120.03999999999985</v>
      </c>
      <c r="T444" s="98">
        <v>167.04000000000019</v>
      </c>
      <c r="U444" s="98">
        <v>83.080000000000041</v>
      </c>
      <c r="V444" s="98">
        <v>365.59999999999945</v>
      </c>
      <c r="W444" s="98">
        <v>500.40000000000055</v>
      </c>
      <c r="X444" s="98"/>
      <c r="Y444" s="98"/>
      <c r="Z444" s="98"/>
      <c r="AA444" s="230"/>
      <c r="AB444" s="230"/>
    </row>
    <row r="445" spans="2:28">
      <c r="B445" s="98">
        <v>475</v>
      </c>
      <c r="C445" s="98">
        <v>97.1</v>
      </c>
      <c r="D445" s="98">
        <v>452</v>
      </c>
      <c r="E445" s="98">
        <v>153</v>
      </c>
      <c r="F445" s="98">
        <v>158</v>
      </c>
      <c r="G445" s="98">
        <v>130</v>
      </c>
      <c r="H445" s="98">
        <v>97.5</v>
      </c>
      <c r="I445" s="98">
        <v>117.6</v>
      </c>
      <c r="J445" s="98">
        <v>154</v>
      </c>
      <c r="K445" s="208">
        <v>93.499999999999943</v>
      </c>
      <c r="L445" s="208">
        <v>101.49999999999994</v>
      </c>
      <c r="M445" s="208">
        <v>124.99999999999989</v>
      </c>
      <c r="N445" s="98"/>
      <c r="O445" s="98"/>
      <c r="P445" s="98"/>
      <c r="Q445" s="208">
        <v>83.000000000000043</v>
      </c>
      <c r="R445" s="98">
        <v>106.49999999999994</v>
      </c>
      <c r="S445" s="98">
        <v>119.99999999999984</v>
      </c>
      <c r="T445" s="98">
        <v>167.0000000000002</v>
      </c>
      <c r="U445" s="98">
        <v>83.000000000000043</v>
      </c>
      <c r="V445" s="98">
        <v>364.99999999999943</v>
      </c>
      <c r="W445" s="98">
        <v>500.00000000000057</v>
      </c>
      <c r="X445" s="98"/>
      <c r="Y445" s="98"/>
      <c r="Z445" s="98"/>
      <c r="AA445" s="230"/>
      <c r="AB445" s="230"/>
    </row>
    <row r="446" spans="2:28">
      <c r="B446" s="98">
        <v>476</v>
      </c>
      <c r="C446" s="98">
        <v>97</v>
      </c>
      <c r="D446" s="98">
        <v>450.6</v>
      </c>
      <c r="E446" s="98">
        <v>152.80000000000001</v>
      </c>
      <c r="F446" s="98">
        <v>157.80000000000001</v>
      </c>
      <c r="G446" s="98">
        <v>130</v>
      </c>
      <c r="H446" s="98">
        <v>97.4</v>
      </c>
      <c r="I446" s="98">
        <v>117.5</v>
      </c>
      <c r="J446" s="98">
        <v>153.80000000000001</v>
      </c>
      <c r="K446" s="209">
        <v>93.439999999999941</v>
      </c>
      <c r="L446" s="209">
        <v>101.43999999999994</v>
      </c>
      <c r="M446" s="209">
        <v>124.87999999999988</v>
      </c>
      <c r="N446" s="98"/>
      <c r="O446" s="98"/>
      <c r="P446" s="98"/>
      <c r="Q446" s="208">
        <v>82.920000000000044</v>
      </c>
      <c r="R446" s="98">
        <v>106.43999999999994</v>
      </c>
      <c r="S446" s="98">
        <v>119.95999999999984</v>
      </c>
      <c r="T446" s="98">
        <v>166.96000000000021</v>
      </c>
      <c r="U446" s="98">
        <v>82.920000000000044</v>
      </c>
      <c r="V446" s="98">
        <v>364.39999999999941</v>
      </c>
      <c r="W446" s="98">
        <v>499.60000000000059</v>
      </c>
      <c r="X446" s="98"/>
      <c r="Y446" s="98"/>
      <c r="Z446" s="98"/>
      <c r="AA446" s="230"/>
      <c r="AB446" s="230"/>
    </row>
    <row r="447" spans="2:28">
      <c r="B447" s="98">
        <v>477</v>
      </c>
      <c r="C447" s="98">
        <v>96.9</v>
      </c>
      <c r="D447" s="98">
        <v>449.1</v>
      </c>
      <c r="E447" s="98">
        <v>152.6</v>
      </c>
      <c r="F447" s="98">
        <v>157.69999999999999</v>
      </c>
      <c r="G447" s="98">
        <v>129.9</v>
      </c>
      <c r="H447" s="98">
        <v>97.4</v>
      </c>
      <c r="I447" s="98">
        <v>117.4</v>
      </c>
      <c r="J447" s="98">
        <v>153.69999999999999</v>
      </c>
      <c r="K447" s="208">
        <v>93.379999999999939</v>
      </c>
      <c r="L447" s="208">
        <v>101.37999999999994</v>
      </c>
      <c r="M447" s="208">
        <v>124.75999999999988</v>
      </c>
      <c r="N447" s="98"/>
      <c r="O447" s="98"/>
      <c r="P447" s="98"/>
      <c r="Q447" s="208">
        <v>82.840000000000046</v>
      </c>
      <c r="R447" s="98">
        <v>106.37999999999994</v>
      </c>
      <c r="S447" s="98">
        <v>119.91999999999983</v>
      </c>
      <c r="T447" s="98">
        <v>166.92000000000021</v>
      </c>
      <c r="U447" s="98">
        <v>82.840000000000046</v>
      </c>
      <c r="V447" s="98">
        <v>363.79999999999939</v>
      </c>
      <c r="W447" s="98">
        <v>499.20000000000061</v>
      </c>
      <c r="X447" s="98"/>
      <c r="Y447" s="98"/>
      <c r="Z447" s="98"/>
      <c r="AA447" s="230"/>
      <c r="AB447" s="230"/>
    </row>
    <row r="448" spans="2:28">
      <c r="B448" s="98">
        <v>478</v>
      </c>
      <c r="C448" s="98">
        <v>96.9</v>
      </c>
      <c r="D448" s="98">
        <v>447.7</v>
      </c>
      <c r="E448" s="98">
        <v>152.4</v>
      </c>
      <c r="F448" s="98">
        <v>157.5</v>
      </c>
      <c r="G448" s="98">
        <v>129.9</v>
      </c>
      <c r="H448" s="98">
        <v>97.3</v>
      </c>
      <c r="I448" s="98">
        <v>117.4</v>
      </c>
      <c r="J448" s="98">
        <v>153.5</v>
      </c>
      <c r="K448" s="209">
        <v>93.319999999999936</v>
      </c>
      <c r="L448" s="209">
        <v>101.31999999999994</v>
      </c>
      <c r="M448" s="209">
        <v>124.63999999999987</v>
      </c>
      <c r="N448" s="98"/>
      <c r="O448" s="98"/>
      <c r="P448" s="98"/>
      <c r="Q448" s="208">
        <v>82.760000000000048</v>
      </c>
      <c r="R448" s="98">
        <v>106.31999999999994</v>
      </c>
      <c r="S448" s="98">
        <v>119.87999999999982</v>
      </c>
      <c r="T448" s="98">
        <v>166.88000000000022</v>
      </c>
      <c r="U448" s="98">
        <v>82.760000000000048</v>
      </c>
      <c r="V448" s="98">
        <v>363.19999999999936</v>
      </c>
      <c r="W448" s="98">
        <v>498.80000000000064</v>
      </c>
      <c r="X448" s="98"/>
      <c r="Y448" s="98"/>
      <c r="Z448" s="98"/>
      <c r="AA448" s="230"/>
      <c r="AB448" s="230"/>
    </row>
    <row r="449" spans="2:28">
      <c r="B449" s="98">
        <v>479</v>
      </c>
      <c r="C449" s="98">
        <v>96.8</v>
      </c>
      <c r="D449" s="98">
        <v>446.2</v>
      </c>
      <c r="E449" s="98">
        <v>152.19999999999999</v>
      </c>
      <c r="F449" s="98">
        <v>157.4</v>
      </c>
      <c r="G449" s="98">
        <v>129.80000000000001</v>
      </c>
      <c r="H449" s="98">
        <v>97.2</v>
      </c>
      <c r="I449" s="98">
        <v>117.3</v>
      </c>
      <c r="J449" s="98">
        <v>153.4</v>
      </c>
      <c r="K449" s="208">
        <v>93.259999999999934</v>
      </c>
      <c r="L449" s="208">
        <v>101.25999999999993</v>
      </c>
      <c r="M449" s="208">
        <v>124.51999999999987</v>
      </c>
      <c r="N449" s="98"/>
      <c r="O449" s="98"/>
      <c r="P449" s="98"/>
      <c r="Q449" s="208">
        <v>82.680000000000049</v>
      </c>
      <c r="R449" s="98">
        <v>106.25999999999993</v>
      </c>
      <c r="S449" s="98">
        <v>119.83999999999982</v>
      </c>
      <c r="T449" s="98">
        <v>166.84000000000023</v>
      </c>
      <c r="U449" s="98">
        <v>82.680000000000049</v>
      </c>
      <c r="V449" s="98">
        <v>362.59999999999934</v>
      </c>
      <c r="W449" s="98">
        <v>498.40000000000066</v>
      </c>
      <c r="X449" s="98"/>
      <c r="Y449" s="98"/>
      <c r="Z449" s="98"/>
      <c r="AA449" s="230"/>
      <c r="AB449" s="230"/>
    </row>
    <row r="450" spans="2:28">
      <c r="B450" s="98">
        <v>480</v>
      </c>
      <c r="C450" s="98">
        <v>96.7</v>
      </c>
      <c r="D450" s="98">
        <v>444.8</v>
      </c>
      <c r="E450" s="98">
        <v>152</v>
      </c>
      <c r="F450" s="98">
        <v>157.19999999999999</v>
      </c>
      <c r="G450" s="98">
        <v>129.80000000000001</v>
      </c>
      <c r="H450" s="98">
        <v>97.1</v>
      </c>
      <c r="I450" s="98">
        <v>117.2</v>
      </c>
      <c r="J450" s="98">
        <v>153.19999999999999</v>
      </c>
      <c r="K450" s="209">
        <v>93.199999999999932</v>
      </c>
      <c r="L450" s="209">
        <v>101.19999999999993</v>
      </c>
      <c r="M450" s="209">
        <v>124.39999999999986</v>
      </c>
      <c r="N450" s="98"/>
      <c r="O450" s="98"/>
      <c r="P450" s="98"/>
      <c r="Q450" s="208">
        <v>82.600000000000051</v>
      </c>
      <c r="R450" s="98">
        <v>106.19999999999993</v>
      </c>
      <c r="S450" s="98">
        <v>119.79999999999981</v>
      </c>
      <c r="T450" s="98">
        <v>166.80000000000024</v>
      </c>
      <c r="U450" s="98">
        <v>82.600000000000051</v>
      </c>
      <c r="V450" s="98">
        <v>361.99999999999932</v>
      </c>
      <c r="W450" s="98">
        <v>498.00000000000068</v>
      </c>
      <c r="X450" s="98"/>
      <c r="Y450" s="98"/>
      <c r="Z450" s="98"/>
      <c r="AA450" s="230"/>
      <c r="AB450" s="230"/>
    </row>
    <row r="451" spans="2:28">
      <c r="B451" s="98">
        <v>481</v>
      </c>
      <c r="C451" s="98">
        <v>96.6</v>
      </c>
      <c r="D451" s="98">
        <v>443.4</v>
      </c>
      <c r="E451" s="98">
        <v>151.80000000000001</v>
      </c>
      <c r="F451" s="98">
        <v>157</v>
      </c>
      <c r="G451" s="98">
        <v>129.80000000000001</v>
      </c>
      <c r="H451" s="98">
        <v>97.1</v>
      </c>
      <c r="I451" s="98">
        <v>117.1</v>
      </c>
      <c r="J451" s="98">
        <v>153</v>
      </c>
      <c r="K451" s="208">
        <v>93.13999999999993</v>
      </c>
      <c r="L451" s="208">
        <v>101.13999999999993</v>
      </c>
      <c r="M451" s="208">
        <v>124.27999999999986</v>
      </c>
      <c r="N451" s="98"/>
      <c r="O451" s="98"/>
      <c r="P451" s="98"/>
      <c r="Q451" s="208">
        <v>82.520000000000053</v>
      </c>
      <c r="R451" s="98">
        <v>106.13999999999993</v>
      </c>
      <c r="S451" s="98">
        <v>119.75999999999981</v>
      </c>
      <c r="T451" s="98">
        <v>166.76000000000025</v>
      </c>
      <c r="U451" s="98">
        <v>82.520000000000053</v>
      </c>
      <c r="V451" s="98">
        <v>361.3999999999993</v>
      </c>
      <c r="W451" s="98">
        <v>497.6000000000007</v>
      </c>
      <c r="X451" s="98"/>
      <c r="Y451" s="98"/>
      <c r="Z451" s="98"/>
      <c r="AA451" s="230"/>
      <c r="AB451" s="230"/>
    </row>
    <row r="452" spans="2:28">
      <c r="B452" s="98">
        <v>482</v>
      </c>
      <c r="C452" s="98">
        <v>96.6</v>
      </c>
      <c r="D452" s="98">
        <v>441.9</v>
      </c>
      <c r="E452" s="98">
        <v>151.6</v>
      </c>
      <c r="F452" s="98">
        <v>156.9</v>
      </c>
      <c r="G452" s="98">
        <v>129.69999999999999</v>
      </c>
      <c r="H452" s="98">
        <v>97</v>
      </c>
      <c r="I452" s="98">
        <v>117.1</v>
      </c>
      <c r="J452" s="98">
        <v>152.9</v>
      </c>
      <c r="K452" s="209">
        <v>93.079999999999927</v>
      </c>
      <c r="L452" s="209">
        <v>101.07999999999993</v>
      </c>
      <c r="M452" s="209">
        <v>124.15999999999985</v>
      </c>
      <c r="N452" s="98"/>
      <c r="O452" s="98"/>
      <c r="P452" s="98"/>
      <c r="Q452" s="208">
        <v>82.440000000000055</v>
      </c>
      <c r="R452" s="98">
        <v>106.07999999999993</v>
      </c>
      <c r="S452" s="98">
        <v>119.7199999999998</v>
      </c>
      <c r="T452" s="98">
        <v>166.72000000000025</v>
      </c>
      <c r="U452" s="98">
        <v>82.440000000000055</v>
      </c>
      <c r="V452" s="98">
        <v>360.79999999999927</v>
      </c>
      <c r="W452" s="98">
        <v>497.20000000000073</v>
      </c>
      <c r="X452" s="98"/>
      <c r="Y452" s="98"/>
      <c r="Z452" s="98"/>
      <c r="AA452" s="230"/>
      <c r="AB452" s="230"/>
    </row>
    <row r="453" spans="2:28">
      <c r="B453" s="98">
        <v>483</v>
      </c>
      <c r="C453" s="98">
        <v>96.5</v>
      </c>
      <c r="D453" s="98">
        <v>440.5</v>
      </c>
      <c r="E453" s="98">
        <v>151.4</v>
      </c>
      <c r="F453" s="98">
        <v>156.69999999999999</v>
      </c>
      <c r="G453" s="98">
        <v>129.69999999999999</v>
      </c>
      <c r="H453" s="98">
        <v>96.9</v>
      </c>
      <c r="I453" s="98">
        <v>117</v>
      </c>
      <c r="J453" s="98">
        <v>152.69999999999999</v>
      </c>
      <c r="K453" s="208">
        <v>93.019999999999925</v>
      </c>
      <c r="L453" s="208">
        <v>101.01999999999992</v>
      </c>
      <c r="M453" s="208">
        <v>124.03999999999985</v>
      </c>
      <c r="N453" s="98"/>
      <c r="O453" s="98"/>
      <c r="P453" s="98"/>
      <c r="Q453" s="208">
        <v>82.360000000000056</v>
      </c>
      <c r="R453" s="98">
        <v>106.01999999999992</v>
      </c>
      <c r="S453" s="98">
        <v>119.67999999999979</v>
      </c>
      <c r="T453" s="98">
        <v>166.68000000000026</v>
      </c>
      <c r="U453" s="98">
        <v>82.360000000000056</v>
      </c>
      <c r="V453" s="98">
        <v>360.19999999999925</v>
      </c>
      <c r="W453" s="98">
        <v>496.80000000000075</v>
      </c>
      <c r="X453" s="98"/>
      <c r="Y453" s="98"/>
      <c r="Z453" s="98"/>
      <c r="AA453" s="230"/>
      <c r="AB453" s="230"/>
    </row>
    <row r="454" spans="2:28">
      <c r="B454" s="98">
        <v>484</v>
      </c>
      <c r="C454" s="98">
        <v>96.4</v>
      </c>
      <c r="D454" s="98">
        <v>439</v>
      </c>
      <c r="E454" s="98">
        <v>151.19999999999999</v>
      </c>
      <c r="F454" s="98">
        <v>156.6</v>
      </c>
      <c r="G454" s="98">
        <v>129.6</v>
      </c>
      <c r="H454" s="98">
        <v>96.9</v>
      </c>
      <c r="I454" s="98">
        <v>116.9</v>
      </c>
      <c r="J454" s="98">
        <v>152.6</v>
      </c>
      <c r="K454" s="209">
        <v>92.959999999999923</v>
      </c>
      <c r="L454" s="209">
        <v>100.95999999999992</v>
      </c>
      <c r="M454" s="209">
        <v>123.91999999999985</v>
      </c>
      <c r="N454" s="98"/>
      <c r="O454" s="98"/>
      <c r="P454" s="98"/>
      <c r="Q454" s="208">
        <v>82.280000000000058</v>
      </c>
      <c r="R454" s="98">
        <v>105.95999999999992</v>
      </c>
      <c r="S454" s="98">
        <v>119.63999999999979</v>
      </c>
      <c r="T454" s="98">
        <v>166.64000000000027</v>
      </c>
      <c r="U454" s="98">
        <v>82.280000000000058</v>
      </c>
      <c r="V454" s="98">
        <v>359.59999999999923</v>
      </c>
      <c r="W454" s="98">
        <v>496.40000000000077</v>
      </c>
      <c r="X454" s="98"/>
      <c r="Y454" s="98"/>
      <c r="Z454" s="98"/>
      <c r="AA454" s="230"/>
      <c r="AB454" s="230"/>
    </row>
    <row r="455" spans="2:28">
      <c r="B455" s="98">
        <v>485</v>
      </c>
      <c r="C455" s="98">
        <v>96.3</v>
      </c>
      <c r="D455" s="98">
        <v>437.6</v>
      </c>
      <c r="E455" s="98">
        <v>151</v>
      </c>
      <c r="F455" s="98">
        <v>156.4</v>
      </c>
      <c r="G455" s="98">
        <v>129.6</v>
      </c>
      <c r="H455" s="98">
        <v>96.8</v>
      </c>
      <c r="I455" s="98">
        <v>116.9</v>
      </c>
      <c r="J455" s="98">
        <v>152.4</v>
      </c>
      <c r="K455" s="208">
        <v>92.89999999999992</v>
      </c>
      <c r="L455" s="208">
        <v>100.89999999999992</v>
      </c>
      <c r="M455" s="208">
        <v>123.79999999999984</v>
      </c>
      <c r="N455" s="98"/>
      <c r="O455" s="98"/>
      <c r="P455" s="98"/>
      <c r="Q455" s="208">
        <v>82.20000000000006</v>
      </c>
      <c r="R455" s="98">
        <v>105.89999999999992</v>
      </c>
      <c r="S455" s="98">
        <v>119.59999999999978</v>
      </c>
      <c r="T455" s="98">
        <v>166.60000000000028</v>
      </c>
      <c r="U455" s="98">
        <v>82.20000000000006</v>
      </c>
      <c r="V455" s="98">
        <v>358.9999999999992</v>
      </c>
      <c r="W455" s="98">
        <v>496.0000000000008</v>
      </c>
      <c r="X455" s="98"/>
      <c r="Y455" s="98"/>
      <c r="Z455" s="98"/>
      <c r="AA455" s="230"/>
      <c r="AB455" s="230"/>
    </row>
    <row r="456" spans="2:28">
      <c r="B456" s="98">
        <v>486</v>
      </c>
      <c r="C456" s="98">
        <v>96.3</v>
      </c>
      <c r="D456" s="98">
        <v>436.2</v>
      </c>
      <c r="E456" s="98">
        <v>150.80000000000001</v>
      </c>
      <c r="F456" s="98">
        <v>156.19999999999999</v>
      </c>
      <c r="G456" s="98">
        <v>129.6</v>
      </c>
      <c r="H456" s="98">
        <v>96.7</v>
      </c>
      <c r="I456" s="98">
        <v>116.8</v>
      </c>
      <c r="J456" s="98">
        <v>152.19999999999999</v>
      </c>
      <c r="K456" s="209">
        <v>92.839999999999918</v>
      </c>
      <c r="L456" s="209">
        <v>100.83999999999992</v>
      </c>
      <c r="M456" s="209">
        <v>123.67999999999984</v>
      </c>
      <c r="N456" s="98"/>
      <c r="O456" s="98"/>
      <c r="P456" s="98"/>
      <c r="Q456" s="208">
        <v>82.120000000000061</v>
      </c>
      <c r="R456" s="98">
        <v>105.83999999999992</v>
      </c>
      <c r="S456" s="98">
        <v>119.55999999999977</v>
      </c>
      <c r="T456" s="98">
        <v>166.56000000000029</v>
      </c>
      <c r="U456" s="98">
        <v>82.120000000000061</v>
      </c>
      <c r="V456" s="98">
        <v>358.39999999999918</v>
      </c>
      <c r="W456" s="98">
        <v>495.60000000000082</v>
      </c>
      <c r="X456" s="98"/>
      <c r="Y456" s="98"/>
      <c r="Z456" s="98"/>
      <c r="AA456" s="230"/>
      <c r="AB456" s="230"/>
    </row>
    <row r="457" spans="2:28">
      <c r="B457" s="98">
        <v>487</v>
      </c>
      <c r="C457" s="98">
        <v>96.2</v>
      </c>
      <c r="D457" s="98">
        <v>434.7</v>
      </c>
      <c r="E457" s="98">
        <v>150.6</v>
      </c>
      <c r="F457" s="98">
        <v>156.1</v>
      </c>
      <c r="G457" s="98">
        <v>129.5</v>
      </c>
      <c r="H457" s="98">
        <v>96.6</v>
      </c>
      <c r="I457" s="98">
        <v>116.7</v>
      </c>
      <c r="J457" s="98">
        <v>152.1</v>
      </c>
      <c r="K457" s="208">
        <v>92.779999999999916</v>
      </c>
      <c r="L457" s="208">
        <v>100.77999999999992</v>
      </c>
      <c r="M457" s="208">
        <v>123.55999999999983</v>
      </c>
      <c r="N457" s="98"/>
      <c r="O457" s="98"/>
      <c r="P457" s="98"/>
      <c r="Q457" s="208">
        <v>82.040000000000063</v>
      </c>
      <c r="R457" s="98">
        <v>105.77999999999992</v>
      </c>
      <c r="S457" s="98">
        <v>119.51999999999977</v>
      </c>
      <c r="T457" s="98">
        <v>166.52000000000029</v>
      </c>
      <c r="U457" s="98">
        <v>82.040000000000063</v>
      </c>
      <c r="V457" s="98">
        <v>357.79999999999916</v>
      </c>
      <c r="W457" s="98">
        <v>495.20000000000084</v>
      </c>
      <c r="X457" s="98"/>
      <c r="Y457" s="98"/>
      <c r="Z457" s="98"/>
      <c r="AA457" s="230"/>
      <c r="AB457" s="230"/>
    </row>
    <row r="458" spans="2:28">
      <c r="B458" s="98">
        <v>488</v>
      </c>
      <c r="C458" s="98">
        <v>96.1</v>
      </c>
      <c r="D458" s="98">
        <v>433.3</v>
      </c>
      <c r="E458" s="98">
        <v>150.4</v>
      </c>
      <c r="F458" s="98">
        <v>155.9</v>
      </c>
      <c r="G458" s="98">
        <v>129.5</v>
      </c>
      <c r="H458" s="98">
        <v>96.6</v>
      </c>
      <c r="I458" s="98">
        <v>116.6</v>
      </c>
      <c r="J458" s="98">
        <v>151.9</v>
      </c>
      <c r="K458" s="209">
        <v>92.719999999999914</v>
      </c>
      <c r="L458" s="209">
        <v>100.71999999999991</v>
      </c>
      <c r="M458" s="209">
        <v>123.43999999999983</v>
      </c>
      <c r="N458" s="98"/>
      <c r="O458" s="98"/>
      <c r="P458" s="98"/>
      <c r="Q458" s="208">
        <v>81.960000000000065</v>
      </c>
      <c r="R458" s="98">
        <v>105.71999999999991</v>
      </c>
      <c r="S458" s="98">
        <v>119.47999999999976</v>
      </c>
      <c r="T458" s="98">
        <v>166.4800000000003</v>
      </c>
      <c r="U458" s="98">
        <v>81.960000000000065</v>
      </c>
      <c r="V458" s="98">
        <v>357.19999999999914</v>
      </c>
      <c r="W458" s="98">
        <v>494.80000000000086</v>
      </c>
      <c r="X458" s="98"/>
      <c r="Y458" s="98"/>
      <c r="Z458" s="98"/>
      <c r="AA458" s="230"/>
      <c r="AB458" s="230"/>
    </row>
    <row r="459" spans="2:28">
      <c r="B459" s="98">
        <v>489</v>
      </c>
      <c r="C459" s="98">
        <v>96</v>
      </c>
      <c r="D459" s="98">
        <v>431.8</v>
      </c>
      <c r="E459" s="98">
        <v>150.19999999999999</v>
      </c>
      <c r="F459" s="98">
        <v>155.80000000000001</v>
      </c>
      <c r="G459" s="98">
        <v>129.4</v>
      </c>
      <c r="H459" s="98">
        <v>96.5</v>
      </c>
      <c r="I459" s="98">
        <v>116.6</v>
      </c>
      <c r="J459" s="98">
        <v>151.80000000000001</v>
      </c>
      <c r="K459" s="208">
        <v>92.659999999999911</v>
      </c>
      <c r="L459" s="208">
        <v>100.65999999999991</v>
      </c>
      <c r="M459" s="208">
        <v>123.31999999999982</v>
      </c>
      <c r="N459" s="98"/>
      <c r="O459" s="98"/>
      <c r="P459" s="98"/>
      <c r="Q459" s="208">
        <v>81.880000000000067</v>
      </c>
      <c r="R459" s="98">
        <v>105.65999999999991</v>
      </c>
      <c r="S459" s="98">
        <v>119.43999999999976</v>
      </c>
      <c r="T459" s="98">
        <v>166.44000000000031</v>
      </c>
      <c r="U459" s="98">
        <v>81.880000000000067</v>
      </c>
      <c r="V459" s="98">
        <v>356.59999999999911</v>
      </c>
      <c r="W459" s="98">
        <v>494.40000000000089</v>
      </c>
      <c r="X459" s="98"/>
      <c r="Y459" s="98"/>
      <c r="Z459" s="98"/>
      <c r="AA459" s="230"/>
      <c r="AB459" s="230"/>
    </row>
    <row r="460" spans="2:28">
      <c r="B460" s="98">
        <v>490</v>
      </c>
      <c r="C460" s="98">
        <v>96</v>
      </c>
      <c r="D460" s="98">
        <v>430.4</v>
      </c>
      <c r="E460" s="98">
        <v>150</v>
      </c>
      <c r="F460" s="98">
        <v>155.6</v>
      </c>
      <c r="G460" s="98">
        <v>129.4</v>
      </c>
      <c r="H460" s="98">
        <v>96.4</v>
      </c>
      <c r="I460" s="98">
        <v>116.5</v>
      </c>
      <c r="J460" s="98">
        <v>151.6</v>
      </c>
      <c r="K460" s="209">
        <v>92.599999999999909</v>
      </c>
      <c r="L460" s="209">
        <v>100.59999999999991</v>
      </c>
      <c r="M460" s="209">
        <v>123.19999999999982</v>
      </c>
      <c r="N460" s="98"/>
      <c r="O460" s="98"/>
      <c r="P460" s="98"/>
      <c r="Q460" s="208">
        <v>81.800000000000068</v>
      </c>
      <c r="R460" s="98">
        <v>105.59999999999991</v>
      </c>
      <c r="S460" s="98">
        <v>119.39999999999975</v>
      </c>
      <c r="T460" s="98">
        <v>166.40000000000032</v>
      </c>
      <c r="U460" s="98">
        <v>81.800000000000068</v>
      </c>
      <c r="V460" s="98">
        <v>355.99999999999909</v>
      </c>
      <c r="W460" s="98">
        <v>494.00000000000091</v>
      </c>
      <c r="X460" s="98"/>
      <c r="Y460" s="98"/>
      <c r="Z460" s="98"/>
      <c r="AA460" s="230"/>
      <c r="AB460" s="230"/>
    </row>
    <row r="461" spans="2:28">
      <c r="B461" s="98">
        <v>491</v>
      </c>
      <c r="C461" s="98">
        <v>95.9</v>
      </c>
      <c r="D461" s="98">
        <v>429</v>
      </c>
      <c r="E461" s="98">
        <v>149.80000000000001</v>
      </c>
      <c r="F461" s="98">
        <v>155.4</v>
      </c>
      <c r="G461" s="98">
        <v>129.4</v>
      </c>
      <c r="H461" s="98">
        <v>96.4</v>
      </c>
      <c r="I461" s="98">
        <v>116.4</v>
      </c>
      <c r="J461" s="98">
        <v>151.4</v>
      </c>
      <c r="K461" s="208">
        <v>92.539999999999907</v>
      </c>
      <c r="L461" s="208">
        <v>100.53999999999991</v>
      </c>
      <c r="M461" s="208">
        <v>123.07999999999981</v>
      </c>
      <c r="N461" s="98"/>
      <c r="O461" s="98"/>
      <c r="P461" s="98"/>
      <c r="Q461" s="208">
        <v>81.72000000000007</v>
      </c>
      <c r="R461" s="98">
        <v>105.53999999999991</v>
      </c>
      <c r="S461" s="98">
        <v>119.35999999999974</v>
      </c>
      <c r="T461" s="98">
        <v>166.36000000000033</v>
      </c>
      <c r="U461" s="98">
        <v>81.72000000000007</v>
      </c>
      <c r="V461" s="98">
        <v>355.39999999999907</v>
      </c>
      <c r="W461" s="98">
        <v>493.60000000000093</v>
      </c>
      <c r="X461" s="98"/>
      <c r="Y461" s="98"/>
      <c r="Z461" s="98"/>
      <c r="AA461" s="230"/>
      <c r="AB461" s="230"/>
    </row>
    <row r="462" spans="2:28">
      <c r="B462" s="98">
        <v>492</v>
      </c>
      <c r="C462" s="98">
        <v>95.8</v>
      </c>
      <c r="D462" s="98">
        <v>427.5</v>
      </c>
      <c r="E462" s="98">
        <v>149.6</v>
      </c>
      <c r="F462" s="98">
        <v>155.30000000000001</v>
      </c>
      <c r="G462" s="98">
        <v>129.30000000000001</v>
      </c>
      <c r="H462" s="98">
        <v>96.3</v>
      </c>
      <c r="I462" s="98">
        <v>116.4</v>
      </c>
      <c r="J462" s="98">
        <v>151.30000000000001</v>
      </c>
      <c r="K462" s="209">
        <v>92.479999999999905</v>
      </c>
      <c r="L462" s="209">
        <v>100.4799999999999</v>
      </c>
      <c r="M462" s="209">
        <v>122.95999999999981</v>
      </c>
      <c r="N462" s="98"/>
      <c r="O462" s="98"/>
      <c r="P462" s="98"/>
      <c r="Q462" s="208">
        <v>81.640000000000072</v>
      </c>
      <c r="R462" s="98">
        <v>105.4799999999999</v>
      </c>
      <c r="S462" s="98">
        <v>119.31999999999974</v>
      </c>
      <c r="T462" s="98">
        <v>166.32000000000033</v>
      </c>
      <c r="U462" s="98">
        <v>81.640000000000072</v>
      </c>
      <c r="V462" s="98">
        <v>354.79999999999905</v>
      </c>
      <c r="W462" s="98">
        <v>493.20000000000095</v>
      </c>
      <c r="X462" s="98"/>
      <c r="Y462" s="98"/>
      <c r="Z462" s="98"/>
      <c r="AA462" s="230"/>
      <c r="AB462" s="230"/>
    </row>
    <row r="463" spans="2:28">
      <c r="B463" s="98">
        <v>493</v>
      </c>
      <c r="C463" s="98">
        <v>95.7</v>
      </c>
      <c r="D463" s="98">
        <v>426.1</v>
      </c>
      <c r="E463" s="98">
        <v>149.4</v>
      </c>
      <c r="F463" s="98">
        <v>155.1</v>
      </c>
      <c r="G463" s="98">
        <v>129.30000000000001</v>
      </c>
      <c r="H463" s="98">
        <v>96.2</v>
      </c>
      <c r="I463" s="98">
        <v>116.3</v>
      </c>
      <c r="J463" s="98">
        <v>151.1</v>
      </c>
      <c r="K463" s="208">
        <v>92.419999999999902</v>
      </c>
      <c r="L463" s="208">
        <v>100.4199999999999</v>
      </c>
      <c r="M463" s="208">
        <v>122.8399999999998</v>
      </c>
      <c r="N463" s="98"/>
      <c r="O463" s="98"/>
      <c r="P463" s="98"/>
      <c r="Q463" s="208">
        <v>81.560000000000073</v>
      </c>
      <c r="R463" s="98">
        <v>105.4199999999999</v>
      </c>
      <c r="S463" s="98">
        <v>119.27999999999973</v>
      </c>
      <c r="T463" s="98">
        <v>166.28000000000034</v>
      </c>
      <c r="U463" s="98">
        <v>81.560000000000073</v>
      </c>
      <c r="V463" s="98">
        <v>354.19999999999902</v>
      </c>
      <c r="W463" s="98">
        <v>492.80000000000098</v>
      </c>
      <c r="X463" s="98"/>
      <c r="Y463" s="98"/>
      <c r="Z463" s="98"/>
      <c r="AA463" s="230"/>
      <c r="AB463" s="230"/>
    </row>
    <row r="464" spans="2:28">
      <c r="B464" s="98">
        <v>494</v>
      </c>
      <c r="C464" s="98">
        <v>95.7</v>
      </c>
      <c r="D464" s="98">
        <v>424.6</v>
      </c>
      <c r="E464" s="98">
        <v>149.19999999999999</v>
      </c>
      <c r="F464" s="98">
        <v>155</v>
      </c>
      <c r="G464" s="98">
        <v>129.19999999999999</v>
      </c>
      <c r="H464" s="98">
        <v>96.1</v>
      </c>
      <c r="I464" s="98">
        <v>116.2</v>
      </c>
      <c r="J464" s="98">
        <v>151</v>
      </c>
      <c r="K464" s="209">
        <v>92.3599999999999</v>
      </c>
      <c r="L464" s="209">
        <v>100.3599999999999</v>
      </c>
      <c r="M464" s="209">
        <v>122.7199999999998</v>
      </c>
      <c r="N464" s="98"/>
      <c r="O464" s="98"/>
      <c r="P464" s="98"/>
      <c r="Q464" s="208">
        <v>81.480000000000075</v>
      </c>
      <c r="R464" s="98">
        <v>105.3599999999999</v>
      </c>
      <c r="S464" s="98">
        <v>119.23999999999972</v>
      </c>
      <c r="T464" s="98">
        <v>166.24000000000035</v>
      </c>
      <c r="U464" s="98">
        <v>81.480000000000075</v>
      </c>
      <c r="V464" s="98">
        <v>353.599999999999</v>
      </c>
      <c r="W464" s="98">
        <v>492.400000000001</v>
      </c>
      <c r="X464" s="98"/>
      <c r="Y464" s="98"/>
      <c r="Z464" s="98"/>
      <c r="AA464" s="230"/>
      <c r="AB464" s="230"/>
    </row>
    <row r="465" spans="2:28">
      <c r="B465" s="98">
        <v>495</v>
      </c>
      <c r="C465" s="98">
        <v>95.6</v>
      </c>
      <c r="D465" s="98">
        <v>423.2</v>
      </c>
      <c r="E465" s="98">
        <v>149</v>
      </c>
      <c r="F465" s="98">
        <v>154.80000000000001</v>
      </c>
      <c r="G465" s="98">
        <v>129.19999999999999</v>
      </c>
      <c r="H465" s="98">
        <v>96.1</v>
      </c>
      <c r="I465" s="98">
        <v>116.1</v>
      </c>
      <c r="J465" s="98">
        <v>150.80000000000001</v>
      </c>
      <c r="K465" s="208">
        <v>92.299999999999898</v>
      </c>
      <c r="L465" s="208">
        <v>100.2999999999999</v>
      </c>
      <c r="M465" s="208">
        <v>122.5999999999998</v>
      </c>
      <c r="N465" s="98"/>
      <c r="O465" s="98"/>
      <c r="P465" s="98"/>
      <c r="Q465" s="208">
        <v>81.400000000000077</v>
      </c>
      <c r="R465" s="98">
        <v>105.2999999999999</v>
      </c>
      <c r="S465" s="98">
        <v>119.19999999999972</v>
      </c>
      <c r="T465" s="98">
        <v>166.20000000000036</v>
      </c>
      <c r="U465" s="98">
        <v>81.400000000000077</v>
      </c>
      <c r="V465" s="98">
        <v>352.99999999999898</v>
      </c>
      <c r="W465" s="98">
        <v>492.00000000000102</v>
      </c>
      <c r="X465" s="98"/>
      <c r="Y465" s="98"/>
      <c r="Z465" s="98"/>
      <c r="AA465" s="230"/>
      <c r="AB465" s="230"/>
    </row>
    <row r="466" spans="2:28">
      <c r="B466" s="98">
        <v>496</v>
      </c>
      <c r="C466" s="98">
        <v>95.5</v>
      </c>
      <c r="D466" s="98">
        <v>421.8</v>
      </c>
      <c r="E466" s="98">
        <v>148.80000000000001</v>
      </c>
      <c r="F466" s="98">
        <v>154.6</v>
      </c>
      <c r="G466" s="98">
        <v>129.19999999999999</v>
      </c>
      <c r="H466" s="98">
        <v>96</v>
      </c>
      <c r="I466" s="98">
        <v>116.1</v>
      </c>
      <c r="J466" s="98">
        <v>150.6</v>
      </c>
      <c r="K466" s="209">
        <v>92.239999999999895</v>
      </c>
      <c r="L466" s="209">
        <v>100.2399999999999</v>
      </c>
      <c r="M466" s="209">
        <v>122.47999999999979</v>
      </c>
      <c r="N466" s="98"/>
      <c r="O466" s="98"/>
      <c r="P466" s="98"/>
      <c r="Q466" s="208">
        <v>81.320000000000078</v>
      </c>
      <c r="R466" s="98">
        <v>105.2399999999999</v>
      </c>
      <c r="S466" s="98">
        <v>119.15999999999971</v>
      </c>
      <c r="T466" s="98">
        <v>166.16000000000037</v>
      </c>
      <c r="U466" s="98">
        <v>81.320000000000078</v>
      </c>
      <c r="V466" s="98">
        <v>352.39999999999895</v>
      </c>
      <c r="W466" s="98">
        <v>491.60000000000105</v>
      </c>
      <c r="X466" s="98"/>
      <c r="Y466" s="98"/>
      <c r="Z466" s="98"/>
      <c r="AA466" s="230"/>
      <c r="AB466" s="230"/>
    </row>
    <row r="467" spans="2:28">
      <c r="B467" s="98">
        <v>497</v>
      </c>
      <c r="C467" s="98">
        <v>95.4</v>
      </c>
      <c r="D467" s="98">
        <v>420.3</v>
      </c>
      <c r="E467" s="98">
        <v>148.6</v>
      </c>
      <c r="F467" s="98">
        <v>154.5</v>
      </c>
      <c r="G467" s="98">
        <v>129.1</v>
      </c>
      <c r="H467" s="98">
        <v>95.9</v>
      </c>
      <c r="I467" s="98">
        <v>116</v>
      </c>
      <c r="J467" s="98">
        <v>150.5</v>
      </c>
      <c r="K467" s="208">
        <v>92.179999999999893</v>
      </c>
      <c r="L467" s="208">
        <v>100.17999999999989</v>
      </c>
      <c r="M467" s="208">
        <v>122.35999999999979</v>
      </c>
      <c r="N467" s="98"/>
      <c r="O467" s="98"/>
      <c r="P467" s="98"/>
      <c r="Q467" s="208">
        <v>81.24000000000008</v>
      </c>
      <c r="R467" s="98">
        <v>105.17999999999989</v>
      </c>
      <c r="S467" s="98">
        <v>119.11999999999971</v>
      </c>
      <c r="T467" s="98">
        <v>166.12000000000037</v>
      </c>
      <c r="U467" s="98">
        <v>81.24000000000008</v>
      </c>
      <c r="V467" s="98">
        <v>351.79999999999893</v>
      </c>
      <c r="W467" s="98">
        <v>491.20000000000107</v>
      </c>
      <c r="X467" s="98"/>
      <c r="Y467" s="98"/>
      <c r="Z467" s="98"/>
      <c r="AA467" s="230"/>
      <c r="AB467" s="230"/>
    </row>
    <row r="468" spans="2:28">
      <c r="B468" s="98">
        <v>498</v>
      </c>
      <c r="C468" s="98">
        <v>95.4</v>
      </c>
      <c r="D468" s="98">
        <v>418.9</v>
      </c>
      <c r="E468" s="98">
        <v>148.4</v>
      </c>
      <c r="F468" s="98">
        <v>154.30000000000001</v>
      </c>
      <c r="G468" s="98">
        <v>129.1</v>
      </c>
      <c r="H468" s="98">
        <v>95.9</v>
      </c>
      <c r="I468" s="98">
        <v>115.9</v>
      </c>
      <c r="J468" s="98">
        <v>150.30000000000001</v>
      </c>
      <c r="K468" s="209">
        <v>92.119999999999891</v>
      </c>
      <c r="L468" s="209">
        <v>100.11999999999989</v>
      </c>
      <c r="M468" s="209">
        <v>122.23999999999978</v>
      </c>
      <c r="N468" s="98"/>
      <c r="O468" s="98"/>
      <c r="P468" s="98"/>
      <c r="Q468" s="208">
        <v>81.160000000000082</v>
      </c>
      <c r="R468" s="98">
        <v>105.11999999999989</v>
      </c>
      <c r="S468" s="98">
        <v>119.0799999999997</v>
      </c>
      <c r="T468" s="98">
        <v>166.08000000000038</v>
      </c>
      <c r="U468" s="98">
        <v>81.160000000000082</v>
      </c>
      <c r="V468" s="98">
        <v>351.19999999999891</v>
      </c>
      <c r="W468" s="98">
        <v>490.80000000000109</v>
      </c>
      <c r="X468" s="98"/>
      <c r="Y468" s="98"/>
      <c r="Z468" s="98"/>
      <c r="AA468" s="230"/>
      <c r="AB468" s="230"/>
    </row>
    <row r="469" spans="2:28">
      <c r="B469" s="98">
        <v>499</v>
      </c>
      <c r="C469" s="98">
        <v>95.3</v>
      </c>
      <c r="D469" s="98">
        <v>417.4</v>
      </c>
      <c r="E469" s="98">
        <v>148.19999999999999</v>
      </c>
      <c r="F469" s="98">
        <v>154.19999999999999</v>
      </c>
      <c r="G469" s="98">
        <v>129</v>
      </c>
      <c r="H469" s="98">
        <v>95.8</v>
      </c>
      <c r="I469" s="98">
        <v>115.9</v>
      </c>
      <c r="J469" s="98">
        <v>150.19999999999999</v>
      </c>
      <c r="K469" s="208">
        <v>92.059999999999889</v>
      </c>
      <c r="L469" s="208">
        <v>100.05999999999989</v>
      </c>
      <c r="M469" s="208">
        <v>122.11999999999978</v>
      </c>
      <c r="N469" s="98"/>
      <c r="O469" s="98"/>
      <c r="P469" s="98"/>
      <c r="Q469" s="208">
        <v>81.080000000000084</v>
      </c>
      <c r="R469" s="98">
        <v>105.05999999999989</v>
      </c>
      <c r="S469" s="98">
        <v>119.03999999999969</v>
      </c>
      <c r="T469" s="98">
        <v>166.04000000000039</v>
      </c>
      <c r="U469" s="98">
        <v>81.080000000000084</v>
      </c>
      <c r="V469" s="98">
        <v>350.59999999999889</v>
      </c>
      <c r="W469" s="98">
        <v>490.40000000000111</v>
      </c>
      <c r="X469" s="98"/>
      <c r="Y469" s="98"/>
      <c r="Z469" s="98"/>
      <c r="AA469" s="230"/>
      <c r="AB469" s="230"/>
    </row>
    <row r="470" spans="2:28">
      <c r="B470" s="98">
        <v>500</v>
      </c>
      <c r="C470" s="98">
        <v>95.2</v>
      </c>
      <c r="D470" s="98">
        <v>416</v>
      </c>
      <c r="E470" s="98">
        <v>148</v>
      </c>
      <c r="F470" s="98">
        <v>154</v>
      </c>
      <c r="G470" s="98">
        <v>129</v>
      </c>
      <c r="H470" s="98">
        <v>95.7</v>
      </c>
      <c r="I470" s="98">
        <v>115.8</v>
      </c>
      <c r="J470" s="98">
        <v>150</v>
      </c>
      <c r="K470" s="210">
        <v>92</v>
      </c>
      <c r="L470" s="210">
        <v>99.999999999999886</v>
      </c>
      <c r="M470" s="210">
        <v>121.99999999999977</v>
      </c>
      <c r="N470" s="98"/>
      <c r="O470" s="98"/>
      <c r="P470" s="98"/>
      <c r="Q470" s="210">
        <v>81</v>
      </c>
      <c r="R470" s="98">
        <v>105</v>
      </c>
      <c r="S470" s="98">
        <v>119</v>
      </c>
      <c r="T470" s="98">
        <v>166</v>
      </c>
      <c r="U470" s="98">
        <v>81</v>
      </c>
      <c r="V470" s="98">
        <v>350</v>
      </c>
      <c r="W470" s="98">
        <v>490</v>
      </c>
      <c r="X470" s="98"/>
      <c r="Y470" s="98"/>
      <c r="Z470" s="98"/>
      <c r="AA470" s="230">
        <v>375</v>
      </c>
      <c r="AB470" s="230"/>
    </row>
    <row r="471" spans="2:28">
      <c r="B471" s="98">
        <v>501</v>
      </c>
      <c r="C471" s="98"/>
      <c r="D471" s="98"/>
      <c r="E471" s="98"/>
      <c r="F471" s="98"/>
      <c r="G471" s="98"/>
      <c r="H471" s="98"/>
      <c r="I471" s="98"/>
      <c r="J471" s="98"/>
      <c r="K471" s="98">
        <v>91.96</v>
      </c>
      <c r="L471" s="98"/>
      <c r="M471" s="98"/>
      <c r="N471" s="98"/>
      <c r="O471" s="98"/>
      <c r="P471" s="98"/>
      <c r="Q471" s="98"/>
      <c r="R471" s="98"/>
      <c r="S471" s="98"/>
      <c r="T471" s="98"/>
      <c r="U471" s="98"/>
      <c r="V471" s="98"/>
      <c r="W471" s="98">
        <v>489.4</v>
      </c>
      <c r="X471" s="98"/>
      <c r="Y471" s="98"/>
      <c r="Z471" s="98"/>
      <c r="AA471" s="230"/>
      <c r="AB471" s="230"/>
    </row>
    <row r="472" spans="2:28">
      <c r="B472" s="98">
        <v>502</v>
      </c>
      <c r="C472" s="98"/>
      <c r="D472" s="98"/>
      <c r="E472" s="98"/>
      <c r="F472" s="98"/>
      <c r="G472" s="98"/>
      <c r="H472" s="98"/>
      <c r="I472" s="98"/>
      <c r="J472" s="98"/>
      <c r="K472" s="98">
        <v>91.919999999999987</v>
      </c>
      <c r="L472" s="98"/>
      <c r="M472" s="98"/>
      <c r="N472" s="98"/>
      <c r="O472" s="98"/>
      <c r="P472" s="98"/>
      <c r="Q472" s="98"/>
      <c r="R472" s="98"/>
      <c r="S472" s="98"/>
      <c r="T472" s="98"/>
      <c r="U472" s="98"/>
      <c r="V472" s="98"/>
      <c r="W472" s="98">
        <v>488.79999999999995</v>
      </c>
      <c r="X472" s="98"/>
      <c r="Y472" s="98"/>
      <c r="Z472" s="98"/>
      <c r="AA472" s="230"/>
      <c r="AB472" s="230"/>
    </row>
    <row r="473" spans="2:28">
      <c r="B473" s="98">
        <v>503</v>
      </c>
      <c r="C473" s="98"/>
      <c r="D473" s="98"/>
      <c r="E473" s="98"/>
      <c r="F473" s="98"/>
      <c r="G473" s="98"/>
      <c r="H473" s="98"/>
      <c r="I473" s="98"/>
      <c r="J473" s="98"/>
      <c r="K473" s="98">
        <v>91.879999999999981</v>
      </c>
      <c r="L473" s="98"/>
      <c r="M473" s="98"/>
      <c r="N473" s="98"/>
      <c r="O473" s="98"/>
      <c r="P473" s="98"/>
      <c r="Q473" s="98"/>
      <c r="R473" s="98"/>
      <c r="S473" s="98"/>
      <c r="T473" s="98"/>
      <c r="U473" s="98"/>
      <c r="V473" s="98"/>
      <c r="W473" s="98">
        <v>488.19999999999993</v>
      </c>
      <c r="X473" s="98"/>
      <c r="Y473" s="98"/>
      <c r="Z473" s="98"/>
      <c r="AA473" s="230"/>
      <c r="AB473" s="230"/>
    </row>
    <row r="474" spans="2:28">
      <c r="B474" s="98">
        <v>504</v>
      </c>
      <c r="C474" s="98"/>
      <c r="D474" s="98"/>
      <c r="E474" s="98"/>
      <c r="F474" s="98"/>
      <c r="G474" s="98"/>
      <c r="H474" s="98"/>
      <c r="I474" s="98"/>
      <c r="J474" s="98"/>
      <c r="K474" s="98">
        <v>91.839999999999975</v>
      </c>
      <c r="L474" s="98"/>
      <c r="M474" s="98"/>
      <c r="N474" s="98"/>
      <c r="O474" s="98"/>
      <c r="P474" s="98"/>
      <c r="Q474" s="98"/>
      <c r="R474" s="98"/>
      <c r="S474" s="98"/>
      <c r="T474" s="98"/>
      <c r="U474" s="98"/>
      <c r="V474" s="98"/>
      <c r="W474" s="98">
        <v>487.59999999999991</v>
      </c>
      <c r="X474" s="98"/>
      <c r="Y474" s="98"/>
      <c r="Z474" s="98"/>
      <c r="AA474" s="230"/>
      <c r="AB474" s="230"/>
    </row>
    <row r="475" spans="2:28">
      <c r="B475" s="98">
        <v>505</v>
      </c>
      <c r="C475" s="98"/>
      <c r="D475" s="98"/>
      <c r="E475" s="98"/>
      <c r="F475" s="98"/>
      <c r="G475" s="98"/>
      <c r="H475" s="98"/>
      <c r="I475" s="98"/>
      <c r="J475" s="98"/>
      <c r="K475" s="98">
        <v>91.799999999999969</v>
      </c>
      <c r="L475" s="98"/>
      <c r="M475" s="98"/>
      <c r="N475" s="98"/>
      <c r="O475" s="98"/>
      <c r="P475" s="98"/>
      <c r="Q475" s="98"/>
      <c r="R475" s="98"/>
      <c r="S475" s="98"/>
      <c r="T475" s="98"/>
      <c r="U475" s="98"/>
      <c r="V475" s="98"/>
      <c r="W475" s="98">
        <v>486.99999999999989</v>
      </c>
      <c r="X475" s="98"/>
      <c r="Y475" s="98"/>
      <c r="Z475" s="98"/>
      <c r="AA475" s="230"/>
      <c r="AB475" s="230"/>
    </row>
    <row r="476" spans="2:28">
      <c r="B476" s="98">
        <v>506</v>
      </c>
      <c r="C476" s="98"/>
      <c r="D476" s="98"/>
      <c r="E476" s="98"/>
      <c r="F476" s="98"/>
      <c r="G476" s="98"/>
      <c r="H476" s="98"/>
      <c r="I476" s="98"/>
      <c r="J476" s="98"/>
      <c r="K476" s="98">
        <v>91.759999999999962</v>
      </c>
      <c r="L476" s="98"/>
      <c r="M476" s="98"/>
      <c r="N476" s="98"/>
      <c r="O476" s="98"/>
      <c r="P476" s="98"/>
      <c r="Q476" s="98"/>
      <c r="R476" s="98"/>
      <c r="S476" s="98"/>
      <c r="T476" s="98"/>
      <c r="U476" s="98"/>
      <c r="V476" s="98"/>
      <c r="W476" s="98">
        <v>486.39999999999986</v>
      </c>
      <c r="X476" s="98"/>
      <c r="Y476" s="98"/>
      <c r="Z476" s="98"/>
      <c r="AA476" s="230"/>
      <c r="AB476" s="230"/>
    </row>
    <row r="477" spans="2:28">
      <c r="B477" s="98">
        <v>507</v>
      </c>
      <c r="C477" s="98"/>
      <c r="D477" s="98"/>
      <c r="E477" s="98"/>
      <c r="F477" s="98"/>
      <c r="G477" s="98"/>
      <c r="H477" s="98"/>
      <c r="I477" s="98"/>
      <c r="J477" s="98"/>
      <c r="K477" s="98">
        <v>91.719999999999956</v>
      </c>
      <c r="L477" s="98"/>
      <c r="M477" s="98"/>
      <c r="N477" s="98"/>
      <c r="O477" s="98"/>
      <c r="P477" s="98"/>
      <c r="Q477" s="98"/>
      <c r="R477" s="98"/>
      <c r="S477" s="98"/>
      <c r="T477" s="98"/>
      <c r="U477" s="98"/>
      <c r="V477" s="98"/>
      <c r="W477" s="98">
        <v>485.79999999999984</v>
      </c>
      <c r="X477" s="98"/>
      <c r="Y477" s="98"/>
      <c r="Z477" s="98"/>
      <c r="AA477" s="230"/>
      <c r="AB477" s="230"/>
    </row>
    <row r="478" spans="2:28">
      <c r="B478" s="98">
        <v>508</v>
      </c>
      <c r="C478" s="98"/>
      <c r="D478" s="98"/>
      <c r="E478" s="98"/>
      <c r="F478" s="98"/>
      <c r="G478" s="98"/>
      <c r="H478" s="98"/>
      <c r="I478" s="98"/>
      <c r="J478" s="98"/>
      <c r="K478" s="98">
        <v>91.67999999999995</v>
      </c>
      <c r="L478" s="98"/>
      <c r="M478" s="98"/>
      <c r="N478" s="98"/>
      <c r="O478" s="98"/>
      <c r="P478" s="98"/>
      <c r="Q478" s="98"/>
      <c r="R478" s="98"/>
      <c r="S478" s="98"/>
      <c r="T478" s="98"/>
      <c r="U478" s="98"/>
      <c r="V478" s="98"/>
      <c r="W478" s="98">
        <v>485.19999999999982</v>
      </c>
      <c r="X478" s="98"/>
      <c r="Y478" s="98"/>
      <c r="Z478" s="98"/>
      <c r="AA478" s="230"/>
      <c r="AB478" s="230"/>
    </row>
    <row r="479" spans="2:28">
      <c r="B479" s="98">
        <v>509</v>
      </c>
      <c r="C479" s="98"/>
      <c r="D479" s="98"/>
      <c r="E479" s="98"/>
      <c r="F479" s="98"/>
      <c r="G479" s="98"/>
      <c r="H479" s="98"/>
      <c r="I479" s="98"/>
      <c r="J479" s="98"/>
      <c r="K479" s="98">
        <v>91.639999999999944</v>
      </c>
      <c r="L479" s="98"/>
      <c r="M479" s="98"/>
      <c r="N479" s="98"/>
      <c r="O479" s="98"/>
      <c r="P479" s="98"/>
      <c r="Q479" s="98"/>
      <c r="R479" s="98"/>
      <c r="S479" s="98"/>
      <c r="T479" s="98"/>
      <c r="U479" s="98"/>
      <c r="V479" s="98"/>
      <c r="W479" s="98">
        <v>484.5999999999998</v>
      </c>
      <c r="X479" s="98"/>
      <c r="Y479" s="98"/>
      <c r="Z479" s="98"/>
      <c r="AA479" s="230"/>
      <c r="AB479" s="230"/>
    </row>
    <row r="480" spans="2:28">
      <c r="B480" s="98">
        <v>510</v>
      </c>
      <c r="C480" s="98"/>
      <c r="D480" s="98"/>
      <c r="E480" s="98"/>
      <c r="F480" s="98"/>
      <c r="G480" s="98"/>
      <c r="H480" s="98"/>
      <c r="I480" s="98"/>
      <c r="J480" s="98"/>
      <c r="K480" s="98">
        <v>91.599999999999937</v>
      </c>
      <c r="L480" s="98"/>
      <c r="M480" s="98"/>
      <c r="N480" s="98"/>
      <c r="O480" s="98"/>
      <c r="P480" s="98"/>
      <c r="Q480" s="98"/>
      <c r="R480" s="98"/>
      <c r="S480" s="98"/>
      <c r="T480" s="98">
        <v>96</v>
      </c>
      <c r="U480" s="98"/>
      <c r="V480" s="98">
        <v>151</v>
      </c>
      <c r="W480" s="98">
        <v>483.99999999999977</v>
      </c>
      <c r="X480" s="98"/>
      <c r="Y480" s="98"/>
      <c r="Z480" s="98"/>
      <c r="AA480" s="230"/>
      <c r="AB480" s="230"/>
    </row>
    <row r="481" spans="2:28">
      <c r="B481" s="98">
        <v>511</v>
      </c>
      <c r="C481" s="98"/>
      <c r="D481" s="98"/>
      <c r="E481" s="98"/>
      <c r="F481" s="98"/>
      <c r="G481" s="98"/>
      <c r="H481" s="98"/>
      <c r="I481" s="98"/>
      <c r="J481" s="98"/>
      <c r="K481" s="98">
        <v>91.559999999999931</v>
      </c>
      <c r="L481" s="98"/>
      <c r="M481" s="98"/>
      <c r="N481" s="98"/>
      <c r="O481" s="98"/>
      <c r="P481" s="98"/>
      <c r="Q481" s="98"/>
      <c r="R481" s="98"/>
      <c r="S481" s="98"/>
      <c r="T481" s="98"/>
      <c r="U481" s="98"/>
      <c r="V481" s="98"/>
      <c r="W481" s="98">
        <v>483.39999999999975</v>
      </c>
      <c r="X481" s="98"/>
      <c r="Y481" s="98"/>
      <c r="Z481" s="98"/>
      <c r="AA481" s="230"/>
      <c r="AB481" s="230"/>
    </row>
    <row r="482" spans="2:28">
      <c r="B482" s="98">
        <v>512</v>
      </c>
      <c r="C482" s="98"/>
      <c r="D482" s="98"/>
      <c r="E482" s="98"/>
      <c r="F482" s="98"/>
      <c r="G482" s="98"/>
      <c r="H482" s="98"/>
      <c r="I482" s="98"/>
      <c r="J482" s="98"/>
      <c r="K482" s="98">
        <v>91.519999999999925</v>
      </c>
      <c r="L482" s="98"/>
      <c r="M482" s="98"/>
      <c r="N482" s="98"/>
      <c r="O482" s="98"/>
      <c r="P482" s="98"/>
      <c r="Q482" s="98"/>
      <c r="R482" s="98"/>
      <c r="S482" s="98"/>
      <c r="T482" s="98"/>
      <c r="U482" s="98"/>
      <c r="V482" s="98"/>
      <c r="W482" s="98">
        <v>482.79999999999973</v>
      </c>
      <c r="X482" s="98"/>
      <c r="Y482" s="98"/>
      <c r="Z482" s="98"/>
      <c r="AA482" s="230"/>
      <c r="AB482" s="230"/>
    </row>
    <row r="483" spans="2:28">
      <c r="B483" s="98">
        <v>513</v>
      </c>
      <c r="C483" s="98"/>
      <c r="D483" s="98"/>
      <c r="E483" s="98"/>
      <c r="F483" s="98"/>
      <c r="G483" s="98"/>
      <c r="H483" s="98"/>
      <c r="I483" s="98"/>
      <c r="J483" s="98"/>
      <c r="K483" s="98">
        <v>91.479999999999919</v>
      </c>
      <c r="L483" s="98"/>
      <c r="M483" s="98"/>
      <c r="N483" s="98"/>
      <c r="O483" s="98"/>
      <c r="P483" s="98"/>
      <c r="Q483" s="98"/>
      <c r="R483" s="98"/>
      <c r="S483" s="98"/>
      <c r="T483" s="98"/>
      <c r="U483" s="98"/>
      <c r="V483" s="98"/>
      <c r="W483" s="98">
        <v>482.1999999999997</v>
      </c>
      <c r="X483" s="98"/>
      <c r="Y483" s="98"/>
      <c r="Z483" s="98"/>
      <c r="AA483" s="230"/>
      <c r="AB483" s="230"/>
    </row>
    <row r="484" spans="2:28">
      <c r="B484" s="98">
        <v>514</v>
      </c>
      <c r="C484" s="98"/>
      <c r="D484" s="98"/>
      <c r="E484" s="98"/>
      <c r="F484" s="98"/>
      <c r="G484" s="98"/>
      <c r="H484" s="98"/>
      <c r="I484" s="98"/>
      <c r="J484" s="98"/>
      <c r="K484" s="98">
        <v>91.439999999999912</v>
      </c>
      <c r="L484" s="98"/>
      <c r="M484" s="98"/>
      <c r="N484" s="98"/>
      <c r="O484" s="98"/>
      <c r="P484" s="98"/>
      <c r="Q484" s="98"/>
      <c r="R484" s="98"/>
      <c r="S484" s="98"/>
      <c r="T484" s="98"/>
      <c r="U484" s="98"/>
      <c r="V484" s="98"/>
      <c r="W484" s="98">
        <v>481.59999999999968</v>
      </c>
      <c r="X484" s="98"/>
      <c r="Y484" s="98"/>
      <c r="Z484" s="98"/>
      <c r="AA484" s="230"/>
      <c r="AB484" s="230"/>
    </row>
    <row r="485" spans="2:28">
      <c r="B485" s="98">
        <v>515</v>
      </c>
      <c r="C485" s="98"/>
      <c r="D485" s="98"/>
      <c r="E485" s="98"/>
      <c r="F485" s="98"/>
      <c r="G485" s="98"/>
      <c r="H485" s="98"/>
      <c r="I485" s="98"/>
      <c r="J485" s="98"/>
      <c r="K485" s="98">
        <v>91.399999999999906</v>
      </c>
      <c r="L485" s="98"/>
      <c r="M485" s="98"/>
      <c r="N485" s="98"/>
      <c r="O485" s="98"/>
      <c r="P485" s="98"/>
      <c r="Q485" s="98"/>
      <c r="R485" s="98"/>
      <c r="S485" s="98"/>
      <c r="T485" s="98"/>
      <c r="U485" s="98"/>
      <c r="V485" s="98"/>
      <c r="W485" s="98">
        <v>480.99999999999966</v>
      </c>
      <c r="X485" s="98"/>
      <c r="Y485" s="98"/>
      <c r="Z485" s="98"/>
      <c r="AA485" s="230"/>
      <c r="AB485" s="230"/>
    </row>
    <row r="486" spans="2:28">
      <c r="B486" s="98">
        <v>516</v>
      </c>
      <c r="C486" s="98"/>
      <c r="D486" s="98"/>
      <c r="E486" s="98"/>
      <c r="F486" s="98"/>
      <c r="G486" s="98"/>
      <c r="H486" s="98"/>
      <c r="I486" s="98"/>
      <c r="J486" s="98"/>
      <c r="K486" s="98">
        <v>91.3599999999999</v>
      </c>
      <c r="L486" s="98"/>
      <c r="M486" s="98"/>
      <c r="N486" s="98"/>
      <c r="O486" s="98"/>
      <c r="P486" s="98"/>
      <c r="Q486" s="98"/>
      <c r="R486" s="98"/>
      <c r="S486" s="98"/>
      <c r="T486" s="98"/>
      <c r="U486" s="98"/>
      <c r="V486" s="98"/>
      <c r="W486" s="98">
        <v>480.39999999999964</v>
      </c>
      <c r="X486" s="98"/>
      <c r="Y486" s="98"/>
      <c r="Z486" s="98"/>
      <c r="AA486" s="230"/>
      <c r="AB486" s="230"/>
    </row>
    <row r="487" spans="2:28">
      <c r="B487" s="98">
        <v>517</v>
      </c>
      <c r="C487" s="98"/>
      <c r="D487" s="98"/>
      <c r="E487" s="98"/>
      <c r="F487" s="98"/>
      <c r="G487" s="98"/>
      <c r="H487" s="98"/>
      <c r="I487" s="98"/>
      <c r="J487" s="98"/>
      <c r="K487" s="98">
        <v>91.319999999999894</v>
      </c>
      <c r="L487" s="98"/>
      <c r="M487" s="98"/>
      <c r="N487" s="98"/>
      <c r="O487" s="98"/>
      <c r="P487" s="98"/>
      <c r="Q487" s="98"/>
      <c r="R487" s="98"/>
      <c r="S487" s="98"/>
      <c r="T487" s="98"/>
      <c r="U487" s="98"/>
      <c r="V487" s="98"/>
      <c r="W487" s="98">
        <v>479.79999999999961</v>
      </c>
      <c r="X487" s="98"/>
      <c r="Y487" s="98"/>
      <c r="Z487" s="98"/>
      <c r="AA487" s="230"/>
      <c r="AB487" s="230"/>
    </row>
    <row r="488" spans="2:28">
      <c r="B488" s="98">
        <v>518</v>
      </c>
      <c r="C488" s="98"/>
      <c r="D488" s="98"/>
      <c r="E488" s="98"/>
      <c r="F488" s="98"/>
      <c r="G488" s="98"/>
      <c r="H488" s="98"/>
      <c r="I488" s="98"/>
      <c r="J488" s="98"/>
      <c r="K488" s="98">
        <v>91.279999999999887</v>
      </c>
      <c r="L488" s="98"/>
      <c r="M488" s="98"/>
      <c r="N488" s="98"/>
      <c r="O488" s="98"/>
      <c r="P488" s="98"/>
      <c r="Q488" s="98"/>
      <c r="R488" s="98"/>
      <c r="S488" s="98"/>
      <c r="T488" s="98"/>
      <c r="U488" s="98"/>
      <c r="V488" s="98"/>
      <c r="W488" s="98">
        <v>479.19999999999959</v>
      </c>
      <c r="X488" s="98"/>
      <c r="Y488" s="98"/>
      <c r="Z488" s="98"/>
      <c r="AA488" s="230"/>
      <c r="AB488" s="230"/>
    </row>
    <row r="489" spans="2:28">
      <c r="B489" s="98">
        <v>519</v>
      </c>
      <c r="C489" s="98"/>
      <c r="D489" s="98"/>
      <c r="E489" s="98"/>
      <c r="F489" s="98"/>
      <c r="G489" s="98"/>
      <c r="H489" s="98"/>
      <c r="I489" s="98"/>
      <c r="J489" s="98"/>
      <c r="K489" s="98">
        <v>91.239999999999881</v>
      </c>
      <c r="L489" s="98"/>
      <c r="M489" s="98"/>
      <c r="N489" s="98"/>
      <c r="O489" s="98"/>
      <c r="P489" s="98"/>
      <c r="Q489" s="98"/>
      <c r="R489" s="98"/>
      <c r="S489" s="98"/>
      <c r="T489" s="98"/>
      <c r="U489" s="98"/>
      <c r="V489" s="98"/>
      <c r="W489" s="98">
        <v>478.59999999999957</v>
      </c>
      <c r="X489" s="98"/>
      <c r="Y489" s="98"/>
      <c r="Z489" s="98"/>
      <c r="AA489" s="230"/>
      <c r="AB489" s="230"/>
    </row>
    <row r="490" spans="2:28">
      <c r="B490" s="98">
        <v>520</v>
      </c>
      <c r="C490" s="98"/>
      <c r="D490" s="98"/>
      <c r="E490" s="98"/>
      <c r="F490" s="98"/>
      <c r="G490" s="98"/>
      <c r="H490" s="98"/>
      <c r="I490" s="98"/>
      <c r="J490" s="98"/>
      <c r="K490" s="98">
        <v>91.199999999999875</v>
      </c>
      <c r="L490" s="98"/>
      <c r="M490" s="98"/>
      <c r="N490" s="98"/>
      <c r="O490" s="98"/>
      <c r="P490" s="98"/>
      <c r="Q490" s="98"/>
      <c r="R490" s="98"/>
      <c r="S490" s="98"/>
      <c r="T490" s="98"/>
      <c r="U490" s="98"/>
      <c r="V490" s="98">
        <v>127</v>
      </c>
      <c r="W490" s="98">
        <v>477.99999999999955</v>
      </c>
      <c r="X490" s="98"/>
      <c r="Y490" s="98"/>
      <c r="Z490" s="98"/>
      <c r="AA490" s="230"/>
      <c r="AB490" s="230"/>
    </row>
    <row r="491" spans="2:28">
      <c r="B491" s="98">
        <v>521</v>
      </c>
      <c r="C491" s="98"/>
      <c r="D491" s="98"/>
      <c r="E491" s="98"/>
      <c r="F491" s="98"/>
      <c r="G491" s="98"/>
      <c r="H491" s="98"/>
      <c r="I491" s="98"/>
      <c r="J491" s="98"/>
      <c r="K491" s="98">
        <v>91.159999999999869</v>
      </c>
      <c r="L491" s="98"/>
      <c r="M491" s="98"/>
      <c r="N491" s="98"/>
      <c r="O491" s="98"/>
      <c r="P491" s="98"/>
      <c r="Q491" s="98"/>
      <c r="R491" s="98"/>
      <c r="S491" s="98"/>
      <c r="T491" s="98"/>
      <c r="U491" s="98"/>
      <c r="V491" s="98"/>
      <c r="W491" s="98">
        <v>477.39999999999952</v>
      </c>
      <c r="X491" s="98"/>
      <c r="Y491" s="98"/>
      <c r="Z491" s="98"/>
      <c r="AA491" s="230"/>
      <c r="AB491" s="230"/>
    </row>
    <row r="492" spans="2:28">
      <c r="B492" s="98">
        <v>522</v>
      </c>
      <c r="C492" s="98"/>
      <c r="D492" s="98"/>
      <c r="E492" s="98"/>
      <c r="F492" s="98"/>
      <c r="G492" s="98"/>
      <c r="H492" s="98"/>
      <c r="I492" s="98"/>
      <c r="J492" s="98"/>
      <c r="K492" s="98">
        <v>91.119999999999862</v>
      </c>
      <c r="L492" s="98"/>
      <c r="M492" s="98"/>
      <c r="N492" s="98"/>
      <c r="O492" s="98"/>
      <c r="P492" s="98"/>
      <c r="Q492" s="98"/>
      <c r="R492" s="98"/>
      <c r="S492" s="98"/>
      <c r="T492" s="98"/>
      <c r="U492" s="98"/>
      <c r="V492" s="98"/>
      <c r="W492" s="98">
        <v>476.7999999999995</v>
      </c>
      <c r="X492" s="98"/>
      <c r="Y492" s="98"/>
      <c r="Z492" s="98"/>
      <c r="AA492" s="230"/>
      <c r="AB492" s="230"/>
    </row>
    <row r="493" spans="2:28">
      <c r="B493" s="98">
        <v>523</v>
      </c>
      <c r="C493" s="98"/>
      <c r="D493" s="98"/>
      <c r="E493" s="98"/>
      <c r="F493" s="98"/>
      <c r="G493" s="98"/>
      <c r="H493" s="98"/>
      <c r="I493" s="98"/>
      <c r="J493" s="98"/>
      <c r="K493" s="98">
        <v>91.079999999999856</v>
      </c>
      <c r="L493" s="98"/>
      <c r="M493" s="98"/>
      <c r="N493" s="98"/>
      <c r="O493" s="98"/>
      <c r="P493" s="98"/>
      <c r="Q493" s="98"/>
      <c r="R493" s="98"/>
      <c r="S493" s="98"/>
      <c r="T493" s="98"/>
      <c r="U493" s="98"/>
      <c r="V493" s="98"/>
      <c r="W493" s="98">
        <v>476.19999999999948</v>
      </c>
      <c r="X493" s="98"/>
      <c r="Y493" s="98"/>
      <c r="Z493" s="98"/>
      <c r="AA493" s="230"/>
      <c r="AB493" s="230"/>
    </row>
    <row r="494" spans="2:28">
      <c r="B494" s="98">
        <v>524</v>
      </c>
      <c r="C494" s="98"/>
      <c r="D494" s="98"/>
      <c r="E494" s="98"/>
      <c r="F494" s="98"/>
      <c r="G494" s="98"/>
      <c r="H494" s="98"/>
      <c r="I494" s="98"/>
      <c r="J494" s="98"/>
      <c r="K494" s="98">
        <v>91.03999999999985</v>
      </c>
      <c r="L494" s="98"/>
      <c r="M494" s="98"/>
      <c r="N494" s="98"/>
      <c r="O494" s="98"/>
      <c r="P494" s="98"/>
      <c r="Q494" s="98"/>
      <c r="R494" s="98"/>
      <c r="S494" s="98"/>
      <c r="T494" s="98"/>
      <c r="U494" s="98"/>
      <c r="V494" s="98"/>
      <c r="W494" s="98">
        <v>475.59999999999945</v>
      </c>
      <c r="X494" s="98"/>
      <c r="Y494" s="98"/>
      <c r="Z494" s="98"/>
      <c r="AA494" s="230"/>
      <c r="AB494" s="230"/>
    </row>
    <row r="495" spans="2:28">
      <c r="B495" s="98">
        <v>525</v>
      </c>
      <c r="C495" s="98"/>
      <c r="D495" s="98"/>
      <c r="E495" s="98"/>
      <c r="F495" s="98"/>
      <c r="G495" s="98"/>
      <c r="H495" s="98"/>
      <c r="I495" s="98"/>
      <c r="J495" s="98"/>
      <c r="K495" s="98">
        <v>90.999999999999844</v>
      </c>
      <c r="L495" s="98"/>
      <c r="M495" s="98"/>
      <c r="N495" s="98"/>
      <c r="O495" s="98"/>
      <c r="P495" s="98"/>
      <c r="Q495" s="98"/>
      <c r="R495" s="98"/>
      <c r="S495" s="98"/>
      <c r="T495" s="98"/>
      <c r="U495" s="98"/>
      <c r="V495" s="98"/>
      <c r="W495" s="98">
        <v>474.99999999999943</v>
      </c>
      <c r="X495" s="98"/>
      <c r="Y495" s="98"/>
      <c r="Z495" s="98"/>
      <c r="AA495" s="230"/>
      <c r="AB495" s="230"/>
    </row>
    <row r="496" spans="2:28">
      <c r="B496" s="98">
        <v>526</v>
      </c>
      <c r="C496" s="98"/>
      <c r="D496" s="98"/>
      <c r="E496" s="98"/>
      <c r="F496" s="98"/>
      <c r="G496" s="98"/>
      <c r="H496" s="98"/>
      <c r="I496" s="98"/>
      <c r="J496" s="98"/>
      <c r="K496" s="98">
        <v>90.959999999999837</v>
      </c>
      <c r="L496" s="98"/>
      <c r="M496" s="98"/>
      <c r="N496" s="98"/>
      <c r="O496" s="98"/>
      <c r="P496" s="98"/>
      <c r="Q496" s="98"/>
      <c r="R496" s="98"/>
      <c r="S496" s="98"/>
      <c r="T496" s="98"/>
      <c r="U496" s="98"/>
      <c r="V496" s="98"/>
      <c r="W496" s="98">
        <v>474.39999999999941</v>
      </c>
      <c r="X496" s="98"/>
      <c r="Y496" s="98"/>
      <c r="Z496" s="98"/>
      <c r="AA496" s="230"/>
      <c r="AB496" s="230"/>
    </row>
    <row r="497" spans="2:28">
      <c r="B497" s="98">
        <v>527</v>
      </c>
      <c r="C497" s="98"/>
      <c r="D497" s="98"/>
      <c r="E497" s="98"/>
      <c r="F497" s="98"/>
      <c r="G497" s="98"/>
      <c r="H497" s="98"/>
      <c r="I497" s="98"/>
      <c r="J497" s="98"/>
      <c r="K497" s="98">
        <v>90.919999999999831</v>
      </c>
      <c r="L497" s="98"/>
      <c r="M497" s="98"/>
      <c r="N497" s="98"/>
      <c r="O497" s="98"/>
      <c r="P497" s="98"/>
      <c r="Q497" s="98"/>
      <c r="R497" s="98"/>
      <c r="S497" s="98"/>
      <c r="T497" s="98"/>
      <c r="U497" s="98"/>
      <c r="V497" s="98"/>
      <c r="W497" s="98">
        <v>473.79999999999939</v>
      </c>
      <c r="X497" s="98"/>
      <c r="Y497" s="98"/>
      <c r="Z497" s="98"/>
      <c r="AA497" s="230"/>
      <c r="AB497" s="230"/>
    </row>
    <row r="498" spans="2:28">
      <c r="B498" s="98">
        <v>528</v>
      </c>
      <c r="C498" s="98"/>
      <c r="D498" s="98"/>
      <c r="E498" s="98"/>
      <c r="F498" s="98"/>
      <c r="G498" s="98"/>
      <c r="H498" s="98"/>
      <c r="I498" s="98"/>
      <c r="J498" s="98"/>
      <c r="K498" s="98">
        <v>90.879999999999825</v>
      </c>
      <c r="L498" s="98"/>
      <c r="M498" s="98"/>
      <c r="N498" s="98"/>
      <c r="O498" s="98"/>
      <c r="P498" s="98"/>
      <c r="Q498" s="98"/>
      <c r="R498" s="98"/>
      <c r="S498" s="98"/>
      <c r="T498" s="98"/>
      <c r="U498" s="98"/>
      <c r="V498" s="98"/>
      <c r="W498" s="98">
        <v>473.19999999999936</v>
      </c>
      <c r="X498" s="98"/>
      <c r="Y498" s="98"/>
      <c r="Z498" s="98"/>
      <c r="AA498" s="230"/>
      <c r="AB498" s="230"/>
    </row>
    <row r="499" spans="2:28">
      <c r="B499" s="98">
        <v>529</v>
      </c>
      <c r="C499" s="98"/>
      <c r="D499" s="98"/>
      <c r="E499" s="98"/>
      <c r="F499" s="98"/>
      <c r="G499" s="98"/>
      <c r="H499" s="98"/>
      <c r="I499" s="98"/>
      <c r="J499" s="98"/>
      <c r="K499" s="98">
        <v>90.839999999999819</v>
      </c>
      <c r="L499" s="98"/>
      <c r="M499" s="98"/>
      <c r="N499" s="98"/>
      <c r="O499" s="98"/>
      <c r="P499" s="98"/>
      <c r="Q499" s="98"/>
      <c r="R499" s="98"/>
      <c r="S499" s="98"/>
      <c r="T499" s="98"/>
      <c r="U499" s="98"/>
      <c r="V499" s="98"/>
      <c r="W499" s="98">
        <v>472.59999999999934</v>
      </c>
      <c r="X499" s="98"/>
      <c r="Y499" s="98"/>
      <c r="Z499" s="98"/>
      <c r="AA499" s="230"/>
      <c r="AB499" s="230"/>
    </row>
    <row r="500" spans="2:28">
      <c r="B500" s="98">
        <v>530</v>
      </c>
      <c r="C500" s="98"/>
      <c r="D500" s="98"/>
      <c r="E500" s="98"/>
      <c r="F500" s="98"/>
      <c r="G500" s="98"/>
      <c r="H500" s="98"/>
      <c r="I500" s="98"/>
      <c r="J500" s="98"/>
      <c r="K500" s="98">
        <v>90.799999999999812</v>
      </c>
      <c r="L500" s="98"/>
      <c r="M500" s="98"/>
      <c r="N500" s="98"/>
      <c r="O500" s="98"/>
      <c r="P500" s="98"/>
      <c r="Q500" s="98"/>
      <c r="R500" s="98"/>
      <c r="S500" s="98">
        <v>149</v>
      </c>
      <c r="T500" s="98"/>
      <c r="U500" s="98"/>
      <c r="V500" s="98">
        <v>104</v>
      </c>
      <c r="W500" s="98">
        <v>471.99999999999932</v>
      </c>
      <c r="X500" s="98"/>
      <c r="Y500" s="98"/>
      <c r="Z500" s="98"/>
      <c r="AA500" s="230"/>
      <c r="AB500" s="230"/>
    </row>
    <row r="501" spans="2:28">
      <c r="B501" s="98">
        <v>531</v>
      </c>
      <c r="C501" s="98"/>
      <c r="D501" s="98"/>
      <c r="E501" s="98"/>
      <c r="F501" s="98"/>
      <c r="G501" s="98"/>
      <c r="H501" s="98"/>
      <c r="I501" s="98"/>
      <c r="J501" s="98"/>
      <c r="K501" s="98">
        <v>90.759999999999806</v>
      </c>
      <c r="L501" s="98"/>
      <c r="M501" s="98"/>
      <c r="N501" s="98"/>
      <c r="O501" s="98"/>
      <c r="P501" s="98"/>
      <c r="Q501" s="98"/>
      <c r="R501" s="98"/>
      <c r="S501" s="98"/>
      <c r="T501" s="98"/>
      <c r="U501" s="98"/>
      <c r="V501" s="98"/>
      <c r="W501" s="98">
        <v>471.3999999999993</v>
      </c>
      <c r="X501" s="98"/>
      <c r="Y501" s="98"/>
      <c r="Z501" s="98"/>
      <c r="AA501" s="230"/>
      <c r="AB501" s="230"/>
    </row>
    <row r="502" spans="2:28">
      <c r="B502" s="98">
        <v>532</v>
      </c>
      <c r="C502" s="98"/>
      <c r="D502" s="98"/>
      <c r="E502" s="98"/>
      <c r="F502" s="98"/>
      <c r="G502" s="98"/>
      <c r="H502" s="98"/>
      <c r="I502" s="98"/>
      <c r="J502" s="98"/>
      <c r="K502" s="98">
        <v>90.7199999999998</v>
      </c>
      <c r="L502" s="98"/>
      <c r="M502" s="98"/>
      <c r="N502" s="98"/>
      <c r="O502" s="98"/>
      <c r="P502" s="98"/>
      <c r="Q502" s="98"/>
      <c r="R502" s="98"/>
      <c r="S502" s="98"/>
      <c r="T502" s="98"/>
      <c r="U502" s="98"/>
      <c r="V502" s="98"/>
      <c r="W502" s="98">
        <v>470.79999999999927</v>
      </c>
      <c r="X502" s="98"/>
      <c r="Y502" s="98"/>
      <c r="Z502" s="98"/>
      <c r="AA502" s="230"/>
      <c r="AB502" s="230"/>
    </row>
    <row r="503" spans="2:28">
      <c r="B503" s="98">
        <v>533</v>
      </c>
      <c r="C503" s="98"/>
      <c r="D503" s="98"/>
      <c r="E503" s="98"/>
      <c r="F503" s="98"/>
      <c r="G503" s="98"/>
      <c r="H503" s="98"/>
      <c r="I503" s="98"/>
      <c r="J503" s="98"/>
      <c r="K503" s="98">
        <v>90.679999999999794</v>
      </c>
      <c r="L503" s="98"/>
      <c r="M503" s="98"/>
      <c r="N503" s="98"/>
      <c r="O503" s="98"/>
      <c r="P503" s="98"/>
      <c r="Q503" s="98"/>
      <c r="R503" s="98"/>
      <c r="S503" s="98"/>
      <c r="T503" s="98"/>
      <c r="U503" s="98"/>
      <c r="V503" s="98"/>
      <c r="W503" s="98">
        <v>470.19999999999925</v>
      </c>
      <c r="X503" s="98"/>
      <c r="Y503" s="98"/>
      <c r="Z503" s="98"/>
      <c r="AA503" s="230"/>
      <c r="AB503" s="230"/>
    </row>
    <row r="504" spans="2:28">
      <c r="B504" s="98">
        <v>534</v>
      </c>
      <c r="C504" s="98"/>
      <c r="D504" s="98"/>
      <c r="E504" s="98"/>
      <c r="F504" s="98"/>
      <c r="G504" s="98"/>
      <c r="H504" s="98"/>
      <c r="I504" s="98"/>
      <c r="J504" s="98"/>
      <c r="K504" s="98">
        <v>90.639999999999787</v>
      </c>
      <c r="L504" s="98"/>
      <c r="M504" s="98"/>
      <c r="N504" s="98"/>
      <c r="O504" s="98"/>
      <c r="P504" s="98"/>
      <c r="Q504" s="98"/>
      <c r="R504" s="98"/>
      <c r="S504" s="98"/>
      <c r="T504" s="98"/>
      <c r="U504" s="98"/>
      <c r="V504" s="98"/>
      <c r="W504" s="98">
        <v>469.59999999999923</v>
      </c>
      <c r="X504" s="98"/>
      <c r="Y504" s="98"/>
      <c r="Z504" s="98"/>
      <c r="AA504" s="230"/>
      <c r="AB504" s="230"/>
    </row>
    <row r="505" spans="2:28">
      <c r="B505" s="98">
        <v>535</v>
      </c>
      <c r="C505" s="98"/>
      <c r="D505" s="98"/>
      <c r="E505" s="98"/>
      <c r="F505" s="98"/>
      <c r="G505" s="98"/>
      <c r="H505" s="98"/>
      <c r="I505" s="98"/>
      <c r="J505" s="98"/>
      <c r="K505" s="98">
        <v>90.599999999999781</v>
      </c>
      <c r="L505" s="98"/>
      <c r="M505" s="98"/>
      <c r="N505" s="98"/>
      <c r="O505" s="98"/>
      <c r="P505" s="98"/>
      <c r="Q505" s="98"/>
      <c r="R505" s="98"/>
      <c r="S505" s="98"/>
      <c r="T505" s="98"/>
      <c r="U505" s="98"/>
      <c r="V505" s="98"/>
      <c r="W505" s="98">
        <v>468.9999999999992</v>
      </c>
      <c r="X505" s="98"/>
      <c r="Y505" s="98"/>
      <c r="Z505" s="98"/>
      <c r="AA505" s="230"/>
      <c r="AB505" s="230"/>
    </row>
    <row r="506" spans="2:28">
      <c r="B506" s="98">
        <v>536</v>
      </c>
      <c r="C506" s="98"/>
      <c r="D506" s="98"/>
      <c r="E506" s="98"/>
      <c r="F506" s="98"/>
      <c r="G506" s="98"/>
      <c r="H506" s="98"/>
      <c r="I506" s="98"/>
      <c r="J506" s="98"/>
      <c r="K506" s="98">
        <v>90.559999999999775</v>
      </c>
      <c r="L506" s="98"/>
      <c r="M506" s="98"/>
      <c r="N506" s="98"/>
      <c r="O506" s="98"/>
      <c r="P506" s="98"/>
      <c r="Q506" s="98"/>
      <c r="R506" s="98"/>
      <c r="S506" s="98"/>
      <c r="T506" s="98"/>
      <c r="U506" s="98"/>
      <c r="V506" s="98"/>
      <c r="W506" s="98">
        <v>468.39999999999918</v>
      </c>
      <c r="X506" s="98"/>
      <c r="Y506" s="98"/>
      <c r="Z506" s="98"/>
      <c r="AA506" s="230"/>
      <c r="AB506" s="230"/>
    </row>
    <row r="507" spans="2:28">
      <c r="B507" s="98">
        <v>537</v>
      </c>
      <c r="C507" s="98"/>
      <c r="D507" s="98"/>
      <c r="E507" s="98"/>
      <c r="F507" s="98"/>
      <c r="G507" s="98"/>
      <c r="H507" s="98"/>
      <c r="I507" s="98"/>
      <c r="J507" s="98"/>
      <c r="K507" s="98">
        <v>90.519999999999769</v>
      </c>
      <c r="L507" s="98"/>
      <c r="M507" s="98"/>
      <c r="N507" s="98"/>
      <c r="O507" s="98"/>
      <c r="P507" s="98"/>
      <c r="Q507" s="98"/>
      <c r="R507" s="98"/>
      <c r="S507" s="98"/>
      <c r="T507" s="98"/>
      <c r="U507" s="98"/>
      <c r="V507" s="98"/>
      <c r="W507" s="98">
        <v>467.79999999999916</v>
      </c>
      <c r="X507" s="98"/>
      <c r="Y507" s="98"/>
      <c r="Z507" s="98"/>
      <c r="AA507" s="230"/>
      <c r="AB507" s="230"/>
    </row>
    <row r="508" spans="2:28">
      <c r="B508" s="98">
        <v>538</v>
      </c>
      <c r="C508" s="98"/>
      <c r="D508" s="98"/>
      <c r="E508" s="98"/>
      <c r="F508" s="98"/>
      <c r="G508" s="98"/>
      <c r="H508" s="98"/>
      <c r="I508" s="98"/>
      <c r="J508" s="98"/>
      <c r="K508" s="98">
        <v>90.479999999999762</v>
      </c>
      <c r="L508" s="98"/>
      <c r="M508" s="98"/>
      <c r="N508" s="98"/>
      <c r="O508" s="98"/>
      <c r="P508" s="98"/>
      <c r="Q508" s="98"/>
      <c r="R508" s="98"/>
      <c r="S508" s="98"/>
      <c r="T508" s="98"/>
      <c r="U508" s="98"/>
      <c r="V508" s="98"/>
      <c r="W508" s="98">
        <v>467.19999999999914</v>
      </c>
      <c r="X508" s="98"/>
      <c r="Y508" s="98"/>
      <c r="Z508" s="98"/>
      <c r="AA508" s="230"/>
      <c r="AB508" s="230"/>
    </row>
    <row r="509" spans="2:28">
      <c r="B509" s="98">
        <v>539</v>
      </c>
      <c r="C509" s="98"/>
      <c r="D509" s="98"/>
      <c r="E509" s="98"/>
      <c r="F509" s="98"/>
      <c r="G509" s="98"/>
      <c r="H509" s="98"/>
      <c r="I509" s="98"/>
      <c r="J509" s="98"/>
      <c r="K509" s="98">
        <v>90.439999999999756</v>
      </c>
      <c r="L509" s="98"/>
      <c r="M509" s="98"/>
      <c r="N509" s="98"/>
      <c r="O509" s="98"/>
      <c r="P509" s="98"/>
      <c r="Q509" s="98"/>
      <c r="R509" s="98"/>
      <c r="S509" s="98"/>
      <c r="T509" s="98"/>
      <c r="U509" s="98"/>
      <c r="V509" s="98"/>
      <c r="W509" s="98">
        <v>466.59999999999911</v>
      </c>
      <c r="X509" s="98"/>
      <c r="Y509" s="98"/>
      <c r="Z509" s="98"/>
      <c r="AA509" s="230"/>
      <c r="AB509" s="230"/>
    </row>
    <row r="510" spans="2:28">
      <c r="B510" s="98">
        <v>540</v>
      </c>
      <c r="C510" s="98"/>
      <c r="D510" s="98"/>
      <c r="E510" s="98"/>
      <c r="F510" s="98"/>
      <c r="G510" s="98"/>
      <c r="H510" s="98"/>
      <c r="I510" s="98"/>
      <c r="J510" s="98"/>
      <c r="K510" s="98">
        <v>90.39999999999975</v>
      </c>
      <c r="L510" s="98"/>
      <c r="M510" s="98"/>
      <c r="N510" s="98"/>
      <c r="O510" s="98"/>
      <c r="P510" s="98"/>
      <c r="Q510" s="98"/>
      <c r="R510" s="98"/>
      <c r="S510" s="98">
        <v>136</v>
      </c>
      <c r="T510" s="98"/>
      <c r="U510" s="98"/>
      <c r="V510" s="98"/>
      <c r="W510" s="98">
        <v>465.99999999999909</v>
      </c>
      <c r="X510" s="98"/>
      <c r="Y510" s="98"/>
      <c r="Z510" s="98"/>
      <c r="AA510" s="230"/>
      <c r="AB510" s="230"/>
    </row>
    <row r="511" spans="2:28">
      <c r="B511" s="98">
        <v>541</v>
      </c>
      <c r="C511" s="98"/>
      <c r="D511" s="98"/>
      <c r="E511" s="98"/>
      <c r="F511" s="98"/>
      <c r="G511" s="98"/>
      <c r="H511" s="98"/>
      <c r="I511" s="98"/>
      <c r="J511" s="98"/>
      <c r="K511" s="98">
        <v>90.359999999999744</v>
      </c>
      <c r="L511" s="98"/>
      <c r="M511" s="98"/>
      <c r="N511" s="98"/>
      <c r="O511" s="98"/>
      <c r="P511" s="98"/>
      <c r="Q511" s="98"/>
      <c r="R511" s="98"/>
      <c r="S511" s="98"/>
      <c r="T511" s="98"/>
      <c r="U511" s="98"/>
      <c r="V511" s="98"/>
      <c r="W511" s="98">
        <v>465.39999999999907</v>
      </c>
      <c r="X511" s="98"/>
      <c r="Y511" s="98"/>
      <c r="Z511" s="98"/>
      <c r="AA511" s="230"/>
      <c r="AB511" s="230"/>
    </row>
    <row r="512" spans="2:28">
      <c r="B512" s="98">
        <v>542</v>
      </c>
      <c r="C512" s="98"/>
      <c r="D512" s="98"/>
      <c r="E512" s="98"/>
      <c r="F512" s="98"/>
      <c r="G512" s="98"/>
      <c r="H512" s="98"/>
      <c r="I512" s="98"/>
      <c r="J512" s="98"/>
      <c r="K512" s="98">
        <v>90.319999999999737</v>
      </c>
      <c r="L512" s="98"/>
      <c r="M512" s="98"/>
      <c r="N512" s="98"/>
      <c r="O512" s="98"/>
      <c r="P512" s="98"/>
      <c r="Q512" s="98"/>
      <c r="R512" s="98"/>
      <c r="S512" s="98"/>
      <c r="T512" s="98"/>
      <c r="U512" s="98"/>
      <c r="V512" s="98"/>
      <c r="W512" s="98">
        <v>464.79999999999905</v>
      </c>
      <c r="X512" s="98"/>
      <c r="Y512" s="98"/>
      <c r="Z512" s="98"/>
      <c r="AA512" s="230"/>
      <c r="AB512" s="230"/>
    </row>
    <row r="513" spans="2:28">
      <c r="B513" s="98">
        <v>543</v>
      </c>
      <c r="C513" s="98"/>
      <c r="D513" s="98"/>
      <c r="E513" s="98"/>
      <c r="F513" s="98"/>
      <c r="G513" s="98"/>
      <c r="H513" s="98"/>
      <c r="I513" s="98"/>
      <c r="J513" s="98"/>
      <c r="K513" s="98">
        <v>90.279999999999731</v>
      </c>
      <c r="L513" s="98"/>
      <c r="M513" s="98"/>
      <c r="N513" s="98"/>
      <c r="O513" s="98"/>
      <c r="P513" s="98"/>
      <c r="Q513" s="98"/>
      <c r="R513" s="98"/>
      <c r="S513" s="98"/>
      <c r="T513" s="98"/>
      <c r="U513" s="98"/>
      <c r="V513" s="98"/>
      <c r="W513" s="98">
        <v>464.19999999999902</v>
      </c>
      <c r="X513" s="98"/>
      <c r="Y513" s="98"/>
      <c r="Z513" s="98"/>
      <c r="AA513" s="230"/>
      <c r="AB513" s="230"/>
    </row>
    <row r="514" spans="2:28">
      <c r="B514" s="98">
        <v>544</v>
      </c>
      <c r="C514" s="98"/>
      <c r="D514" s="98"/>
      <c r="E514" s="98"/>
      <c r="F514" s="98"/>
      <c r="G514" s="98"/>
      <c r="H514" s="98"/>
      <c r="I514" s="98"/>
      <c r="J514" s="98"/>
      <c r="K514" s="98">
        <v>90.239999999999725</v>
      </c>
      <c r="L514" s="98"/>
      <c r="M514" s="98"/>
      <c r="N514" s="98"/>
      <c r="O514" s="98"/>
      <c r="P514" s="98"/>
      <c r="Q514" s="98"/>
      <c r="R514" s="98"/>
      <c r="S514" s="98"/>
      <c r="T514" s="98"/>
      <c r="U514" s="98"/>
      <c r="V514" s="98"/>
      <c r="W514" s="98">
        <v>463.599999999999</v>
      </c>
      <c r="X514" s="98"/>
      <c r="Y514" s="98"/>
      <c r="Z514" s="98"/>
      <c r="AA514" s="230"/>
      <c r="AB514" s="230"/>
    </row>
    <row r="515" spans="2:28">
      <c r="B515" s="98">
        <v>545</v>
      </c>
      <c r="C515" s="98"/>
      <c r="D515" s="98"/>
      <c r="E515" s="98"/>
      <c r="F515" s="98"/>
      <c r="G515" s="98"/>
      <c r="H515" s="98"/>
      <c r="I515" s="98"/>
      <c r="J515" s="98"/>
      <c r="K515" s="98">
        <v>90.199999999999719</v>
      </c>
      <c r="L515" s="98"/>
      <c r="M515" s="98"/>
      <c r="N515" s="98"/>
      <c r="O515" s="98"/>
      <c r="P515" s="98"/>
      <c r="Q515" s="98"/>
      <c r="R515" s="98"/>
      <c r="S515" s="98"/>
      <c r="T515" s="98"/>
      <c r="U515" s="98"/>
      <c r="V515" s="98"/>
      <c r="W515" s="98">
        <v>462.99999999999898</v>
      </c>
      <c r="X515" s="98"/>
      <c r="Y515" s="98"/>
      <c r="Z515" s="98"/>
      <c r="AA515" s="230"/>
      <c r="AB515" s="230"/>
    </row>
    <row r="516" spans="2:28">
      <c r="B516" s="98">
        <v>546</v>
      </c>
      <c r="C516" s="98"/>
      <c r="D516" s="98"/>
      <c r="E516" s="98"/>
      <c r="F516" s="98"/>
      <c r="G516" s="98"/>
      <c r="H516" s="98"/>
      <c r="I516" s="98"/>
      <c r="J516" s="98"/>
      <c r="K516" s="98">
        <v>90.159999999999712</v>
      </c>
      <c r="L516" s="98"/>
      <c r="M516" s="98"/>
      <c r="N516" s="98"/>
      <c r="O516" s="98"/>
      <c r="P516" s="98"/>
      <c r="Q516" s="98"/>
      <c r="R516" s="98"/>
      <c r="S516" s="98"/>
      <c r="T516" s="98"/>
      <c r="U516" s="98"/>
      <c r="V516" s="98"/>
      <c r="W516" s="98">
        <v>462.39999999999895</v>
      </c>
      <c r="X516" s="98"/>
      <c r="Y516" s="98"/>
      <c r="Z516" s="98"/>
      <c r="AA516" s="230"/>
      <c r="AB516" s="230"/>
    </row>
    <row r="517" spans="2:28">
      <c r="B517" s="98">
        <v>547</v>
      </c>
      <c r="C517" s="98"/>
      <c r="D517" s="98"/>
      <c r="E517" s="98"/>
      <c r="F517" s="98"/>
      <c r="G517" s="98"/>
      <c r="H517" s="98"/>
      <c r="I517" s="98"/>
      <c r="J517" s="98"/>
      <c r="K517" s="98">
        <v>90.119999999999706</v>
      </c>
      <c r="L517" s="98"/>
      <c r="M517" s="98"/>
      <c r="N517" s="98"/>
      <c r="O517" s="98"/>
      <c r="P517" s="98"/>
      <c r="Q517" s="98"/>
      <c r="R517" s="98"/>
      <c r="S517" s="98"/>
      <c r="T517" s="98"/>
      <c r="U517" s="98"/>
      <c r="V517" s="98"/>
      <c r="W517" s="98">
        <v>461.79999999999893</v>
      </c>
      <c r="X517" s="98"/>
      <c r="Y517" s="98"/>
      <c r="Z517" s="98"/>
      <c r="AA517" s="230"/>
      <c r="AB517" s="230"/>
    </row>
    <row r="518" spans="2:28">
      <c r="B518" s="98">
        <v>548</v>
      </c>
      <c r="C518" s="98"/>
      <c r="D518" s="98"/>
      <c r="E518" s="98"/>
      <c r="F518" s="98"/>
      <c r="G518" s="98"/>
      <c r="H518" s="98"/>
      <c r="I518" s="98"/>
      <c r="J518" s="98"/>
      <c r="K518" s="98">
        <v>90.0799999999997</v>
      </c>
      <c r="L518" s="98"/>
      <c r="M518" s="98"/>
      <c r="N518" s="98"/>
      <c r="O518" s="98"/>
      <c r="P518" s="98"/>
      <c r="Q518" s="98"/>
      <c r="R518" s="98"/>
      <c r="S518" s="98"/>
      <c r="T518" s="98"/>
      <c r="U518" s="98"/>
      <c r="V518" s="98"/>
      <c r="W518" s="98">
        <v>461.19999999999891</v>
      </c>
      <c r="X518" s="98"/>
      <c r="Y518" s="98"/>
      <c r="Z518" s="98"/>
      <c r="AA518" s="230"/>
      <c r="AB518" s="230"/>
    </row>
    <row r="519" spans="2:28">
      <c r="B519" s="98">
        <v>549</v>
      </c>
      <c r="C519" s="98"/>
      <c r="D519" s="98"/>
      <c r="E519" s="98"/>
      <c r="F519" s="98"/>
      <c r="G519" s="98"/>
      <c r="H519" s="98"/>
      <c r="I519" s="98"/>
      <c r="J519" s="98"/>
      <c r="K519" s="98">
        <v>90.039999999999694</v>
      </c>
      <c r="L519" s="98"/>
      <c r="M519" s="98"/>
      <c r="N519" s="98"/>
      <c r="O519" s="98"/>
      <c r="P519" s="98"/>
      <c r="Q519" s="98"/>
      <c r="R519" s="98"/>
      <c r="S519" s="98"/>
      <c r="T519" s="98"/>
      <c r="U519" s="98"/>
      <c r="V519" s="98"/>
      <c r="W519" s="98">
        <v>460.59999999999889</v>
      </c>
      <c r="X519" s="98"/>
      <c r="Y519" s="98"/>
      <c r="Z519" s="98"/>
      <c r="AA519" s="230"/>
      <c r="AB519" s="230"/>
    </row>
    <row r="520" spans="2:28">
      <c r="B520" s="98">
        <v>550</v>
      </c>
      <c r="C520" s="98"/>
      <c r="D520" s="98"/>
      <c r="E520" s="98"/>
      <c r="F520" s="98"/>
      <c r="G520" s="98"/>
      <c r="H520" s="98"/>
      <c r="I520" s="98"/>
      <c r="J520" s="98"/>
      <c r="K520" s="98">
        <v>90</v>
      </c>
      <c r="L520" s="98"/>
      <c r="M520" s="98"/>
      <c r="N520" s="98"/>
      <c r="O520" s="98"/>
      <c r="P520" s="98"/>
      <c r="Q520" s="98"/>
      <c r="R520" s="98"/>
      <c r="S520" s="98">
        <v>123</v>
      </c>
      <c r="T520" s="98"/>
      <c r="U520" s="98"/>
      <c r="V520" s="98"/>
      <c r="W520" s="98">
        <v>460</v>
      </c>
      <c r="X520" s="98"/>
      <c r="Y520" s="98"/>
      <c r="Z520" s="98"/>
      <c r="AA520" s="230"/>
      <c r="AB520" s="230"/>
    </row>
  </sheetData>
  <phoneticPr fontId="14" type="noConversion"/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BF2A4-BE01-4335-A121-7BF84F13BEF0}">
  <sheetPr codeName="Sheet5"/>
  <dimension ref="B1:AD520"/>
  <sheetViews>
    <sheetView topLeftCell="V1" workbookViewId="0">
      <selection activeCell="AG25" sqref="AG25"/>
    </sheetView>
  </sheetViews>
  <sheetFormatPr defaultRowHeight="12.75"/>
  <cols>
    <col min="2" max="2" width="19.28515625" bestFit="1" customWidth="1"/>
    <col min="3" max="3" width="19.140625" customWidth="1"/>
    <col min="4" max="5" width="12.7109375" customWidth="1"/>
    <col min="6" max="6" width="10.42578125" customWidth="1"/>
    <col min="7" max="7" width="28.28515625" customWidth="1"/>
    <col min="8" max="8" width="20.42578125" customWidth="1"/>
    <col min="9" max="9" width="16.42578125" customWidth="1"/>
    <col min="10" max="10" width="9.85546875" customWidth="1"/>
    <col min="11" max="11" width="23.85546875" customWidth="1"/>
    <col min="12" max="12" width="28.28515625" customWidth="1"/>
    <col min="13" max="13" width="20" customWidth="1"/>
    <col min="14" max="16" width="10.42578125" customWidth="1"/>
    <col min="17" max="17" width="22.85546875" customWidth="1"/>
    <col min="18" max="18" width="20" customWidth="1"/>
    <col min="19" max="19" width="24.5703125" customWidth="1"/>
    <col min="20" max="20" width="22.42578125" customWidth="1"/>
    <col min="21" max="21" width="23.85546875" customWidth="1"/>
    <col min="22" max="22" width="23.7109375" customWidth="1"/>
    <col min="23" max="23" width="32.7109375" customWidth="1"/>
    <col min="24" max="24" width="20" customWidth="1"/>
    <col min="25" max="25" width="21" customWidth="1"/>
    <col min="26" max="26" width="18" customWidth="1"/>
    <col min="27" max="27" width="19" customWidth="1"/>
    <col min="28" max="28" width="14.5703125" customWidth="1"/>
    <col min="29" max="29" width="19.42578125" bestFit="1" customWidth="1"/>
  </cols>
  <sheetData>
    <row r="1" spans="2:30" ht="15.75">
      <c r="B1" s="195" t="s">
        <v>281</v>
      </c>
      <c r="C1" s="196">
        <f>str.1!E10</f>
        <v>50</v>
      </c>
      <c r="AB1" s="245"/>
    </row>
    <row r="3" spans="2:30">
      <c r="B3" s="197" t="s">
        <v>315</v>
      </c>
      <c r="C3" s="197"/>
      <c r="D3" s="197"/>
      <c r="E3" s="197"/>
      <c r="F3" s="197"/>
      <c r="G3" s="197">
        <v>2</v>
      </c>
      <c r="H3" s="197"/>
      <c r="I3" s="197"/>
      <c r="J3" s="197"/>
      <c r="K3" s="197">
        <v>2</v>
      </c>
      <c r="L3" s="197">
        <v>2</v>
      </c>
      <c r="M3" s="197">
        <v>1</v>
      </c>
      <c r="N3" s="197"/>
      <c r="O3" s="197"/>
      <c r="P3" s="197"/>
      <c r="Q3" s="197">
        <v>2</v>
      </c>
      <c r="R3" s="197">
        <v>1</v>
      </c>
      <c r="S3" s="197">
        <v>2</v>
      </c>
      <c r="T3" s="197">
        <v>1</v>
      </c>
      <c r="U3" s="197">
        <v>2</v>
      </c>
      <c r="V3" s="197">
        <v>1</v>
      </c>
      <c r="W3" s="197">
        <v>1</v>
      </c>
      <c r="X3" s="197">
        <v>1</v>
      </c>
      <c r="Y3" s="197">
        <v>1</v>
      </c>
      <c r="Z3" s="197">
        <v>1</v>
      </c>
      <c r="AA3" s="197">
        <v>2</v>
      </c>
      <c r="AB3" s="197">
        <v>1</v>
      </c>
      <c r="AC3" s="243">
        <v>1</v>
      </c>
    </row>
    <row r="4" spans="2:30">
      <c r="B4" s="90" t="s">
        <v>282</v>
      </c>
      <c r="C4" s="198" t="s">
        <v>283</v>
      </c>
      <c r="D4" s="91" t="s">
        <v>284</v>
      </c>
      <c r="E4" s="91" t="s">
        <v>285</v>
      </c>
      <c r="F4" s="91" t="s">
        <v>286</v>
      </c>
      <c r="G4" s="91" t="s">
        <v>287</v>
      </c>
      <c r="H4" s="91" t="s">
        <v>288</v>
      </c>
      <c r="I4" s="91" t="s">
        <v>289</v>
      </c>
      <c r="J4" s="92" t="s">
        <v>290</v>
      </c>
      <c r="K4" s="91" t="s">
        <v>291</v>
      </c>
      <c r="L4" s="91" t="s">
        <v>292</v>
      </c>
      <c r="M4" s="91" t="s">
        <v>293</v>
      </c>
      <c r="N4" s="91" t="s">
        <v>294</v>
      </c>
      <c r="O4" s="91" t="s">
        <v>295</v>
      </c>
      <c r="P4" s="91" t="s">
        <v>296</v>
      </c>
      <c r="Q4" s="91" t="s">
        <v>297</v>
      </c>
      <c r="R4" s="199" t="s">
        <v>298</v>
      </c>
      <c r="S4" s="199" t="s">
        <v>299</v>
      </c>
      <c r="T4" s="199" t="s">
        <v>300</v>
      </c>
      <c r="U4" s="199" t="s">
        <v>301</v>
      </c>
      <c r="V4" s="199" t="s">
        <v>302</v>
      </c>
      <c r="W4" s="91" t="s">
        <v>303</v>
      </c>
      <c r="X4" s="200" t="s">
        <v>304</v>
      </c>
      <c r="Y4" s="91" t="s">
        <v>305</v>
      </c>
      <c r="Z4" s="91" t="s">
        <v>306</v>
      </c>
      <c r="AA4" s="242" t="s">
        <v>313</v>
      </c>
      <c r="AB4" s="234" t="s">
        <v>317</v>
      </c>
      <c r="AC4" s="234" t="s">
        <v>491</v>
      </c>
    </row>
    <row r="5" spans="2:30">
      <c r="B5" s="201" t="s">
        <v>307</v>
      </c>
      <c r="C5" s="191" t="s">
        <v>437</v>
      </c>
      <c r="D5" s="191" t="s">
        <v>438</v>
      </c>
      <c r="E5" s="191" t="s">
        <v>439</v>
      </c>
      <c r="F5" s="191" t="s">
        <v>440</v>
      </c>
      <c r="G5" s="202" t="s">
        <v>441</v>
      </c>
      <c r="H5" s="202" t="s">
        <v>442</v>
      </c>
      <c r="I5" s="202" t="s">
        <v>443</v>
      </c>
      <c r="J5" s="203" t="s">
        <v>444</v>
      </c>
      <c r="K5" s="202" t="s">
        <v>445</v>
      </c>
      <c r="L5" s="202" t="s">
        <v>446</v>
      </c>
      <c r="M5" s="202" t="s">
        <v>447</v>
      </c>
      <c r="N5" s="202" t="s">
        <v>448</v>
      </c>
      <c r="O5" s="202" t="s">
        <v>449</v>
      </c>
      <c r="P5" s="202" t="s">
        <v>450</v>
      </c>
      <c r="Q5" s="202" t="s">
        <v>451</v>
      </c>
      <c r="R5" s="202" t="s">
        <v>452</v>
      </c>
      <c r="S5" s="202" t="s">
        <v>453</v>
      </c>
      <c r="T5" s="202" t="s">
        <v>454</v>
      </c>
      <c r="U5" s="202" t="s">
        <v>455</v>
      </c>
      <c r="V5" s="202" t="s">
        <v>456</v>
      </c>
      <c r="W5" s="202" t="s">
        <v>457</v>
      </c>
      <c r="X5" s="204" t="s">
        <v>458</v>
      </c>
      <c r="Y5" s="202" t="s">
        <v>459</v>
      </c>
      <c r="Z5" s="91" t="s">
        <v>460</v>
      </c>
      <c r="AA5" s="242" t="s">
        <v>436</v>
      </c>
      <c r="AB5" s="249" t="s">
        <v>461</v>
      </c>
      <c r="AC5" s="252" t="s">
        <v>458</v>
      </c>
    </row>
    <row r="6" spans="2:30">
      <c r="B6" s="80" t="s">
        <v>308</v>
      </c>
      <c r="C6" s="2">
        <v>485</v>
      </c>
      <c r="D6" s="2">
        <v>860</v>
      </c>
      <c r="E6" s="2">
        <v>860</v>
      </c>
      <c r="F6" s="2">
        <v>485</v>
      </c>
      <c r="G6" s="2">
        <v>520</v>
      </c>
      <c r="H6" s="2">
        <v>485</v>
      </c>
      <c r="I6" s="2">
        <v>515</v>
      </c>
      <c r="J6" s="81">
        <v>415</v>
      </c>
      <c r="K6" s="91">
        <v>500</v>
      </c>
      <c r="L6" s="91">
        <v>490</v>
      </c>
      <c r="M6" s="91">
        <v>410</v>
      </c>
      <c r="N6" s="91">
        <v>500</v>
      </c>
      <c r="O6" s="91">
        <v>500</v>
      </c>
      <c r="P6" s="91">
        <v>700</v>
      </c>
      <c r="Q6" s="91">
        <v>670</v>
      </c>
      <c r="R6" s="91">
        <v>360</v>
      </c>
      <c r="S6" s="91">
        <v>500</v>
      </c>
      <c r="T6" s="91">
        <v>440</v>
      </c>
      <c r="U6" s="91">
        <v>460</v>
      </c>
      <c r="V6" s="91">
        <v>700</v>
      </c>
      <c r="W6" s="91">
        <v>900</v>
      </c>
      <c r="X6" s="91">
        <v>510</v>
      </c>
      <c r="Y6" s="91">
        <v>470</v>
      </c>
      <c r="Z6" s="2">
        <v>560</v>
      </c>
      <c r="AA6" s="229" t="s">
        <v>314</v>
      </c>
      <c r="AB6" s="2">
        <v>860</v>
      </c>
      <c r="AC6" s="251">
        <v>510</v>
      </c>
    </row>
    <row r="7" spans="2:30">
      <c r="B7" s="93" t="s">
        <v>309</v>
      </c>
      <c r="C7" s="94">
        <v>170</v>
      </c>
      <c r="D7" s="94">
        <v>720</v>
      </c>
      <c r="E7" s="94">
        <v>245</v>
      </c>
      <c r="F7" s="94">
        <v>250</v>
      </c>
      <c r="G7" s="94">
        <v>220</v>
      </c>
      <c r="H7" s="94">
        <v>170</v>
      </c>
      <c r="I7" s="94">
        <v>205</v>
      </c>
      <c r="J7" s="95">
        <v>240</v>
      </c>
      <c r="K7" s="94">
        <v>195</v>
      </c>
      <c r="L7" s="94">
        <v>190</v>
      </c>
      <c r="M7" s="94">
        <v>265</v>
      </c>
      <c r="N7" s="94">
        <v>210</v>
      </c>
      <c r="O7" s="94">
        <v>210</v>
      </c>
      <c r="P7" s="94">
        <v>450</v>
      </c>
      <c r="Q7" s="94">
        <v>220</v>
      </c>
      <c r="R7" s="94">
        <v>225</v>
      </c>
      <c r="S7" s="94">
        <v>200</v>
      </c>
      <c r="T7" s="94">
        <v>295</v>
      </c>
      <c r="U7" s="94">
        <v>180</v>
      </c>
      <c r="V7" s="94">
        <v>550</v>
      </c>
      <c r="W7" s="94">
        <v>600</v>
      </c>
      <c r="X7" s="94">
        <v>375</v>
      </c>
      <c r="Y7" s="94">
        <v>315</v>
      </c>
      <c r="Z7" s="94">
        <v>340</v>
      </c>
      <c r="AA7" s="94">
        <v>205</v>
      </c>
      <c r="AB7" s="94">
        <v>730</v>
      </c>
      <c r="AC7" s="94">
        <v>375</v>
      </c>
    </row>
    <row r="8" spans="2:30" ht="13.5" thickBot="1">
      <c r="B8" s="205" t="s">
        <v>310</v>
      </c>
      <c r="C8" s="193">
        <f>INDEX(Table2__2[#All],MATCH($C$1,$B$9:$B$521,0),MATCH(Table10[[#Headers],[A182 GR F304L]],Table2__2[#Headers],0))</f>
        <v>166</v>
      </c>
      <c r="D8" s="193">
        <f>INDEX(Table2__2[#All],MATCH($C$1,$B$9:$B$521,0),MATCH(Table10[[#Headers],[A193 B7]],Table2__2[#Headers],0))</f>
        <v>713.6</v>
      </c>
      <c r="E8" s="193">
        <f>INDEX(Table2__2[#All],MATCH($C$1,$B$9:$B$521,0),MATCH(Table10[[#Headers],[A194 2H]],Table2__2[#Headers],0))</f>
        <v>240.1</v>
      </c>
      <c r="F8" s="193">
        <f>INDEX(Table2__2[#All],MATCH($C$1,$B$9:$B$521,0),MATCH(Table10[[#Headers],[A105]],Table2__2[#Headers],0))</f>
        <v>242</v>
      </c>
      <c r="G8" s="193">
        <f>INDEX(Table2__2[#All],MATCH($C$1,$B$9:$B$521,0),MATCH(Table10[[#Headers],[X6CrNiMo17-12-2 - 1.4571]],Table2__2[#Headers],0))</f>
        <v>207</v>
      </c>
      <c r="H8" s="193">
        <f>INDEX(Table2__2[#All],MATCH($C$1,$B$9:$B$521,0),MATCH(Table10[[#Headers],[A312 GR TP304L]],Table2__2[#Headers],0))</f>
        <v>162.30000000000001</v>
      </c>
      <c r="I8" s="193">
        <f>INDEX(Table2__2[#All],MATCH($C$1,$B$9:$B$521,0),MATCH(Table10[[#Headers],[A213 TP 316]],Table2__2[#Headers],0))</f>
        <v>194.9</v>
      </c>
      <c r="J8" s="193">
        <f>INDEX(Table2__2[#All],MATCH($C$1,$B$9:$B$521,0),MATCH(Table10[[#Headers],[A106]],Table2__2[#Headers],0))</f>
        <v>235.4</v>
      </c>
      <c r="K8" s="193">
        <f>INDEX(Table2__2[#All],MATCH($C$1,$B$9:$B$521,0),MATCH(Table10[[#Headers],[X5CrNi18-10 / 1.4301]],Table2__2[#Headers],0))</f>
        <v>180</v>
      </c>
      <c r="L8" s="193">
        <f>INDEX(Table2__2[#All],MATCH($C$1,$B$9:$B$521,0),MATCH(Table10[[#Headers],[X2CrNiMo17-12-2 / 1.4404]],Table2__2[#Headers],0))</f>
        <v>182</v>
      </c>
      <c r="M8" s="193">
        <f>INDEX(Table2__2[#All],MATCH($C$1,$B$9:$B$521,0),MATCH(Table10[[#Headers],[P265GH / 1.0425]],Table2__2[#Headers],0))</f>
        <v>250</v>
      </c>
      <c r="N8" s="193">
        <f>INDEX(Table2__2[#All],MATCH($C$1,$B$9:$B$521,0),MATCH(Table10[[#Headers],[A2-50]],Table2__2[#Headers],0))</f>
        <v>205</v>
      </c>
      <c r="O8" s="193">
        <f>INDEX(Table2__2[#All],MATCH($C$1,$B$9:$B$521,0),MATCH(Table10[[#Headers],[A4-50]],Table2__2[#Headers],0))</f>
        <v>205</v>
      </c>
      <c r="P8" s="193">
        <f>INDEX(Table2__2[#All],MATCH($C$1,$B$9:$B$521,0),MATCH(Table10[[#Headers],[A2-70]],Table2__2[#Headers],0))</f>
        <v>0</v>
      </c>
      <c r="Q8" s="193">
        <f>INDEX(Table2__2[#All],MATCH($C$1,$B$9:$B$521,0),MATCH(Table10[[#Headers],[X2CrNi18-9 / 1.4307]],Table2__2[#Headers],0))</f>
        <v>165</v>
      </c>
      <c r="R8" s="193">
        <f>INDEX(Table2__2[#All],MATCH($C$1,$B$9:$B$521,0),MATCH(Table10[[#Headers],[P235GH / 1.0345]],Table2__2[#Headers],0))</f>
        <v>209</v>
      </c>
      <c r="S8" s="193">
        <f>INDEX(Table2__2[#All],MATCH($C$1,$B$9:$B$521,0),MATCH(Table10[[#Headers],[X6CrNiTi8-10 / 1.4541]],Table2__2[#Headers],0))</f>
        <v>190</v>
      </c>
      <c r="T8" s="193">
        <f>INDEX(Table2__2[#All],MATCH($C$1,$B$9:$B$521,0),MATCH(Table10[[#Headers],[13CrMo4-5 / 1.7335]],Table2__2[#Headers],0))</f>
        <v>275</v>
      </c>
      <c r="U8" s="193">
        <f>INDEX(Table2__2[#All],MATCH($C$1,$B$9:$B$521,0),MATCH(Table10[[#Headers],[X2CrNi19-11 / 1.4306]],Table2__2[#Headers],0))</f>
        <v>165</v>
      </c>
      <c r="V8" s="193">
        <f>INDEX(Table2__2[#All],MATCH($C$1,$B$9:$B$521,0),MATCH(Table10[[#Headers],[21CrMoV5-7 / 1.7709]],Table2__2[#Headers],0))</f>
        <v>542</v>
      </c>
      <c r="W8" s="193">
        <f>INDEX(Table2__2[#All],MATCH($C$1,$B$9:$B$521,0),MATCH(Table10[[#Headers],[X6NiCrTiMoVB25-15-2 / 1.4980]],Table2__2[#Headers],0))</f>
        <v>592</v>
      </c>
      <c r="X8" s="193">
        <f>INDEX(Table2__2[#All],MATCH($C$1,$B$9:$B$521,0),MATCH(Table10[[#Headers],[P420QH / 1.8936]],Table2__2[#Headers],0))</f>
        <v>334</v>
      </c>
      <c r="Y8" s="193">
        <f>INDEX(Table2__2[#All],MATCH($C$1,$B$9:$B$521,0),MATCH(Table10[[#Headers],[P355QH1 / 1.0571]],Table2__2[#Headers],0))</f>
        <v>285</v>
      </c>
      <c r="Z8" s="193">
        <f>INDEX(Table2__2[#All],MATCH($C$1,$B$9:$B$521,0),MATCH(Table10[[#Headers],[ C45E / 1.1191]],Table2__2[#Headers],0))</f>
        <v>330</v>
      </c>
      <c r="AA8" s="224">
        <f>INDEX(Table2__2[#All],MATCH($C$1,$B$9:$B$521,0),MATCH(Table10[[#Headers],[1.4401]],Table2__2[#Headers],0))</f>
        <v>192.00000000000114</v>
      </c>
      <c r="AB8" s="233">
        <f>INDEX(Table2__2[#All],MATCH($C$1,$B$9:$B$521,0),MATCH(Table10[[#Headers],[1.7225]],Table2__2[#Headers],0))</f>
        <v>720</v>
      </c>
      <c r="AC8" s="250">
        <f>INDEX(Table2__2[#All],MATCH($C$1,$B$9:$B$521,0),MATCH(Table10[[#Headers],[1.8936]],Table2__2[#Headers],0))</f>
        <v>363</v>
      </c>
      <c r="AD8" s="250"/>
    </row>
    <row r="9" spans="2:30">
      <c r="B9" s="98" t="s">
        <v>311</v>
      </c>
      <c r="C9" s="98" t="s">
        <v>283</v>
      </c>
      <c r="D9" s="98" t="s">
        <v>284</v>
      </c>
      <c r="E9" s="98" t="s">
        <v>285</v>
      </c>
      <c r="F9" s="98" t="s">
        <v>286</v>
      </c>
      <c r="G9" s="98" t="s">
        <v>287</v>
      </c>
      <c r="H9" s="98" t="s">
        <v>288</v>
      </c>
      <c r="I9" s="98" t="s">
        <v>289</v>
      </c>
      <c r="J9" s="206" t="s">
        <v>290</v>
      </c>
      <c r="K9" s="98" t="s">
        <v>291</v>
      </c>
      <c r="L9" s="98" t="s">
        <v>292</v>
      </c>
      <c r="M9" s="98" t="s">
        <v>293</v>
      </c>
      <c r="N9" s="91" t="s">
        <v>294</v>
      </c>
      <c r="O9" s="91" t="s">
        <v>295</v>
      </c>
      <c r="P9" s="98" t="s">
        <v>296</v>
      </c>
      <c r="Q9" s="98" t="s">
        <v>297</v>
      </c>
      <c r="R9" s="98" t="s">
        <v>298</v>
      </c>
      <c r="S9" s="98" t="s">
        <v>299</v>
      </c>
      <c r="T9" s="98" t="s">
        <v>300</v>
      </c>
      <c r="U9" s="91" t="s">
        <v>301</v>
      </c>
      <c r="V9" s="91" t="s">
        <v>302</v>
      </c>
      <c r="W9" s="98" t="s">
        <v>303</v>
      </c>
      <c r="X9" s="200" t="s">
        <v>304</v>
      </c>
      <c r="Y9" s="207" t="s">
        <v>305</v>
      </c>
      <c r="Z9" s="91" t="s">
        <v>306</v>
      </c>
      <c r="AA9" s="244" t="s">
        <v>313</v>
      </c>
      <c r="AB9" s="235" t="s">
        <v>317</v>
      </c>
      <c r="AC9" s="235" t="s">
        <v>491</v>
      </c>
    </row>
    <row r="10" spans="2:30">
      <c r="B10" s="98">
        <v>40</v>
      </c>
      <c r="C10" s="98">
        <v>172</v>
      </c>
      <c r="D10" s="98">
        <v>724</v>
      </c>
      <c r="E10" s="98">
        <v>245</v>
      </c>
      <c r="F10" s="98">
        <v>248</v>
      </c>
      <c r="G10" s="98">
        <v>211.7</v>
      </c>
      <c r="H10" s="98">
        <v>165.7</v>
      </c>
      <c r="I10" s="98">
        <v>198.6</v>
      </c>
      <c r="J10" s="98">
        <v>241</v>
      </c>
      <c r="K10" s="208">
        <v>185</v>
      </c>
      <c r="L10" s="208">
        <v>185.40000000000003</v>
      </c>
      <c r="M10" s="208">
        <v>254.7999999999999</v>
      </c>
      <c r="N10" s="98"/>
      <c r="O10" s="98"/>
      <c r="P10" s="98"/>
      <c r="Q10" s="208">
        <v>169.00000000000006</v>
      </c>
      <c r="R10" s="98">
        <v>211.2</v>
      </c>
      <c r="S10" s="98">
        <v>192.8</v>
      </c>
      <c r="T10" s="98">
        <v>277.20000000000027</v>
      </c>
      <c r="U10" s="98">
        <v>169.00000000000006</v>
      </c>
      <c r="V10" s="98">
        <v>544.40000000000009</v>
      </c>
      <c r="W10" s="98">
        <v>594.40000000000009</v>
      </c>
      <c r="X10" s="98"/>
      <c r="Y10" s="98"/>
      <c r="Z10" s="98"/>
      <c r="AA10" s="230">
        <v>195.00000000000125</v>
      </c>
      <c r="AB10" s="230"/>
      <c r="AC10" s="230"/>
    </row>
    <row r="11" spans="2:30">
      <c r="B11" s="98">
        <v>41</v>
      </c>
      <c r="C11" s="98">
        <v>171.4</v>
      </c>
      <c r="D11" s="98">
        <v>723</v>
      </c>
      <c r="E11" s="98">
        <v>244.5</v>
      </c>
      <c r="F11" s="98">
        <v>247.4</v>
      </c>
      <c r="G11" s="98">
        <v>211.2</v>
      </c>
      <c r="H11" s="98">
        <v>165.3</v>
      </c>
      <c r="I11" s="98">
        <v>198.3</v>
      </c>
      <c r="J11" s="98">
        <v>240.4</v>
      </c>
      <c r="K11" s="208">
        <v>184.5</v>
      </c>
      <c r="L11" s="208">
        <v>185.06000000000003</v>
      </c>
      <c r="M11" s="208">
        <v>254.31999999999991</v>
      </c>
      <c r="N11" s="98"/>
      <c r="O11" s="98"/>
      <c r="P11" s="98"/>
      <c r="Q11" s="208">
        <v>168.60000000000005</v>
      </c>
      <c r="R11" s="98">
        <v>210.98</v>
      </c>
      <c r="S11" s="98">
        <v>192.52</v>
      </c>
      <c r="T11" s="98">
        <v>276.98000000000025</v>
      </c>
      <c r="U11" s="98">
        <v>168.60000000000005</v>
      </c>
      <c r="V11" s="98">
        <v>544.16000000000008</v>
      </c>
      <c r="W11" s="98">
        <v>594.16000000000008</v>
      </c>
      <c r="X11" s="98"/>
      <c r="Y11" s="98"/>
      <c r="Z11" s="98"/>
      <c r="AA11" s="230">
        <v>194.70000000000124</v>
      </c>
      <c r="AB11" s="230"/>
      <c r="AC11" s="230"/>
    </row>
    <row r="12" spans="2:30">
      <c r="B12" s="98">
        <v>42</v>
      </c>
      <c r="C12" s="98">
        <v>170.8</v>
      </c>
      <c r="D12" s="98">
        <v>721.9</v>
      </c>
      <c r="E12" s="98">
        <v>244</v>
      </c>
      <c r="F12" s="98">
        <v>246.8</v>
      </c>
      <c r="G12" s="98">
        <v>210.7</v>
      </c>
      <c r="H12" s="98">
        <v>165</v>
      </c>
      <c r="I12" s="98">
        <v>197.9</v>
      </c>
      <c r="J12" s="98">
        <v>239.9</v>
      </c>
      <c r="K12" s="208">
        <v>184</v>
      </c>
      <c r="L12" s="208">
        <v>184.72000000000003</v>
      </c>
      <c r="M12" s="208">
        <v>253.83999999999992</v>
      </c>
      <c r="N12" s="98"/>
      <c r="O12" s="98"/>
      <c r="P12" s="98"/>
      <c r="Q12" s="208">
        <v>168.20000000000005</v>
      </c>
      <c r="R12" s="98">
        <v>210.76</v>
      </c>
      <c r="S12" s="98">
        <v>192.24</v>
      </c>
      <c r="T12" s="98">
        <v>276.76000000000022</v>
      </c>
      <c r="U12" s="98">
        <v>168.20000000000005</v>
      </c>
      <c r="V12" s="98">
        <v>543.92000000000007</v>
      </c>
      <c r="W12" s="98">
        <v>593.92000000000007</v>
      </c>
      <c r="X12" s="98"/>
      <c r="Y12" s="98"/>
      <c r="Z12" s="98"/>
      <c r="AA12" s="230">
        <v>194.40000000000123</v>
      </c>
      <c r="AB12" s="230"/>
      <c r="AC12" s="230"/>
    </row>
    <row r="13" spans="2:30">
      <c r="B13" s="98">
        <v>43</v>
      </c>
      <c r="C13" s="98">
        <v>170.2</v>
      </c>
      <c r="D13" s="98">
        <v>720.9</v>
      </c>
      <c r="E13" s="98">
        <v>243.5</v>
      </c>
      <c r="F13" s="98">
        <v>246.2</v>
      </c>
      <c r="G13" s="98">
        <v>210.3</v>
      </c>
      <c r="H13" s="98">
        <v>164.7</v>
      </c>
      <c r="I13" s="98">
        <v>197.5</v>
      </c>
      <c r="J13" s="98">
        <v>239.3</v>
      </c>
      <c r="K13" s="208">
        <v>183.5</v>
      </c>
      <c r="L13" s="208">
        <v>184.38000000000002</v>
      </c>
      <c r="M13" s="208">
        <v>253.35999999999993</v>
      </c>
      <c r="N13" s="98"/>
      <c r="O13" s="98"/>
      <c r="P13" s="98"/>
      <c r="Q13" s="208">
        <v>167.80000000000004</v>
      </c>
      <c r="R13" s="98">
        <v>210.54</v>
      </c>
      <c r="S13" s="98">
        <v>191.96</v>
      </c>
      <c r="T13" s="98">
        <v>276.54000000000019</v>
      </c>
      <c r="U13" s="98">
        <v>167.80000000000004</v>
      </c>
      <c r="V13" s="98">
        <v>543.68000000000006</v>
      </c>
      <c r="W13" s="98">
        <v>593.68000000000006</v>
      </c>
      <c r="X13" s="98"/>
      <c r="Y13" s="98"/>
      <c r="Z13" s="98"/>
      <c r="AA13" s="230">
        <v>194.10000000000122</v>
      </c>
      <c r="AB13" s="230"/>
      <c r="AC13" s="230"/>
    </row>
    <row r="14" spans="2:30">
      <c r="B14" s="98">
        <v>44</v>
      </c>
      <c r="C14" s="98">
        <v>169.6</v>
      </c>
      <c r="D14" s="98">
        <v>719.8</v>
      </c>
      <c r="E14" s="98">
        <v>243.1</v>
      </c>
      <c r="F14" s="98">
        <v>245.6</v>
      </c>
      <c r="G14" s="98">
        <v>209.8</v>
      </c>
      <c r="H14" s="98">
        <v>164.3</v>
      </c>
      <c r="I14" s="98">
        <v>197.1</v>
      </c>
      <c r="J14" s="98">
        <v>238.8</v>
      </c>
      <c r="K14" s="208">
        <v>183</v>
      </c>
      <c r="L14" s="208">
        <v>184.04000000000002</v>
      </c>
      <c r="M14" s="208">
        <v>252.87999999999994</v>
      </c>
      <c r="N14" s="98"/>
      <c r="O14" s="98"/>
      <c r="P14" s="98"/>
      <c r="Q14" s="208">
        <v>167.40000000000003</v>
      </c>
      <c r="R14" s="98">
        <v>210.32</v>
      </c>
      <c r="S14" s="98">
        <v>191.68</v>
      </c>
      <c r="T14" s="98">
        <v>276.32000000000016</v>
      </c>
      <c r="U14" s="98">
        <v>167.40000000000003</v>
      </c>
      <c r="V14" s="98">
        <v>543.44000000000005</v>
      </c>
      <c r="W14" s="98">
        <v>593.44000000000005</v>
      </c>
      <c r="X14" s="98"/>
      <c r="Y14" s="98"/>
      <c r="Z14" s="98"/>
      <c r="AA14" s="230">
        <v>193.80000000000121</v>
      </c>
      <c r="AB14" s="230"/>
      <c r="AC14" s="230"/>
    </row>
    <row r="15" spans="2:30">
      <c r="B15" s="98">
        <v>45</v>
      </c>
      <c r="C15" s="98">
        <v>169</v>
      </c>
      <c r="D15" s="98">
        <v>718.8</v>
      </c>
      <c r="E15" s="98">
        <v>242.6</v>
      </c>
      <c r="F15" s="98">
        <v>245</v>
      </c>
      <c r="G15" s="98">
        <v>209.3</v>
      </c>
      <c r="H15" s="98">
        <v>164</v>
      </c>
      <c r="I15" s="98">
        <v>196.8</v>
      </c>
      <c r="J15" s="98">
        <v>238.2</v>
      </c>
      <c r="K15" s="208">
        <v>182.5</v>
      </c>
      <c r="L15" s="208">
        <v>183.70000000000002</v>
      </c>
      <c r="M15" s="208">
        <v>252.39999999999995</v>
      </c>
      <c r="N15" s="98"/>
      <c r="O15" s="98"/>
      <c r="P15" s="98"/>
      <c r="Q15" s="208">
        <v>167.00000000000003</v>
      </c>
      <c r="R15" s="98">
        <v>210.1</v>
      </c>
      <c r="S15" s="98">
        <v>191.4</v>
      </c>
      <c r="T15" s="98">
        <v>276.10000000000014</v>
      </c>
      <c r="U15" s="98">
        <v>167.00000000000003</v>
      </c>
      <c r="V15" s="98">
        <v>543.20000000000005</v>
      </c>
      <c r="W15" s="98">
        <v>593.20000000000005</v>
      </c>
      <c r="X15" s="98"/>
      <c r="Y15" s="98"/>
      <c r="Z15" s="98"/>
      <c r="AA15" s="230">
        <v>193.50000000000119</v>
      </c>
      <c r="AB15" s="230"/>
      <c r="AC15" s="230"/>
    </row>
    <row r="16" spans="2:30">
      <c r="B16" s="98">
        <v>46</v>
      </c>
      <c r="C16" s="98">
        <v>168.4</v>
      </c>
      <c r="D16" s="98">
        <v>717.8</v>
      </c>
      <c r="E16" s="98">
        <v>242.1</v>
      </c>
      <c r="F16" s="98">
        <v>244.4</v>
      </c>
      <c r="G16" s="98">
        <v>208.9</v>
      </c>
      <c r="H16" s="98">
        <v>163.69999999999999</v>
      </c>
      <c r="I16" s="98">
        <v>196.4</v>
      </c>
      <c r="J16" s="98">
        <v>237.6</v>
      </c>
      <c r="K16" s="208">
        <v>182</v>
      </c>
      <c r="L16" s="208">
        <v>183.36</v>
      </c>
      <c r="M16" s="208">
        <v>251.91999999999996</v>
      </c>
      <c r="N16" s="98"/>
      <c r="O16" s="98"/>
      <c r="P16" s="98"/>
      <c r="Q16" s="208">
        <v>166.60000000000002</v>
      </c>
      <c r="R16" s="98">
        <v>209.88</v>
      </c>
      <c r="S16" s="98">
        <v>191.12</v>
      </c>
      <c r="T16" s="98">
        <v>275.88000000000011</v>
      </c>
      <c r="U16" s="98">
        <v>166.60000000000002</v>
      </c>
      <c r="V16" s="98">
        <v>542.96</v>
      </c>
      <c r="W16" s="98">
        <v>592.96</v>
      </c>
      <c r="X16" s="98"/>
      <c r="Y16" s="98"/>
      <c r="Z16" s="98"/>
      <c r="AA16" s="230">
        <v>193.20000000000118</v>
      </c>
      <c r="AB16" s="230"/>
      <c r="AC16" s="230"/>
    </row>
    <row r="17" spans="2:29">
      <c r="B17" s="98">
        <v>47</v>
      </c>
      <c r="C17" s="98">
        <v>167.8</v>
      </c>
      <c r="D17" s="98">
        <v>716.7</v>
      </c>
      <c r="E17" s="98">
        <v>241.6</v>
      </c>
      <c r="F17" s="98">
        <v>243.8</v>
      </c>
      <c r="G17" s="98">
        <v>208.4</v>
      </c>
      <c r="H17" s="98">
        <v>163.30000000000001</v>
      </c>
      <c r="I17" s="98">
        <v>196</v>
      </c>
      <c r="J17" s="98">
        <v>237.1</v>
      </c>
      <c r="K17" s="208">
        <v>181.5</v>
      </c>
      <c r="L17" s="208">
        <v>183.02</v>
      </c>
      <c r="M17" s="208">
        <v>251.43999999999997</v>
      </c>
      <c r="N17" s="98"/>
      <c r="O17" s="98"/>
      <c r="P17" s="98"/>
      <c r="Q17" s="208">
        <v>166.20000000000002</v>
      </c>
      <c r="R17" s="98">
        <v>209.66</v>
      </c>
      <c r="S17" s="98">
        <v>190.84</v>
      </c>
      <c r="T17" s="98">
        <v>275.66000000000008</v>
      </c>
      <c r="U17" s="98">
        <v>166.20000000000002</v>
      </c>
      <c r="V17" s="98">
        <v>542.72</v>
      </c>
      <c r="W17" s="98">
        <v>592.72</v>
      </c>
      <c r="X17" s="98"/>
      <c r="Y17" s="98"/>
      <c r="Z17" s="98"/>
      <c r="AA17" s="230">
        <v>192.90000000000117</v>
      </c>
      <c r="AB17" s="230"/>
      <c r="AC17" s="230"/>
    </row>
    <row r="18" spans="2:29">
      <c r="B18" s="98">
        <v>48</v>
      </c>
      <c r="C18" s="98">
        <v>167.2</v>
      </c>
      <c r="D18" s="98">
        <v>715.7</v>
      </c>
      <c r="E18" s="98">
        <v>241.1</v>
      </c>
      <c r="F18" s="98">
        <v>243.2</v>
      </c>
      <c r="G18" s="98">
        <v>207.9</v>
      </c>
      <c r="H18" s="98">
        <v>163</v>
      </c>
      <c r="I18" s="98">
        <v>195.7</v>
      </c>
      <c r="J18" s="98">
        <v>236.5</v>
      </c>
      <c r="K18" s="208">
        <v>181</v>
      </c>
      <c r="L18" s="208">
        <v>182.68</v>
      </c>
      <c r="M18" s="208">
        <v>250.95999999999998</v>
      </c>
      <c r="N18" s="98"/>
      <c r="O18" s="98"/>
      <c r="P18" s="98"/>
      <c r="Q18" s="208">
        <v>165.8</v>
      </c>
      <c r="R18" s="98">
        <v>209.44</v>
      </c>
      <c r="S18" s="98">
        <v>190.56</v>
      </c>
      <c r="T18" s="98">
        <v>275.44000000000005</v>
      </c>
      <c r="U18" s="98">
        <v>165.8</v>
      </c>
      <c r="V18" s="98">
        <v>542.48</v>
      </c>
      <c r="W18" s="98">
        <v>592.48</v>
      </c>
      <c r="X18" s="98"/>
      <c r="Y18" s="98"/>
      <c r="Z18" s="98"/>
      <c r="AA18" s="230">
        <v>192.60000000000116</v>
      </c>
      <c r="AB18" s="230"/>
      <c r="AC18" s="230"/>
    </row>
    <row r="19" spans="2:29">
      <c r="B19" s="98">
        <v>49</v>
      </c>
      <c r="C19" s="98">
        <v>166.6</v>
      </c>
      <c r="D19" s="98">
        <v>714.6</v>
      </c>
      <c r="E19" s="98">
        <v>240.6</v>
      </c>
      <c r="F19" s="98">
        <v>242.6</v>
      </c>
      <c r="G19" s="98">
        <v>207.5</v>
      </c>
      <c r="H19" s="98">
        <v>162.69999999999999</v>
      </c>
      <c r="I19" s="98">
        <v>195.3</v>
      </c>
      <c r="J19" s="98">
        <v>236</v>
      </c>
      <c r="K19" s="208">
        <v>180.5</v>
      </c>
      <c r="L19" s="208">
        <v>182.34</v>
      </c>
      <c r="M19" s="208">
        <v>250.48</v>
      </c>
      <c r="N19" s="98"/>
      <c r="O19" s="98"/>
      <c r="P19" s="98"/>
      <c r="Q19" s="208">
        <v>165.4</v>
      </c>
      <c r="R19" s="98">
        <v>209.22</v>
      </c>
      <c r="S19" s="98">
        <v>190.28</v>
      </c>
      <c r="T19" s="98">
        <v>275.22000000000003</v>
      </c>
      <c r="U19" s="98">
        <v>165.4</v>
      </c>
      <c r="V19" s="98">
        <v>542.24</v>
      </c>
      <c r="W19" s="98">
        <v>592.24</v>
      </c>
      <c r="X19" s="98"/>
      <c r="Y19" s="98"/>
      <c r="Z19" s="98"/>
      <c r="AA19" s="230">
        <v>192.30000000000115</v>
      </c>
      <c r="AB19" s="230"/>
      <c r="AC19" s="230"/>
    </row>
    <row r="20" spans="2:29">
      <c r="B20" s="98">
        <v>50</v>
      </c>
      <c r="C20" s="98">
        <v>166</v>
      </c>
      <c r="D20" s="98">
        <v>713.6</v>
      </c>
      <c r="E20" s="98">
        <v>240.1</v>
      </c>
      <c r="F20" s="98">
        <v>242</v>
      </c>
      <c r="G20" s="98">
        <v>207</v>
      </c>
      <c r="H20" s="98">
        <v>162.30000000000001</v>
      </c>
      <c r="I20" s="98">
        <v>194.9</v>
      </c>
      <c r="J20" s="98">
        <v>235.4</v>
      </c>
      <c r="K20" s="209">
        <v>180</v>
      </c>
      <c r="L20" s="209">
        <v>182</v>
      </c>
      <c r="M20" s="209">
        <v>250</v>
      </c>
      <c r="N20" s="98">
        <v>205</v>
      </c>
      <c r="O20" s="98">
        <v>205</v>
      </c>
      <c r="P20" s="98"/>
      <c r="Q20" s="209">
        <v>165</v>
      </c>
      <c r="R20" s="98">
        <v>209</v>
      </c>
      <c r="S20" s="98">
        <v>190</v>
      </c>
      <c r="T20" s="98">
        <v>275</v>
      </c>
      <c r="U20" s="98">
        <v>165</v>
      </c>
      <c r="V20" s="98">
        <v>542</v>
      </c>
      <c r="W20" s="98">
        <v>592</v>
      </c>
      <c r="X20" s="98">
        <v>334</v>
      </c>
      <c r="Y20" s="98">
        <v>285</v>
      </c>
      <c r="Z20" s="98">
        <v>330</v>
      </c>
      <c r="AA20" s="230">
        <v>192.00000000000114</v>
      </c>
      <c r="AB20" s="230">
        <v>720</v>
      </c>
      <c r="AC20" s="230">
        <v>363</v>
      </c>
    </row>
    <row r="21" spans="2:29">
      <c r="B21" s="98">
        <v>51</v>
      </c>
      <c r="C21" s="98">
        <v>165.4</v>
      </c>
      <c r="D21" s="98">
        <v>712.6</v>
      </c>
      <c r="E21" s="98">
        <v>239.7</v>
      </c>
      <c r="F21" s="98">
        <v>241.4</v>
      </c>
      <c r="G21" s="98">
        <v>206.5</v>
      </c>
      <c r="H21" s="98">
        <v>162</v>
      </c>
      <c r="I21" s="98">
        <v>194.6</v>
      </c>
      <c r="J21" s="98">
        <v>234.8</v>
      </c>
      <c r="K21" s="208">
        <v>179.5</v>
      </c>
      <c r="L21" s="208">
        <v>181.66</v>
      </c>
      <c r="M21" s="208">
        <v>249.52</v>
      </c>
      <c r="N21" s="98"/>
      <c r="O21" s="98"/>
      <c r="P21" s="98"/>
      <c r="Q21" s="208">
        <v>164.6</v>
      </c>
      <c r="R21" s="98">
        <v>208.78</v>
      </c>
      <c r="S21" s="98">
        <v>189.72</v>
      </c>
      <c r="T21" s="98">
        <v>274.77999999999997</v>
      </c>
      <c r="U21" s="98">
        <v>164.6</v>
      </c>
      <c r="V21" s="98">
        <v>541.76</v>
      </c>
      <c r="W21" s="98">
        <v>591.76</v>
      </c>
      <c r="X21" s="98"/>
      <c r="Y21" s="98"/>
      <c r="Z21" s="98"/>
      <c r="AA21" s="230">
        <v>191.70000000000113</v>
      </c>
      <c r="AB21" s="230">
        <v>719.64</v>
      </c>
      <c r="AC21" s="230">
        <v>362.56</v>
      </c>
    </row>
    <row r="22" spans="2:29">
      <c r="B22" s="98">
        <v>52</v>
      </c>
      <c r="C22" s="98">
        <v>164.8</v>
      </c>
      <c r="D22" s="98">
        <v>711.5</v>
      </c>
      <c r="E22" s="98">
        <v>239.2</v>
      </c>
      <c r="F22" s="98">
        <v>240.8</v>
      </c>
      <c r="G22" s="98">
        <v>206.1</v>
      </c>
      <c r="H22" s="98">
        <v>161.69999999999999</v>
      </c>
      <c r="I22" s="98">
        <v>194.2</v>
      </c>
      <c r="J22" s="98">
        <v>234.3</v>
      </c>
      <c r="K22" s="209">
        <v>179</v>
      </c>
      <c r="L22" s="209">
        <v>181.32</v>
      </c>
      <c r="M22" s="209">
        <v>249.04000000000002</v>
      </c>
      <c r="N22" s="98"/>
      <c r="O22" s="98"/>
      <c r="P22" s="98"/>
      <c r="Q22" s="208">
        <v>164.2</v>
      </c>
      <c r="R22" s="98">
        <v>208.56</v>
      </c>
      <c r="S22" s="98">
        <v>189.44</v>
      </c>
      <c r="T22" s="98">
        <v>274.55999999999995</v>
      </c>
      <c r="U22" s="98">
        <v>164.2</v>
      </c>
      <c r="V22" s="98">
        <v>541.52</v>
      </c>
      <c r="W22" s="98">
        <v>591.52</v>
      </c>
      <c r="X22" s="98"/>
      <c r="Y22" s="98"/>
      <c r="Z22" s="98"/>
      <c r="AA22" s="230">
        <v>191.40000000000111</v>
      </c>
      <c r="AB22" s="230">
        <v>719.28</v>
      </c>
      <c r="AC22" s="230">
        <v>362.12</v>
      </c>
    </row>
    <row r="23" spans="2:29">
      <c r="B23" s="98">
        <v>53</v>
      </c>
      <c r="C23" s="98">
        <v>164.2</v>
      </c>
      <c r="D23" s="98">
        <v>710.5</v>
      </c>
      <c r="E23" s="98">
        <v>238.7</v>
      </c>
      <c r="F23" s="98">
        <v>240.2</v>
      </c>
      <c r="G23" s="98">
        <v>205.6</v>
      </c>
      <c r="H23" s="98">
        <v>161.30000000000001</v>
      </c>
      <c r="I23" s="98">
        <v>193.8</v>
      </c>
      <c r="J23" s="98">
        <v>233.7</v>
      </c>
      <c r="K23" s="208">
        <v>178.5</v>
      </c>
      <c r="L23" s="208">
        <v>180.98</v>
      </c>
      <c r="M23" s="208">
        <v>248.56000000000003</v>
      </c>
      <c r="N23" s="98"/>
      <c r="O23" s="98"/>
      <c r="P23" s="98"/>
      <c r="Q23" s="208">
        <v>163.79999999999998</v>
      </c>
      <c r="R23" s="98">
        <v>208.34</v>
      </c>
      <c r="S23" s="98">
        <v>189.16</v>
      </c>
      <c r="T23" s="98">
        <v>274.33999999999992</v>
      </c>
      <c r="U23" s="98">
        <v>163.79999999999998</v>
      </c>
      <c r="V23" s="98">
        <v>541.28</v>
      </c>
      <c r="W23" s="98">
        <v>591.28</v>
      </c>
      <c r="X23" s="98"/>
      <c r="Y23" s="98"/>
      <c r="Z23" s="98"/>
      <c r="AA23" s="230">
        <v>191.1000000000011</v>
      </c>
      <c r="AB23" s="230">
        <v>718.92</v>
      </c>
      <c r="AC23" s="230">
        <v>361.68</v>
      </c>
    </row>
    <row r="24" spans="2:29">
      <c r="B24" s="98">
        <v>54</v>
      </c>
      <c r="C24" s="98">
        <v>163.6</v>
      </c>
      <c r="D24" s="98">
        <v>709.4</v>
      </c>
      <c r="E24" s="98">
        <v>238.2</v>
      </c>
      <c r="F24" s="98">
        <v>239.6</v>
      </c>
      <c r="G24" s="98">
        <v>205.1</v>
      </c>
      <c r="H24" s="98">
        <v>161</v>
      </c>
      <c r="I24" s="98">
        <v>193.4</v>
      </c>
      <c r="J24" s="98">
        <v>233.2</v>
      </c>
      <c r="K24" s="209">
        <v>178</v>
      </c>
      <c r="L24" s="209">
        <v>180.64</v>
      </c>
      <c r="M24" s="209">
        <v>248.08000000000004</v>
      </c>
      <c r="N24" s="98"/>
      <c r="O24" s="98"/>
      <c r="P24" s="98"/>
      <c r="Q24" s="208">
        <v>163.39999999999998</v>
      </c>
      <c r="R24" s="98">
        <v>208.12</v>
      </c>
      <c r="S24" s="98">
        <v>188.88</v>
      </c>
      <c r="T24" s="98">
        <v>274.11999999999989</v>
      </c>
      <c r="U24" s="98">
        <v>163.39999999999998</v>
      </c>
      <c r="V24" s="98">
        <v>541.04</v>
      </c>
      <c r="W24" s="98">
        <v>591.04</v>
      </c>
      <c r="X24" s="98"/>
      <c r="Y24" s="98"/>
      <c r="Z24" s="98"/>
      <c r="AA24" s="230">
        <v>190.80000000000109</v>
      </c>
      <c r="AB24" s="230">
        <v>718.56</v>
      </c>
      <c r="AC24" s="230">
        <v>361.24</v>
      </c>
    </row>
    <row r="25" spans="2:29">
      <c r="B25" s="98">
        <v>55</v>
      </c>
      <c r="C25" s="98">
        <v>163</v>
      </c>
      <c r="D25" s="98">
        <v>708.4</v>
      </c>
      <c r="E25" s="98">
        <v>237.7</v>
      </c>
      <c r="F25" s="98">
        <v>239</v>
      </c>
      <c r="G25" s="98">
        <v>204.7</v>
      </c>
      <c r="H25" s="98">
        <v>160.69999999999999</v>
      </c>
      <c r="I25" s="98">
        <v>193.1</v>
      </c>
      <c r="J25" s="98">
        <v>232.6</v>
      </c>
      <c r="K25" s="208">
        <v>177.5</v>
      </c>
      <c r="L25" s="208">
        <v>180.29999999999998</v>
      </c>
      <c r="M25" s="208">
        <v>247.60000000000005</v>
      </c>
      <c r="N25" s="98"/>
      <c r="O25" s="98"/>
      <c r="P25" s="98"/>
      <c r="Q25" s="208">
        <v>162.99999999999997</v>
      </c>
      <c r="R25" s="98">
        <v>207.9</v>
      </c>
      <c r="S25" s="98">
        <v>188.6</v>
      </c>
      <c r="T25" s="98">
        <v>273.89999999999986</v>
      </c>
      <c r="U25" s="98">
        <v>162.99999999999997</v>
      </c>
      <c r="V25" s="98">
        <v>540.79999999999995</v>
      </c>
      <c r="W25" s="98">
        <v>590.79999999999995</v>
      </c>
      <c r="X25" s="98"/>
      <c r="Y25" s="98"/>
      <c r="Z25" s="98"/>
      <c r="AA25" s="230">
        <v>190.50000000000108</v>
      </c>
      <c r="AB25" s="230">
        <v>718.19999999999993</v>
      </c>
      <c r="AC25" s="230">
        <v>360.8</v>
      </c>
    </row>
    <row r="26" spans="2:29">
      <c r="B26" s="98">
        <v>56</v>
      </c>
      <c r="C26" s="98">
        <v>162.4</v>
      </c>
      <c r="D26" s="98">
        <v>707.4</v>
      </c>
      <c r="E26" s="98">
        <v>237.2</v>
      </c>
      <c r="F26" s="98">
        <v>238.4</v>
      </c>
      <c r="G26" s="98">
        <v>204.2</v>
      </c>
      <c r="H26" s="98">
        <v>160.30000000000001</v>
      </c>
      <c r="I26" s="98">
        <v>192.7</v>
      </c>
      <c r="J26" s="98">
        <v>232</v>
      </c>
      <c r="K26" s="209">
        <v>177</v>
      </c>
      <c r="L26" s="209">
        <v>179.95999999999998</v>
      </c>
      <c r="M26" s="209">
        <v>247.12000000000006</v>
      </c>
      <c r="N26" s="98"/>
      <c r="O26" s="98"/>
      <c r="P26" s="98"/>
      <c r="Q26" s="208">
        <v>162.59999999999997</v>
      </c>
      <c r="R26" s="98">
        <v>207.68</v>
      </c>
      <c r="S26" s="98">
        <v>188.32</v>
      </c>
      <c r="T26" s="98">
        <v>273.67999999999984</v>
      </c>
      <c r="U26" s="98">
        <v>162.59999999999997</v>
      </c>
      <c r="V26" s="98">
        <v>540.55999999999995</v>
      </c>
      <c r="W26" s="98">
        <v>590.55999999999995</v>
      </c>
      <c r="X26" s="98"/>
      <c r="Y26" s="98"/>
      <c r="Z26" s="98"/>
      <c r="AA26" s="230">
        <v>190.20000000000107</v>
      </c>
      <c r="AB26" s="230">
        <v>717.83999999999992</v>
      </c>
      <c r="AC26" s="230">
        <v>360.36</v>
      </c>
    </row>
    <row r="27" spans="2:29">
      <c r="B27" s="98">
        <v>57</v>
      </c>
      <c r="C27" s="98">
        <v>161.80000000000001</v>
      </c>
      <c r="D27" s="98">
        <v>706.3</v>
      </c>
      <c r="E27" s="98">
        <v>236.7</v>
      </c>
      <c r="F27" s="98">
        <v>237.8</v>
      </c>
      <c r="G27" s="98">
        <v>203.7</v>
      </c>
      <c r="H27" s="98">
        <v>160</v>
      </c>
      <c r="I27" s="98">
        <v>192.3</v>
      </c>
      <c r="J27" s="98">
        <v>231.5</v>
      </c>
      <c r="K27" s="208">
        <v>176.5</v>
      </c>
      <c r="L27" s="208">
        <v>179.61999999999998</v>
      </c>
      <c r="M27" s="208">
        <v>246.64000000000007</v>
      </c>
      <c r="N27" s="98"/>
      <c r="O27" s="98"/>
      <c r="P27" s="98"/>
      <c r="Q27" s="208">
        <v>162.19999999999996</v>
      </c>
      <c r="R27" s="98">
        <v>207.46</v>
      </c>
      <c r="S27" s="98">
        <v>188.04</v>
      </c>
      <c r="T27" s="98">
        <v>273.45999999999981</v>
      </c>
      <c r="U27" s="98">
        <v>162.19999999999996</v>
      </c>
      <c r="V27" s="98">
        <v>540.31999999999994</v>
      </c>
      <c r="W27" s="98">
        <v>590.31999999999994</v>
      </c>
      <c r="X27" s="98"/>
      <c r="Y27" s="98"/>
      <c r="Z27" s="98"/>
      <c r="AA27" s="230">
        <v>189.90000000000106</v>
      </c>
      <c r="AB27" s="230">
        <v>717.4799999999999</v>
      </c>
      <c r="AC27" s="230">
        <v>359.92</v>
      </c>
    </row>
    <row r="28" spans="2:29">
      <c r="B28" s="98">
        <v>58</v>
      </c>
      <c r="C28" s="98">
        <v>161.19999999999999</v>
      </c>
      <c r="D28" s="98">
        <v>705.3</v>
      </c>
      <c r="E28" s="98">
        <v>236.3</v>
      </c>
      <c r="F28" s="98">
        <v>237.2</v>
      </c>
      <c r="G28" s="98">
        <v>203.3</v>
      </c>
      <c r="H28" s="98">
        <v>159.69999999999999</v>
      </c>
      <c r="I28" s="98">
        <v>192</v>
      </c>
      <c r="J28" s="98">
        <v>230.9</v>
      </c>
      <c r="K28" s="209">
        <v>176</v>
      </c>
      <c r="L28" s="209">
        <v>179.27999999999997</v>
      </c>
      <c r="M28" s="209">
        <v>246.16000000000008</v>
      </c>
      <c r="N28" s="98"/>
      <c r="O28" s="98"/>
      <c r="P28" s="98"/>
      <c r="Q28" s="208">
        <v>161.79999999999995</v>
      </c>
      <c r="R28" s="98">
        <v>207.24</v>
      </c>
      <c r="S28" s="98">
        <v>187.76</v>
      </c>
      <c r="T28" s="98">
        <v>273.23999999999978</v>
      </c>
      <c r="U28" s="98">
        <v>161.79999999999995</v>
      </c>
      <c r="V28" s="98">
        <v>540.07999999999993</v>
      </c>
      <c r="W28" s="98">
        <v>590.07999999999993</v>
      </c>
      <c r="X28" s="98"/>
      <c r="Y28" s="98"/>
      <c r="Z28" s="98"/>
      <c r="AA28" s="230">
        <v>189.60000000000105</v>
      </c>
      <c r="AB28" s="230">
        <v>717.11999999999989</v>
      </c>
      <c r="AC28" s="230">
        <v>359.48</v>
      </c>
    </row>
    <row r="29" spans="2:29">
      <c r="B29" s="98">
        <v>59</v>
      </c>
      <c r="C29" s="98">
        <v>160.6</v>
      </c>
      <c r="D29" s="98">
        <v>704.2</v>
      </c>
      <c r="E29" s="98">
        <v>235.8</v>
      </c>
      <c r="F29" s="98">
        <v>236.6</v>
      </c>
      <c r="G29" s="98">
        <v>202.8</v>
      </c>
      <c r="H29" s="98">
        <v>159.30000000000001</v>
      </c>
      <c r="I29" s="98">
        <v>191.6</v>
      </c>
      <c r="J29" s="98">
        <v>230.4</v>
      </c>
      <c r="K29" s="208">
        <v>175.5</v>
      </c>
      <c r="L29" s="208">
        <v>178.93999999999997</v>
      </c>
      <c r="M29" s="208">
        <v>245.68000000000009</v>
      </c>
      <c r="N29" s="98"/>
      <c r="O29" s="98"/>
      <c r="P29" s="98"/>
      <c r="Q29" s="208">
        <v>161.39999999999995</v>
      </c>
      <c r="R29" s="98">
        <v>207.02</v>
      </c>
      <c r="S29" s="98">
        <v>187.48</v>
      </c>
      <c r="T29" s="98">
        <v>273.01999999999975</v>
      </c>
      <c r="U29" s="98">
        <v>161.39999999999995</v>
      </c>
      <c r="V29" s="98">
        <v>539.83999999999992</v>
      </c>
      <c r="W29" s="98">
        <v>589.83999999999992</v>
      </c>
      <c r="X29" s="98"/>
      <c r="Y29" s="98"/>
      <c r="Z29" s="98"/>
      <c r="AA29" s="230">
        <v>189.30000000000103</v>
      </c>
      <c r="AB29" s="230">
        <v>716.75999999999988</v>
      </c>
      <c r="AC29" s="230">
        <v>359.04</v>
      </c>
    </row>
    <row r="30" spans="2:29">
      <c r="B30" s="98">
        <v>60</v>
      </c>
      <c r="C30" s="98">
        <v>160</v>
      </c>
      <c r="D30" s="98">
        <v>703.2</v>
      </c>
      <c r="E30" s="98">
        <v>235.3</v>
      </c>
      <c r="F30" s="98">
        <v>236</v>
      </c>
      <c r="G30" s="98">
        <v>202.3</v>
      </c>
      <c r="H30" s="98">
        <v>159</v>
      </c>
      <c r="I30" s="98">
        <v>191.2</v>
      </c>
      <c r="J30" s="98">
        <v>229.8</v>
      </c>
      <c r="K30" s="209">
        <v>175</v>
      </c>
      <c r="L30" s="209">
        <v>178.59999999999997</v>
      </c>
      <c r="M30" s="209">
        <v>245.2000000000001</v>
      </c>
      <c r="N30" s="98"/>
      <c r="O30" s="98"/>
      <c r="P30" s="98"/>
      <c r="Q30" s="208">
        <v>160.99999999999994</v>
      </c>
      <c r="R30" s="98">
        <v>206.8</v>
      </c>
      <c r="S30" s="98">
        <v>187.2</v>
      </c>
      <c r="T30" s="98">
        <v>272.79999999999973</v>
      </c>
      <c r="U30" s="98">
        <v>160.99999999999994</v>
      </c>
      <c r="V30" s="98">
        <v>539.59999999999991</v>
      </c>
      <c r="W30" s="98">
        <v>589.59999999999991</v>
      </c>
      <c r="X30" s="98"/>
      <c r="Y30" s="98"/>
      <c r="Z30" s="98"/>
      <c r="AA30" s="230">
        <v>189.00000000000102</v>
      </c>
      <c r="AB30" s="230">
        <v>716.39999999999986</v>
      </c>
      <c r="AC30" s="230">
        <v>358.6</v>
      </c>
    </row>
    <row r="31" spans="2:29">
      <c r="B31" s="98">
        <v>61</v>
      </c>
      <c r="C31" s="98">
        <v>159.4</v>
      </c>
      <c r="D31" s="98">
        <v>702.2</v>
      </c>
      <c r="E31" s="98">
        <v>234.8</v>
      </c>
      <c r="F31" s="98">
        <v>235.4</v>
      </c>
      <c r="G31" s="98">
        <v>201.9</v>
      </c>
      <c r="H31" s="98">
        <v>158.69999999999999</v>
      </c>
      <c r="I31" s="98">
        <v>190.9</v>
      </c>
      <c r="J31" s="98">
        <v>229.2</v>
      </c>
      <c r="K31" s="208">
        <v>174.5</v>
      </c>
      <c r="L31" s="208">
        <v>178.25999999999996</v>
      </c>
      <c r="M31" s="208">
        <v>244.72000000000011</v>
      </c>
      <c r="N31" s="98"/>
      <c r="O31" s="98"/>
      <c r="P31" s="98"/>
      <c r="Q31" s="208">
        <v>160.59999999999994</v>
      </c>
      <c r="R31" s="98">
        <v>206.58</v>
      </c>
      <c r="S31" s="98">
        <v>186.92</v>
      </c>
      <c r="T31" s="98">
        <v>272.5799999999997</v>
      </c>
      <c r="U31" s="98">
        <v>160.59999999999994</v>
      </c>
      <c r="V31" s="98">
        <v>539.3599999999999</v>
      </c>
      <c r="W31" s="98">
        <v>589.3599999999999</v>
      </c>
      <c r="X31" s="98"/>
      <c r="Y31" s="98"/>
      <c r="Z31" s="98"/>
      <c r="AA31" s="230">
        <v>188.70000000000101</v>
      </c>
      <c r="AB31" s="230">
        <v>716.03999999999985</v>
      </c>
      <c r="AC31" s="230">
        <v>358.16</v>
      </c>
    </row>
    <row r="32" spans="2:29">
      <c r="B32" s="98">
        <v>62</v>
      </c>
      <c r="C32" s="98">
        <v>158.80000000000001</v>
      </c>
      <c r="D32" s="98">
        <v>701.1</v>
      </c>
      <c r="E32" s="98">
        <v>234.3</v>
      </c>
      <c r="F32" s="98">
        <v>234.8</v>
      </c>
      <c r="G32" s="98">
        <v>201.4</v>
      </c>
      <c r="H32" s="98">
        <v>158.30000000000001</v>
      </c>
      <c r="I32" s="98">
        <v>190.5</v>
      </c>
      <c r="J32" s="98">
        <v>228.7</v>
      </c>
      <c r="K32" s="209">
        <v>174</v>
      </c>
      <c r="L32" s="209">
        <v>177.91999999999996</v>
      </c>
      <c r="M32" s="209">
        <v>244.24000000000012</v>
      </c>
      <c r="N32" s="98"/>
      <c r="O32" s="98"/>
      <c r="P32" s="98"/>
      <c r="Q32" s="208">
        <v>160.19999999999993</v>
      </c>
      <c r="R32" s="98">
        <v>206.36</v>
      </c>
      <c r="S32" s="98">
        <v>186.64</v>
      </c>
      <c r="T32" s="98">
        <v>272.35999999999967</v>
      </c>
      <c r="U32" s="98">
        <v>160.19999999999993</v>
      </c>
      <c r="V32" s="98">
        <v>539.11999999999989</v>
      </c>
      <c r="W32" s="98">
        <v>589.11999999999989</v>
      </c>
      <c r="X32" s="98"/>
      <c r="Y32" s="98"/>
      <c r="Z32" s="98"/>
      <c r="AA32" s="230">
        <v>188.400000000001</v>
      </c>
      <c r="AB32" s="230">
        <v>715.67999999999984</v>
      </c>
      <c r="AC32" s="230">
        <v>357.72</v>
      </c>
    </row>
    <row r="33" spans="2:29">
      <c r="B33" s="98">
        <v>63</v>
      </c>
      <c r="C33" s="98">
        <v>158.19999999999999</v>
      </c>
      <c r="D33" s="98">
        <v>700.1</v>
      </c>
      <c r="E33" s="98">
        <v>233.8</v>
      </c>
      <c r="F33" s="98">
        <v>234.2</v>
      </c>
      <c r="G33" s="98">
        <v>200.9</v>
      </c>
      <c r="H33" s="98">
        <v>158</v>
      </c>
      <c r="I33" s="98">
        <v>190.1</v>
      </c>
      <c r="J33" s="98">
        <v>228.1</v>
      </c>
      <c r="K33" s="208">
        <v>173.5</v>
      </c>
      <c r="L33" s="208">
        <v>177.57999999999996</v>
      </c>
      <c r="M33" s="208">
        <v>243.76000000000013</v>
      </c>
      <c r="N33" s="98"/>
      <c r="O33" s="98"/>
      <c r="P33" s="98"/>
      <c r="Q33" s="208">
        <v>159.79999999999993</v>
      </c>
      <c r="R33" s="98">
        <v>206.14000000000001</v>
      </c>
      <c r="S33" s="98">
        <v>186.35999999999999</v>
      </c>
      <c r="T33" s="98">
        <v>272.13999999999965</v>
      </c>
      <c r="U33" s="98">
        <v>159.79999999999993</v>
      </c>
      <c r="V33" s="98">
        <v>538.87999999999988</v>
      </c>
      <c r="W33" s="98">
        <v>588.87999999999988</v>
      </c>
      <c r="X33" s="98"/>
      <c r="Y33" s="98"/>
      <c r="Z33" s="98"/>
      <c r="AA33" s="230">
        <v>188.10000000000099</v>
      </c>
      <c r="AB33" s="230">
        <v>715.31999999999982</v>
      </c>
      <c r="AC33" s="230">
        <v>357.28000000000003</v>
      </c>
    </row>
    <row r="34" spans="2:29">
      <c r="B34" s="98">
        <v>64</v>
      </c>
      <c r="C34" s="98">
        <v>157.6</v>
      </c>
      <c r="D34" s="98">
        <v>699</v>
      </c>
      <c r="E34" s="98">
        <v>233.3</v>
      </c>
      <c r="F34" s="98">
        <v>233.6</v>
      </c>
      <c r="G34" s="98">
        <v>200.5</v>
      </c>
      <c r="H34" s="98">
        <v>157.69999999999999</v>
      </c>
      <c r="I34" s="98">
        <v>189.7</v>
      </c>
      <c r="J34" s="98">
        <v>227.6</v>
      </c>
      <c r="K34" s="209">
        <v>173</v>
      </c>
      <c r="L34" s="209">
        <v>177.23999999999995</v>
      </c>
      <c r="M34" s="209">
        <v>243.28000000000014</v>
      </c>
      <c r="N34" s="98"/>
      <c r="O34" s="98"/>
      <c r="P34" s="98"/>
      <c r="Q34" s="208">
        <v>159.39999999999992</v>
      </c>
      <c r="R34" s="98">
        <v>205.92000000000002</v>
      </c>
      <c r="S34" s="98">
        <v>186.07999999999998</v>
      </c>
      <c r="T34" s="98">
        <v>271.91999999999962</v>
      </c>
      <c r="U34" s="98">
        <v>159.39999999999992</v>
      </c>
      <c r="V34" s="98">
        <v>538.63999999999987</v>
      </c>
      <c r="W34" s="98">
        <v>588.63999999999987</v>
      </c>
      <c r="X34" s="98"/>
      <c r="Y34" s="98"/>
      <c r="Z34" s="98"/>
      <c r="AA34" s="230">
        <v>187.80000000000098</v>
      </c>
      <c r="AB34" s="230">
        <v>714.95999999999981</v>
      </c>
      <c r="AC34" s="230">
        <v>356.84000000000003</v>
      </c>
    </row>
    <row r="35" spans="2:29">
      <c r="B35" s="98">
        <v>65</v>
      </c>
      <c r="C35" s="98">
        <v>157</v>
      </c>
      <c r="D35" s="98">
        <v>698</v>
      </c>
      <c r="E35" s="98">
        <v>232.9</v>
      </c>
      <c r="F35" s="98">
        <v>233</v>
      </c>
      <c r="G35" s="98">
        <v>200</v>
      </c>
      <c r="H35" s="98">
        <v>157.30000000000001</v>
      </c>
      <c r="I35" s="98">
        <v>189.4</v>
      </c>
      <c r="J35" s="98">
        <v>227</v>
      </c>
      <c r="K35" s="208">
        <v>172.5</v>
      </c>
      <c r="L35" s="208">
        <v>176.89999999999995</v>
      </c>
      <c r="M35" s="208">
        <v>242.80000000000015</v>
      </c>
      <c r="N35" s="98"/>
      <c r="O35" s="98"/>
      <c r="P35" s="98"/>
      <c r="Q35" s="208">
        <v>158.99999999999991</v>
      </c>
      <c r="R35" s="98">
        <v>205.70000000000002</v>
      </c>
      <c r="S35" s="98">
        <v>185.79999999999998</v>
      </c>
      <c r="T35" s="98">
        <v>271.69999999999959</v>
      </c>
      <c r="U35" s="98">
        <v>158.99999999999991</v>
      </c>
      <c r="V35" s="98">
        <v>538.39999999999986</v>
      </c>
      <c r="W35" s="98">
        <v>588.39999999999986</v>
      </c>
      <c r="X35" s="98">
        <v>327.8</v>
      </c>
      <c r="Y35" s="98">
        <v>280</v>
      </c>
      <c r="Z35" s="98">
        <v>324.8</v>
      </c>
      <c r="AA35" s="230">
        <v>187.50000000000097</v>
      </c>
      <c r="AB35" s="230">
        <v>714.5999999999998</v>
      </c>
      <c r="AC35" s="230">
        <v>356.40000000000003</v>
      </c>
    </row>
    <row r="36" spans="2:29">
      <c r="B36" s="98">
        <v>66</v>
      </c>
      <c r="C36" s="98">
        <v>156.69999999999999</v>
      </c>
      <c r="D36" s="98">
        <v>697.2</v>
      </c>
      <c r="E36" s="98">
        <v>232.4</v>
      </c>
      <c r="F36" s="98">
        <v>232.8</v>
      </c>
      <c r="G36" s="98">
        <v>199.6</v>
      </c>
      <c r="H36" s="98">
        <v>157</v>
      </c>
      <c r="I36" s="98">
        <v>189</v>
      </c>
      <c r="J36" s="98">
        <v>226.8</v>
      </c>
      <c r="K36" s="209">
        <v>172</v>
      </c>
      <c r="L36" s="209">
        <v>176.55999999999995</v>
      </c>
      <c r="M36" s="209">
        <v>242.32000000000016</v>
      </c>
      <c r="N36" s="98"/>
      <c r="O36" s="98"/>
      <c r="P36" s="98"/>
      <c r="Q36" s="208">
        <v>158.59999999999991</v>
      </c>
      <c r="R36" s="98">
        <v>205.48000000000002</v>
      </c>
      <c r="S36" s="98">
        <v>185.51999999999998</v>
      </c>
      <c r="T36" s="98">
        <v>271.47999999999956</v>
      </c>
      <c r="U36" s="98">
        <v>158.59999999999991</v>
      </c>
      <c r="V36" s="98">
        <v>538.15999999999985</v>
      </c>
      <c r="W36" s="98">
        <v>588.15999999999985</v>
      </c>
      <c r="X36" s="98"/>
      <c r="Y36" s="98"/>
      <c r="Z36" s="98"/>
      <c r="AA36" s="230">
        <v>187.20000000000095</v>
      </c>
      <c r="AB36" s="230">
        <v>714.23999999999978</v>
      </c>
      <c r="AC36" s="230">
        <v>355.96000000000004</v>
      </c>
    </row>
    <row r="37" spans="2:29">
      <c r="B37" s="98">
        <v>67</v>
      </c>
      <c r="C37" s="98">
        <v>156.4</v>
      </c>
      <c r="D37" s="98">
        <v>696.5</v>
      </c>
      <c r="E37" s="98">
        <v>231.9</v>
      </c>
      <c r="F37" s="98">
        <v>232.7</v>
      </c>
      <c r="G37" s="98">
        <v>199.1</v>
      </c>
      <c r="H37" s="98">
        <v>156.69999999999999</v>
      </c>
      <c r="I37" s="98">
        <v>188.6</v>
      </c>
      <c r="J37" s="98">
        <v>226.6</v>
      </c>
      <c r="K37" s="208">
        <v>171.5</v>
      </c>
      <c r="L37" s="208">
        <v>176.21999999999994</v>
      </c>
      <c r="M37" s="208">
        <v>241.84000000000017</v>
      </c>
      <c r="N37" s="98"/>
      <c r="O37" s="98"/>
      <c r="P37" s="98"/>
      <c r="Q37" s="208">
        <v>158.1999999999999</v>
      </c>
      <c r="R37" s="98">
        <v>205.26000000000002</v>
      </c>
      <c r="S37" s="98">
        <v>185.23999999999998</v>
      </c>
      <c r="T37" s="98">
        <v>271.25999999999954</v>
      </c>
      <c r="U37" s="98">
        <v>158.1999999999999</v>
      </c>
      <c r="V37" s="98">
        <v>537.91999999999985</v>
      </c>
      <c r="W37" s="98">
        <v>587.91999999999985</v>
      </c>
      <c r="X37" s="98"/>
      <c r="Y37" s="98"/>
      <c r="Z37" s="98"/>
      <c r="AA37" s="230">
        <v>186.90000000000094</v>
      </c>
      <c r="AB37" s="230">
        <v>713.87999999999977</v>
      </c>
      <c r="AC37" s="230">
        <v>355.52000000000004</v>
      </c>
    </row>
    <row r="38" spans="2:29">
      <c r="B38" s="98">
        <v>68</v>
      </c>
      <c r="C38" s="98">
        <v>156.1</v>
      </c>
      <c r="D38" s="98">
        <v>695.7</v>
      </c>
      <c r="E38" s="98">
        <v>231.4</v>
      </c>
      <c r="F38" s="98">
        <v>232.5</v>
      </c>
      <c r="G38" s="98">
        <v>198.7</v>
      </c>
      <c r="H38" s="98">
        <v>156.30000000000001</v>
      </c>
      <c r="I38" s="98">
        <v>188.3</v>
      </c>
      <c r="J38" s="98">
        <v>226.4</v>
      </c>
      <c r="K38" s="209">
        <v>171</v>
      </c>
      <c r="L38" s="209">
        <v>175.87999999999994</v>
      </c>
      <c r="M38" s="209">
        <v>241.36000000000018</v>
      </c>
      <c r="N38" s="98"/>
      <c r="O38" s="98"/>
      <c r="P38" s="98"/>
      <c r="Q38" s="208">
        <v>157.7999999999999</v>
      </c>
      <c r="R38" s="98">
        <v>205.04000000000002</v>
      </c>
      <c r="S38" s="98">
        <v>184.95999999999998</v>
      </c>
      <c r="T38" s="98">
        <v>271.03999999999951</v>
      </c>
      <c r="U38" s="98">
        <v>157.7999999999999</v>
      </c>
      <c r="V38" s="98">
        <v>537.67999999999984</v>
      </c>
      <c r="W38" s="98">
        <v>587.67999999999984</v>
      </c>
      <c r="X38" s="98"/>
      <c r="Y38" s="98"/>
      <c r="Z38" s="98"/>
      <c r="AA38" s="230">
        <v>186.60000000000093</v>
      </c>
      <c r="AB38" s="230">
        <v>713.51999999999975</v>
      </c>
      <c r="AC38" s="230">
        <v>355.08000000000004</v>
      </c>
    </row>
    <row r="39" spans="2:29">
      <c r="B39" s="98">
        <v>69</v>
      </c>
      <c r="C39" s="98">
        <v>155.69999999999999</v>
      </c>
      <c r="D39" s="98">
        <v>694.9</v>
      </c>
      <c r="E39" s="98">
        <v>230.9</v>
      </c>
      <c r="F39" s="98">
        <v>232.3</v>
      </c>
      <c r="G39" s="98">
        <v>198.3</v>
      </c>
      <c r="H39" s="98">
        <v>156</v>
      </c>
      <c r="I39" s="98">
        <v>187.9</v>
      </c>
      <c r="J39" s="98">
        <v>226.2</v>
      </c>
      <c r="K39" s="208">
        <v>170.5</v>
      </c>
      <c r="L39" s="208">
        <v>175.53999999999994</v>
      </c>
      <c r="M39" s="208">
        <v>240.88000000000019</v>
      </c>
      <c r="N39" s="98"/>
      <c r="O39" s="98"/>
      <c r="P39" s="98"/>
      <c r="Q39" s="208">
        <v>157.39999999999989</v>
      </c>
      <c r="R39" s="98">
        <v>204.82000000000002</v>
      </c>
      <c r="S39" s="98">
        <v>184.67999999999998</v>
      </c>
      <c r="T39" s="98">
        <v>270.81999999999948</v>
      </c>
      <c r="U39" s="98">
        <v>157.39999999999989</v>
      </c>
      <c r="V39" s="98">
        <v>537.43999999999983</v>
      </c>
      <c r="W39" s="98">
        <v>587.43999999999983</v>
      </c>
      <c r="X39" s="98"/>
      <c r="Y39" s="98"/>
      <c r="Z39" s="98"/>
      <c r="AA39" s="230">
        <v>186.30000000000092</v>
      </c>
      <c r="AB39" s="230">
        <v>713.15999999999974</v>
      </c>
      <c r="AC39" s="230">
        <v>354.64000000000004</v>
      </c>
    </row>
    <row r="40" spans="2:29">
      <c r="B40" s="98">
        <v>70</v>
      </c>
      <c r="C40" s="98">
        <v>155.4</v>
      </c>
      <c r="D40" s="98">
        <v>694.1</v>
      </c>
      <c r="E40" s="98">
        <v>230.4</v>
      </c>
      <c r="F40" s="98">
        <v>232.1</v>
      </c>
      <c r="G40" s="98">
        <v>197.9</v>
      </c>
      <c r="H40" s="98">
        <v>155.69999999999999</v>
      </c>
      <c r="I40" s="98">
        <v>187.5</v>
      </c>
      <c r="J40" s="98">
        <v>226</v>
      </c>
      <c r="K40" s="209">
        <v>170</v>
      </c>
      <c r="L40" s="209">
        <v>175.19999999999993</v>
      </c>
      <c r="M40" s="209">
        <v>240.4000000000002</v>
      </c>
      <c r="N40" s="98">
        <v>199</v>
      </c>
      <c r="O40" s="98">
        <v>199</v>
      </c>
      <c r="P40" s="98"/>
      <c r="Q40" s="208">
        <v>156.99999999999989</v>
      </c>
      <c r="R40" s="98">
        <v>204.60000000000002</v>
      </c>
      <c r="S40" s="98">
        <v>184.39999999999998</v>
      </c>
      <c r="T40" s="98">
        <v>270.59999999999945</v>
      </c>
      <c r="U40" s="98">
        <v>156.99999999999989</v>
      </c>
      <c r="V40" s="98">
        <v>537.19999999999982</v>
      </c>
      <c r="W40" s="98">
        <v>587.19999999999982</v>
      </c>
      <c r="X40" s="98"/>
      <c r="Y40" s="98"/>
      <c r="Z40" s="98"/>
      <c r="AA40" s="230">
        <v>186.00000000000091</v>
      </c>
      <c r="AB40" s="230">
        <v>712.79999999999973</v>
      </c>
      <c r="AC40" s="230">
        <v>354.20000000000005</v>
      </c>
    </row>
    <row r="41" spans="2:29">
      <c r="B41" s="98">
        <v>71</v>
      </c>
      <c r="C41" s="98">
        <v>155.1</v>
      </c>
      <c r="D41" s="98">
        <v>693.4</v>
      </c>
      <c r="E41" s="98">
        <v>229.9</v>
      </c>
      <c r="F41" s="98">
        <v>232</v>
      </c>
      <c r="G41" s="98">
        <v>197.4</v>
      </c>
      <c r="H41" s="98">
        <v>155.30000000000001</v>
      </c>
      <c r="I41" s="98">
        <v>187.1</v>
      </c>
      <c r="J41" s="98">
        <v>225.8</v>
      </c>
      <c r="K41" s="208">
        <v>169.5</v>
      </c>
      <c r="L41" s="208">
        <v>174.85999999999993</v>
      </c>
      <c r="M41" s="208">
        <v>239.92000000000021</v>
      </c>
      <c r="N41" s="98"/>
      <c r="O41" s="98"/>
      <c r="P41" s="98"/>
      <c r="Q41" s="208">
        <v>156.59999999999988</v>
      </c>
      <c r="R41" s="98">
        <v>204.38000000000002</v>
      </c>
      <c r="S41" s="98">
        <v>184.11999999999998</v>
      </c>
      <c r="T41" s="98">
        <v>270.37999999999943</v>
      </c>
      <c r="U41" s="98">
        <v>156.59999999999988</v>
      </c>
      <c r="V41" s="98">
        <v>536.95999999999981</v>
      </c>
      <c r="W41" s="98">
        <v>586.95999999999981</v>
      </c>
      <c r="X41" s="98"/>
      <c r="Y41" s="98"/>
      <c r="Z41" s="98"/>
      <c r="AA41" s="230">
        <v>185.7000000000009</v>
      </c>
      <c r="AB41" s="230">
        <v>712.43999999999971</v>
      </c>
      <c r="AC41" s="230">
        <v>353.76000000000005</v>
      </c>
    </row>
    <row r="42" spans="2:29">
      <c r="B42" s="98">
        <v>72</v>
      </c>
      <c r="C42" s="98">
        <v>154.80000000000001</v>
      </c>
      <c r="D42" s="98">
        <v>692.6</v>
      </c>
      <c r="E42" s="98">
        <v>229.5</v>
      </c>
      <c r="F42" s="98">
        <v>231.8</v>
      </c>
      <c r="G42" s="98">
        <v>197</v>
      </c>
      <c r="H42" s="98">
        <v>155</v>
      </c>
      <c r="I42" s="98">
        <v>186.8</v>
      </c>
      <c r="J42" s="98">
        <v>225.6</v>
      </c>
      <c r="K42" s="209">
        <v>169</v>
      </c>
      <c r="L42" s="209">
        <v>174.51999999999992</v>
      </c>
      <c r="M42" s="209">
        <v>239.44000000000023</v>
      </c>
      <c r="N42" s="98"/>
      <c r="O42" s="98"/>
      <c r="P42" s="98"/>
      <c r="Q42" s="208">
        <v>156.19999999999987</v>
      </c>
      <c r="R42" s="98">
        <v>204.16000000000003</v>
      </c>
      <c r="S42" s="98">
        <v>183.83999999999997</v>
      </c>
      <c r="T42" s="98">
        <v>270.1599999999994</v>
      </c>
      <c r="U42" s="98">
        <v>156.19999999999987</v>
      </c>
      <c r="V42" s="98">
        <v>536.7199999999998</v>
      </c>
      <c r="W42" s="98">
        <v>586.7199999999998</v>
      </c>
      <c r="X42" s="98"/>
      <c r="Y42" s="98"/>
      <c r="Z42" s="98"/>
      <c r="AA42" s="230">
        <v>185.40000000000089</v>
      </c>
      <c r="AB42" s="230">
        <v>712.0799999999997</v>
      </c>
      <c r="AC42" s="230">
        <v>353.32000000000005</v>
      </c>
    </row>
    <row r="43" spans="2:29">
      <c r="B43" s="98">
        <v>73</v>
      </c>
      <c r="C43" s="98">
        <v>154.5</v>
      </c>
      <c r="D43" s="98">
        <v>691.8</v>
      </c>
      <c r="E43" s="98">
        <v>229</v>
      </c>
      <c r="F43" s="98">
        <v>231.6</v>
      </c>
      <c r="G43" s="98">
        <v>196.6</v>
      </c>
      <c r="H43" s="98">
        <v>154.69999999999999</v>
      </c>
      <c r="I43" s="98">
        <v>186.4</v>
      </c>
      <c r="J43" s="98">
        <v>225.4</v>
      </c>
      <c r="K43" s="208">
        <v>168.5</v>
      </c>
      <c r="L43" s="208">
        <v>174.17999999999992</v>
      </c>
      <c r="M43" s="208">
        <v>238.96000000000024</v>
      </c>
      <c r="N43" s="98"/>
      <c r="O43" s="98"/>
      <c r="P43" s="98"/>
      <c r="Q43" s="208">
        <v>155.79999999999987</v>
      </c>
      <c r="R43" s="98">
        <v>203.94000000000003</v>
      </c>
      <c r="S43" s="98">
        <v>183.55999999999997</v>
      </c>
      <c r="T43" s="98">
        <v>269.93999999999937</v>
      </c>
      <c r="U43" s="98">
        <v>155.79999999999987</v>
      </c>
      <c r="V43" s="98">
        <v>536.47999999999979</v>
      </c>
      <c r="W43" s="98">
        <v>586.47999999999979</v>
      </c>
      <c r="X43" s="98"/>
      <c r="Y43" s="98"/>
      <c r="Z43" s="98"/>
      <c r="AA43" s="230">
        <v>185.10000000000088</v>
      </c>
      <c r="AB43" s="230">
        <v>711.71999999999969</v>
      </c>
      <c r="AC43" s="230">
        <v>352.88000000000005</v>
      </c>
    </row>
    <row r="44" spans="2:29">
      <c r="B44" s="98">
        <v>74</v>
      </c>
      <c r="C44" s="98">
        <v>154.19999999999999</v>
      </c>
      <c r="D44" s="98">
        <v>691.1</v>
      </c>
      <c r="E44" s="98">
        <v>228.5</v>
      </c>
      <c r="F44" s="98">
        <v>231.5</v>
      </c>
      <c r="G44" s="98">
        <v>196.1</v>
      </c>
      <c r="H44" s="98">
        <v>154.30000000000001</v>
      </c>
      <c r="I44" s="98">
        <v>186</v>
      </c>
      <c r="J44" s="98">
        <v>225.2</v>
      </c>
      <c r="K44" s="209">
        <v>168</v>
      </c>
      <c r="L44" s="209">
        <v>173.83999999999992</v>
      </c>
      <c r="M44" s="209">
        <v>238.48000000000025</v>
      </c>
      <c r="N44" s="98"/>
      <c r="O44" s="98"/>
      <c r="P44" s="98"/>
      <c r="Q44" s="208">
        <v>155.39999999999986</v>
      </c>
      <c r="R44" s="98">
        <v>203.72000000000003</v>
      </c>
      <c r="S44" s="98">
        <v>183.27999999999997</v>
      </c>
      <c r="T44" s="98">
        <v>269.71999999999935</v>
      </c>
      <c r="U44" s="98">
        <v>155.39999999999986</v>
      </c>
      <c r="V44" s="98">
        <v>536.23999999999978</v>
      </c>
      <c r="W44" s="98">
        <v>586.23999999999978</v>
      </c>
      <c r="X44" s="98"/>
      <c r="Y44" s="98"/>
      <c r="Z44" s="98"/>
      <c r="AA44" s="230">
        <v>184.80000000000086</v>
      </c>
      <c r="AB44" s="230">
        <v>711.35999999999967</v>
      </c>
      <c r="AC44" s="230">
        <v>352.44000000000005</v>
      </c>
    </row>
    <row r="45" spans="2:29">
      <c r="B45" s="98">
        <v>75</v>
      </c>
      <c r="C45" s="98">
        <v>153.9</v>
      </c>
      <c r="D45" s="98">
        <v>690.3</v>
      </c>
      <c r="E45" s="98">
        <v>228</v>
      </c>
      <c r="F45" s="98">
        <v>231.3</v>
      </c>
      <c r="G45" s="98">
        <v>195.7</v>
      </c>
      <c r="H45" s="98">
        <v>154</v>
      </c>
      <c r="I45" s="98">
        <v>185.7</v>
      </c>
      <c r="J45" s="98">
        <v>225</v>
      </c>
      <c r="K45" s="208">
        <v>167.5</v>
      </c>
      <c r="L45" s="208">
        <v>173.49999999999991</v>
      </c>
      <c r="M45" s="208">
        <v>238.00000000000026</v>
      </c>
      <c r="N45" s="98"/>
      <c r="O45" s="98"/>
      <c r="P45" s="98"/>
      <c r="Q45" s="208">
        <v>154.99999999999986</v>
      </c>
      <c r="R45" s="98">
        <v>203.50000000000003</v>
      </c>
      <c r="S45" s="98">
        <v>182.99999999999997</v>
      </c>
      <c r="T45" s="98">
        <v>269.49999999999932</v>
      </c>
      <c r="U45" s="98">
        <v>154.99999999999986</v>
      </c>
      <c r="V45" s="98">
        <v>535.99999999999977</v>
      </c>
      <c r="W45" s="98">
        <v>585.99999999999977</v>
      </c>
      <c r="X45" s="98"/>
      <c r="Y45" s="98"/>
      <c r="Z45" s="98"/>
      <c r="AA45" s="230">
        <v>184.50000000000085</v>
      </c>
      <c r="AB45" s="230">
        <v>710.99999999999966</v>
      </c>
      <c r="AC45" s="230">
        <v>352.00000000000006</v>
      </c>
    </row>
    <row r="46" spans="2:29">
      <c r="B46" s="98">
        <v>76</v>
      </c>
      <c r="C46" s="98">
        <v>153.5</v>
      </c>
      <c r="D46" s="98">
        <v>689.5</v>
      </c>
      <c r="E46" s="98">
        <v>227.7</v>
      </c>
      <c r="F46" s="98">
        <v>231.1</v>
      </c>
      <c r="G46" s="98">
        <v>195.3</v>
      </c>
      <c r="H46" s="98">
        <v>153.69999999999999</v>
      </c>
      <c r="I46" s="98">
        <v>185.3</v>
      </c>
      <c r="J46" s="98">
        <v>224.8</v>
      </c>
      <c r="K46" s="209">
        <v>167</v>
      </c>
      <c r="L46" s="209">
        <v>173.15999999999991</v>
      </c>
      <c r="M46" s="209">
        <v>237.52000000000027</v>
      </c>
      <c r="N46" s="98"/>
      <c r="O46" s="98"/>
      <c r="P46" s="98"/>
      <c r="Q46" s="208">
        <v>154.59999999999985</v>
      </c>
      <c r="R46" s="98">
        <v>203.28000000000003</v>
      </c>
      <c r="S46" s="98">
        <v>182.71999999999997</v>
      </c>
      <c r="T46" s="98">
        <v>269.27999999999929</v>
      </c>
      <c r="U46" s="98">
        <v>154.59999999999985</v>
      </c>
      <c r="V46" s="98">
        <v>535.75999999999976</v>
      </c>
      <c r="W46" s="98">
        <v>585.75999999999976</v>
      </c>
      <c r="X46" s="98"/>
      <c r="Y46" s="98"/>
      <c r="Z46" s="98"/>
      <c r="AA46" s="230">
        <v>184.20000000000084</v>
      </c>
      <c r="AB46" s="230">
        <v>710.63999999999965</v>
      </c>
      <c r="AC46" s="230">
        <v>351.56000000000006</v>
      </c>
    </row>
    <row r="47" spans="2:29">
      <c r="B47" s="98">
        <v>77</v>
      </c>
      <c r="C47" s="98">
        <v>153.19999999999999</v>
      </c>
      <c r="D47" s="98">
        <v>688.7</v>
      </c>
      <c r="E47" s="98">
        <v>227.4</v>
      </c>
      <c r="F47" s="98">
        <v>230.9</v>
      </c>
      <c r="G47" s="98">
        <v>194.9</v>
      </c>
      <c r="H47" s="98">
        <v>153.30000000000001</v>
      </c>
      <c r="I47" s="98">
        <v>184.9</v>
      </c>
      <c r="J47" s="98">
        <v>224.6</v>
      </c>
      <c r="K47" s="208">
        <v>166.5</v>
      </c>
      <c r="L47" s="208">
        <v>172.81999999999991</v>
      </c>
      <c r="M47" s="208">
        <v>237.04000000000028</v>
      </c>
      <c r="N47" s="98"/>
      <c r="O47" s="98"/>
      <c r="P47" s="98"/>
      <c r="Q47" s="208">
        <v>154.19999999999985</v>
      </c>
      <c r="R47" s="98">
        <v>203.06000000000003</v>
      </c>
      <c r="S47" s="98">
        <v>182.43999999999997</v>
      </c>
      <c r="T47" s="98">
        <v>269.05999999999926</v>
      </c>
      <c r="U47" s="98">
        <v>154.19999999999985</v>
      </c>
      <c r="V47" s="98">
        <v>535.51999999999975</v>
      </c>
      <c r="W47" s="98">
        <v>585.51999999999975</v>
      </c>
      <c r="X47" s="98"/>
      <c r="Y47" s="98"/>
      <c r="Z47" s="98"/>
      <c r="AA47" s="230">
        <v>183.90000000000083</v>
      </c>
      <c r="AB47" s="230">
        <v>710.27999999999963</v>
      </c>
      <c r="AC47" s="230">
        <v>351.12000000000006</v>
      </c>
    </row>
    <row r="48" spans="2:29">
      <c r="B48" s="98">
        <v>78</v>
      </c>
      <c r="C48" s="98">
        <v>152.9</v>
      </c>
      <c r="D48" s="98">
        <v>688</v>
      </c>
      <c r="E48" s="98">
        <v>227</v>
      </c>
      <c r="F48" s="98">
        <v>230.8</v>
      </c>
      <c r="G48" s="98">
        <v>194.4</v>
      </c>
      <c r="H48" s="98">
        <v>153</v>
      </c>
      <c r="I48" s="98">
        <v>184.6</v>
      </c>
      <c r="J48" s="98">
        <v>224.4</v>
      </c>
      <c r="K48" s="209">
        <v>166</v>
      </c>
      <c r="L48" s="209">
        <v>172.4799999999999</v>
      </c>
      <c r="M48" s="209">
        <v>236.56000000000029</v>
      </c>
      <c r="N48" s="98"/>
      <c r="O48" s="98"/>
      <c r="P48" s="98"/>
      <c r="Q48" s="208">
        <v>153.79999999999984</v>
      </c>
      <c r="R48" s="98">
        <v>202.84000000000003</v>
      </c>
      <c r="S48" s="98">
        <v>182.15999999999997</v>
      </c>
      <c r="T48" s="98">
        <v>268.83999999999924</v>
      </c>
      <c r="U48" s="98">
        <v>153.79999999999984</v>
      </c>
      <c r="V48" s="98">
        <v>535.27999999999975</v>
      </c>
      <c r="W48" s="98">
        <v>585.27999999999975</v>
      </c>
      <c r="X48" s="98"/>
      <c r="Y48" s="98"/>
      <c r="Z48" s="98"/>
      <c r="AA48" s="230">
        <v>183.60000000000082</v>
      </c>
      <c r="AB48" s="230">
        <v>709.91999999999962</v>
      </c>
      <c r="AC48" s="230">
        <v>350.68000000000006</v>
      </c>
    </row>
    <row r="49" spans="2:29">
      <c r="B49" s="98">
        <v>79</v>
      </c>
      <c r="C49" s="98">
        <v>152.6</v>
      </c>
      <c r="D49" s="98">
        <v>687.2</v>
      </c>
      <c r="E49" s="98">
        <v>226.7</v>
      </c>
      <c r="F49" s="98">
        <v>230.6</v>
      </c>
      <c r="G49" s="98">
        <v>194</v>
      </c>
      <c r="H49" s="98">
        <v>152.69999999999999</v>
      </c>
      <c r="I49" s="98">
        <v>184.2</v>
      </c>
      <c r="J49" s="98">
        <v>224.2</v>
      </c>
      <c r="K49" s="208">
        <v>165.5</v>
      </c>
      <c r="L49" s="208">
        <v>172.1399999999999</v>
      </c>
      <c r="M49" s="208">
        <v>236.0800000000003</v>
      </c>
      <c r="N49" s="98"/>
      <c r="O49" s="98"/>
      <c r="P49" s="98"/>
      <c r="Q49" s="208">
        <v>153.39999999999984</v>
      </c>
      <c r="R49" s="98">
        <v>202.62000000000003</v>
      </c>
      <c r="S49" s="98">
        <v>181.87999999999997</v>
      </c>
      <c r="T49" s="98">
        <v>268.61999999999921</v>
      </c>
      <c r="U49" s="98">
        <v>153.39999999999984</v>
      </c>
      <c r="V49" s="98">
        <v>535.03999999999974</v>
      </c>
      <c r="W49" s="98">
        <v>585.03999999999974</v>
      </c>
      <c r="X49" s="98"/>
      <c r="Y49" s="98"/>
      <c r="Z49" s="98"/>
      <c r="AA49" s="230">
        <v>183.30000000000081</v>
      </c>
      <c r="AB49" s="230">
        <v>709.5599999999996</v>
      </c>
      <c r="AC49" s="230">
        <v>350.24000000000007</v>
      </c>
    </row>
    <row r="50" spans="2:29">
      <c r="B50" s="98">
        <v>80</v>
      </c>
      <c r="C50" s="98">
        <v>152.30000000000001</v>
      </c>
      <c r="D50" s="98">
        <v>686.4</v>
      </c>
      <c r="E50" s="98">
        <v>226.4</v>
      </c>
      <c r="F50" s="98">
        <v>230.4</v>
      </c>
      <c r="G50" s="98">
        <v>193.6</v>
      </c>
      <c r="H50" s="98">
        <v>152.30000000000001</v>
      </c>
      <c r="I50" s="98">
        <v>183.8</v>
      </c>
      <c r="J50" s="98">
        <v>224</v>
      </c>
      <c r="K50" s="209">
        <v>165</v>
      </c>
      <c r="L50" s="209">
        <v>171.7999999999999</v>
      </c>
      <c r="M50" s="209">
        <v>235.60000000000031</v>
      </c>
      <c r="N50" s="98">
        <v>195</v>
      </c>
      <c r="O50" s="98">
        <v>195</v>
      </c>
      <c r="P50" s="98"/>
      <c r="Q50" s="208">
        <v>152.99999999999983</v>
      </c>
      <c r="R50" s="98">
        <v>202.40000000000003</v>
      </c>
      <c r="S50" s="98">
        <v>181.59999999999997</v>
      </c>
      <c r="T50" s="98">
        <v>268.39999999999918</v>
      </c>
      <c r="U50" s="98">
        <v>152.99999999999983</v>
      </c>
      <c r="V50" s="98">
        <v>534.79999999999973</v>
      </c>
      <c r="W50" s="98">
        <v>584.79999999999973</v>
      </c>
      <c r="X50" s="98">
        <v>321.89999999999998</v>
      </c>
      <c r="Y50" s="98">
        <v>274.89999999999998</v>
      </c>
      <c r="Z50" s="98">
        <v>320.39999999999998</v>
      </c>
      <c r="AA50" s="230">
        <v>183.0000000000008</v>
      </c>
      <c r="AB50" s="230">
        <v>709.19999999999959</v>
      </c>
      <c r="AC50" s="230">
        <v>349.80000000000007</v>
      </c>
    </row>
    <row r="51" spans="2:29">
      <c r="B51" s="98">
        <v>81</v>
      </c>
      <c r="C51" s="98">
        <v>152</v>
      </c>
      <c r="D51" s="98">
        <v>685.7</v>
      </c>
      <c r="E51" s="98">
        <v>226.1</v>
      </c>
      <c r="F51" s="98">
        <v>230.3</v>
      </c>
      <c r="G51" s="98">
        <v>193.1</v>
      </c>
      <c r="H51" s="98">
        <v>152</v>
      </c>
      <c r="I51" s="98">
        <v>183.4</v>
      </c>
      <c r="J51" s="98">
        <v>223.8</v>
      </c>
      <c r="K51" s="208">
        <v>164.5</v>
      </c>
      <c r="L51" s="208">
        <v>171.45999999999989</v>
      </c>
      <c r="M51" s="208">
        <v>235.12000000000032</v>
      </c>
      <c r="N51" s="98"/>
      <c r="O51" s="98"/>
      <c r="P51" s="98"/>
      <c r="Q51" s="208">
        <v>152.59999999999982</v>
      </c>
      <c r="R51" s="98">
        <v>202.18000000000004</v>
      </c>
      <c r="S51" s="98">
        <v>181.31999999999996</v>
      </c>
      <c r="T51" s="98">
        <v>268.17999999999915</v>
      </c>
      <c r="U51" s="98">
        <v>152.59999999999982</v>
      </c>
      <c r="V51" s="98">
        <v>534.55999999999972</v>
      </c>
      <c r="W51" s="98">
        <v>584.55999999999972</v>
      </c>
      <c r="X51" s="98"/>
      <c r="Y51" s="98"/>
      <c r="Z51" s="98"/>
      <c r="AA51" s="230">
        <v>182.70000000000078</v>
      </c>
      <c r="AB51" s="230">
        <v>708.83999999999958</v>
      </c>
      <c r="AC51" s="230">
        <v>349.36000000000007</v>
      </c>
    </row>
    <row r="52" spans="2:29">
      <c r="B52" s="98">
        <v>82</v>
      </c>
      <c r="C52" s="98">
        <v>151.69999999999999</v>
      </c>
      <c r="D52" s="98">
        <v>684.9</v>
      </c>
      <c r="E52" s="98">
        <v>225.8</v>
      </c>
      <c r="F52" s="98">
        <v>230.1</v>
      </c>
      <c r="G52" s="98">
        <v>192.7</v>
      </c>
      <c r="H52" s="98">
        <v>151.69999999999999</v>
      </c>
      <c r="I52" s="98">
        <v>183.1</v>
      </c>
      <c r="J52" s="98">
        <v>223.6</v>
      </c>
      <c r="K52" s="209">
        <v>164</v>
      </c>
      <c r="L52" s="209">
        <v>171.11999999999989</v>
      </c>
      <c r="M52" s="209">
        <v>234.64000000000033</v>
      </c>
      <c r="N52" s="98"/>
      <c r="O52" s="98"/>
      <c r="P52" s="98"/>
      <c r="Q52" s="208">
        <v>152.19999999999982</v>
      </c>
      <c r="R52" s="98">
        <v>201.96000000000004</v>
      </c>
      <c r="S52" s="98">
        <v>181.03999999999996</v>
      </c>
      <c r="T52" s="98">
        <v>267.95999999999913</v>
      </c>
      <c r="U52" s="98">
        <v>152.19999999999982</v>
      </c>
      <c r="V52" s="98">
        <v>534.31999999999971</v>
      </c>
      <c r="W52" s="98">
        <v>584.31999999999971</v>
      </c>
      <c r="X52" s="98"/>
      <c r="Y52" s="98"/>
      <c r="Z52" s="98"/>
      <c r="AA52" s="230">
        <v>182.40000000000077</v>
      </c>
      <c r="AB52" s="230">
        <v>708.47999999999956</v>
      </c>
      <c r="AC52" s="230">
        <v>348.92000000000007</v>
      </c>
    </row>
    <row r="53" spans="2:29">
      <c r="B53" s="98">
        <v>83</v>
      </c>
      <c r="C53" s="98">
        <v>151.30000000000001</v>
      </c>
      <c r="D53" s="98">
        <v>684.1</v>
      </c>
      <c r="E53" s="98">
        <v>225.4</v>
      </c>
      <c r="F53" s="98">
        <v>229.9</v>
      </c>
      <c r="G53" s="98">
        <v>192.3</v>
      </c>
      <c r="H53" s="98">
        <v>151.30000000000001</v>
      </c>
      <c r="I53" s="98">
        <v>182.7</v>
      </c>
      <c r="J53" s="98">
        <v>223.4</v>
      </c>
      <c r="K53" s="208">
        <v>163.5</v>
      </c>
      <c r="L53" s="208">
        <v>170.77999999999989</v>
      </c>
      <c r="M53" s="208">
        <v>234.16000000000034</v>
      </c>
      <c r="N53" s="98"/>
      <c r="O53" s="98"/>
      <c r="P53" s="98"/>
      <c r="Q53" s="208">
        <v>151.79999999999981</v>
      </c>
      <c r="R53" s="98">
        <v>201.74000000000004</v>
      </c>
      <c r="S53" s="98">
        <v>180.75999999999996</v>
      </c>
      <c r="T53" s="98">
        <v>267.7399999999991</v>
      </c>
      <c r="U53" s="98">
        <v>151.79999999999981</v>
      </c>
      <c r="V53" s="98">
        <v>534.0799999999997</v>
      </c>
      <c r="W53" s="98">
        <v>584.0799999999997</v>
      </c>
      <c r="X53" s="98"/>
      <c r="Y53" s="98"/>
      <c r="Z53" s="98"/>
      <c r="AA53" s="230">
        <v>182.10000000000076</v>
      </c>
      <c r="AB53" s="230">
        <v>708.11999999999955</v>
      </c>
      <c r="AC53" s="230">
        <v>348.48000000000008</v>
      </c>
    </row>
    <row r="54" spans="2:29">
      <c r="B54" s="98">
        <v>84</v>
      </c>
      <c r="C54" s="98">
        <v>151</v>
      </c>
      <c r="D54" s="98">
        <v>683.3</v>
      </c>
      <c r="E54" s="98">
        <v>225.1</v>
      </c>
      <c r="F54" s="98">
        <v>229.7</v>
      </c>
      <c r="G54" s="98">
        <v>191.9</v>
      </c>
      <c r="H54" s="98">
        <v>151</v>
      </c>
      <c r="I54" s="98">
        <v>182.3</v>
      </c>
      <c r="J54" s="98">
        <v>223.2</v>
      </c>
      <c r="K54" s="209">
        <v>163</v>
      </c>
      <c r="L54" s="209">
        <v>170.43999999999988</v>
      </c>
      <c r="M54" s="209">
        <v>233.68000000000035</v>
      </c>
      <c r="N54" s="98"/>
      <c r="O54" s="98"/>
      <c r="P54" s="98"/>
      <c r="Q54" s="208">
        <v>151.39999999999981</v>
      </c>
      <c r="R54" s="98">
        <v>201.52000000000004</v>
      </c>
      <c r="S54" s="98">
        <v>180.47999999999996</v>
      </c>
      <c r="T54" s="98">
        <v>267.51999999999907</v>
      </c>
      <c r="U54" s="98">
        <v>151.39999999999981</v>
      </c>
      <c r="V54" s="98">
        <v>533.83999999999969</v>
      </c>
      <c r="W54" s="98">
        <v>583.83999999999969</v>
      </c>
      <c r="X54" s="98"/>
      <c r="Y54" s="98"/>
      <c r="Z54" s="98"/>
      <c r="AA54" s="230">
        <v>181.80000000000075</v>
      </c>
      <c r="AB54" s="230">
        <v>707.75999999999954</v>
      </c>
      <c r="AC54" s="230">
        <v>348.04000000000008</v>
      </c>
    </row>
    <row r="55" spans="2:29">
      <c r="B55" s="98">
        <v>85</v>
      </c>
      <c r="C55" s="98">
        <v>150.69999999999999</v>
      </c>
      <c r="D55" s="98">
        <v>682.6</v>
      </c>
      <c r="E55" s="98">
        <v>224.8</v>
      </c>
      <c r="F55" s="98">
        <v>229.6</v>
      </c>
      <c r="G55" s="98">
        <v>191.4</v>
      </c>
      <c r="H55" s="98">
        <v>150.69999999999999</v>
      </c>
      <c r="I55" s="98">
        <v>182</v>
      </c>
      <c r="J55" s="98">
        <v>223</v>
      </c>
      <c r="K55" s="208">
        <v>162.5</v>
      </c>
      <c r="L55" s="208">
        <v>170.09999999999988</v>
      </c>
      <c r="M55" s="208">
        <v>233.20000000000036</v>
      </c>
      <c r="N55" s="98"/>
      <c r="O55" s="98"/>
      <c r="P55" s="98"/>
      <c r="Q55" s="208">
        <v>150.9999999999998</v>
      </c>
      <c r="R55" s="98">
        <v>201.30000000000004</v>
      </c>
      <c r="S55" s="98">
        <v>180.19999999999996</v>
      </c>
      <c r="T55" s="98">
        <v>267.29999999999905</v>
      </c>
      <c r="U55" s="98">
        <v>150.9999999999998</v>
      </c>
      <c r="V55" s="98">
        <v>533.59999999999968</v>
      </c>
      <c r="W55" s="98">
        <v>583.59999999999968</v>
      </c>
      <c r="X55" s="98"/>
      <c r="Y55" s="98"/>
      <c r="Z55" s="98"/>
      <c r="AA55" s="230">
        <v>181.50000000000074</v>
      </c>
      <c r="AB55" s="230">
        <v>707.39999999999952</v>
      </c>
      <c r="AC55" s="230">
        <v>347.60000000000008</v>
      </c>
    </row>
    <row r="56" spans="2:29">
      <c r="B56" s="98">
        <v>86</v>
      </c>
      <c r="C56" s="98">
        <v>150.4</v>
      </c>
      <c r="D56" s="98">
        <v>681.8</v>
      </c>
      <c r="E56" s="98">
        <v>224.5</v>
      </c>
      <c r="F56" s="98">
        <v>229.4</v>
      </c>
      <c r="G56" s="98">
        <v>191</v>
      </c>
      <c r="H56" s="98">
        <v>150.30000000000001</v>
      </c>
      <c r="I56" s="98">
        <v>181.6</v>
      </c>
      <c r="J56" s="98">
        <v>222.8</v>
      </c>
      <c r="K56" s="209">
        <v>162</v>
      </c>
      <c r="L56" s="209">
        <v>169.75999999999988</v>
      </c>
      <c r="M56" s="209">
        <v>232.72000000000037</v>
      </c>
      <c r="N56" s="98"/>
      <c r="O56" s="98"/>
      <c r="P56" s="98"/>
      <c r="Q56" s="208">
        <v>150.5999999999998</v>
      </c>
      <c r="R56" s="98">
        <v>201.08000000000004</v>
      </c>
      <c r="S56" s="98">
        <v>179.91999999999996</v>
      </c>
      <c r="T56" s="98">
        <v>267.07999999999902</v>
      </c>
      <c r="U56" s="98">
        <v>150.5999999999998</v>
      </c>
      <c r="V56" s="98">
        <v>533.35999999999967</v>
      </c>
      <c r="W56" s="98">
        <v>583.35999999999967</v>
      </c>
      <c r="X56" s="98"/>
      <c r="Y56" s="98"/>
      <c r="Z56" s="98"/>
      <c r="AA56" s="230">
        <v>181.20000000000073</v>
      </c>
      <c r="AB56" s="230">
        <v>707.03999999999951</v>
      </c>
      <c r="AC56" s="230">
        <v>347.16000000000008</v>
      </c>
    </row>
    <row r="57" spans="2:29">
      <c r="B57" s="98">
        <v>87</v>
      </c>
      <c r="C57" s="98">
        <v>150.1</v>
      </c>
      <c r="D57" s="98">
        <v>681</v>
      </c>
      <c r="E57" s="98">
        <v>224.2</v>
      </c>
      <c r="F57" s="98">
        <v>229.2</v>
      </c>
      <c r="G57" s="98">
        <v>190.6</v>
      </c>
      <c r="H57" s="98">
        <v>150</v>
      </c>
      <c r="I57" s="98">
        <v>181.2</v>
      </c>
      <c r="J57" s="98">
        <v>222.6</v>
      </c>
      <c r="K57" s="208">
        <v>161.5</v>
      </c>
      <c r="L57" s="208">
        <v>169.41999999999987</v>
      </c>
      <c r="M57" s="208">
        <v>232.24000000000038</v>
      </c>
      <c r="N57" s="98"/>
      <c r="O57" s="98"/>
      <c r="P57" s="98"/>
      <c r="Q57" s="208">
        <v>150.19999999999979</v>
      </c>
      <c r="R57" s="98">
        <v>200.86000000000004</v>
      </c>
      <c r="S57" s="98">
        <v>179.63999999999996</v>
      </c>
      <c r="T57" s="98">
        <v>266.85999999999899</v>
      </c>
      <c r="U57" s="98">
        <v>150.19999999999979</v>
      </c>
      <c r="V57" s="98">
        <v>533.11999999999966</v>
      </c>
      <c r="W57" s="98">
        <v>583.11999999999966</v>
      </c>
      <c r="X57" s="98"/>
      <c r="Y57" s="98"/>
      <c r="Z57" s="98"/>
      <c r="AA57" s="230">
        <v>180.90000000000072</v>
      </c>
      <c r="AB57" s="230">
        <v>706.6799999999995</v>
      </c>
      <c r="AC57" s="230">
        <v>346.72000000000008</v>
      </c>
    </row>
    <row r="58" spans="2:29">
      <c r="B58" s="98">
        <v>88</v>
      </c>
      <c r="C58" s="98">
        <v>149.80000000000001</v>
      </c>
      <c r="D58" s="98">
        <v>680.3</v>
      </c>
      <c r="E58" s="98">
        <v>223.8</v>
      </c>
      <c r="F58" s="98">
        <v>229.1</v>
      </c>
      <c r="G58" s="98">
        <v>190.1</v>
      </c>
      <c r="H58" s="98">
        <v>149.69999999999999</v>
      </c>
      <c r="I58" s="98">
        <v>180.9</v>
      </c>
      <c r="J58" s="98">
        <v>222.4</v>
      </c>
      <c r="K58" s="209">
        <v>161</v>
      </c>
      <c r="L58" s="209">
        <v>169.07999999999987</v>
      </c>
      <c r="M58" s="209">
        <v>231.76000000000039</v>
      </c>
      <c r="N58" s="98"/>
      <c r="O58" s="98"/>
      <c r="P58" s="98"/>
      <c r="Q58" s="208">
        <v>149.79999999999978</v>
      </c>
      <c r="R58" s="98">
        <v>200.64000000000004</v>
      </c>
      <c r="S58" s="98">
        <v>179.35999999999996</v>
      </c>
      <c r="T58" s="98">
        <v>266.63999999999896</v>
      </c>
      <c r="U58" s="98">
        <v>149.79999999999978</v>
      </c>
      <c r="V58" s="98">
        <v>532.87999999999965</v>
      </c>
      <c r="W58" s="98">
        <v>582.87999999999965</v>
      </c>
      <c r="X58" s="98"/>
      <c r="Y58" s="98"/>
      <c r="Z58" s="98"/>
      <c r="AA58" s="230">
        <v>180.6000000000007</v>
      </c>
      <c r="AB58" s="230">
        <v>706.31999999999948</v>
      </c>
      <c r="AC58" s="230">
        <v>346.28000000000009</v>
      </c>
    </row>
    <row r="59" spans="2:29">
      <c r="B59" s="98">
        <v>89</v>
      </c>
      <c r="C59" s="98">
        <v>149.5</v>
      </c>
      <c r="D59" s="98">
        <v>679.5</v>
      </c>
      <c r="E59" s="98">
        <v>223.5</v>
      </c>
      <c r="F59" s="98">
        <v>228.9</v>
      </c>
      <c r="G59" s="98">
        <v>189.7</v>
      </c>
      <c r="H59" s="98">
        <v>149.30000000000001</v>
      </c>
      <c r="I59" s="98">
        <v>180.5</v>
      </c>
      <c r="J59" s="98">
        <v>222.2</v>
      </c>
      <c r="K59" s="208">
        <v>160.5</v>
      </c>
      <c r="L59" s="208">
        <v>168.73999999999987</v>
      </c>
      <c r="M59" s="208">
        <v>231.2800000000004</v>
      </c>
      <c r="N59" s="98"/>
      <c r="O59" s="98"/>
      <c r="P59" s="98"/>
      <c r="Q59" s="208">
        <v>149.39999999999978</v>
      </c>
      <c r="R59" s="98">
        <v>200.42000000000004</v>
      </c>
      <c r="S59" s="98">
        <v>179.07999999999996</v>
      </c>
      <c r="T59" s="98">
        <v>266.41999999999894</v>
      </c>
      <c r="U59" s="98">
        <v>149.39999999999978</v>
      </c>
      <c r="V59" s="98">
        <v>532.63999999999965</v>
      </c>
      <c r="W59" s="98">
        <v>582.63999999999965</v>
      </c>
      <c r="X59" s="98"/>
      <c r="Y59" s="98"/>
      <c r="Z59" s="98"/>
      <c r="AA59" s="230">
        <v>180.30000000000069</v>
      </c>
      <c r="AB59" s="230">
        <v>705.95999999999947</v>
      </c>
      <c r="AC59" s="230">
        <v>345.84000000000009</v>
      </c>
    </row>
    <row r="60" spans="2:29">
      <c r="B60" s="98">
        <v>90</v>
      </c>
      <c r="C60" s="98">
        <v>149.1</v>
      </c>
      <c r="D60" s="98">
        <v>678.7</v>
      </c>
      <c r="E60" s="98">
        <v>223.2</v>
      </c>
      <c r="F60" s="98">
        <v>228.7</v>
      </c>
      <c r="G60" s="98">
        <v>189.3</v>
      </c>
      <c r="H60" s="98">
        <v>149</v>
      </c>
      <c r="I60" s="98">
        <v>180.1</v>
      </c>
      <c r="J60" s="98">
        <v>222</v>
      </c>
      <c r="K60" s="209">
        <v>160</v>
      </c>
      <c r="L60" s="209">
        <v>168.39999999999986</v>
      </c>
      <c r="M60" s="209">
        <v>230.80000000000041</v>
      </c>
      <c r="N60" s="98"/>
      <c r="O60" s="98"/>
      <c r="P60" s="98"/>
      <c r="Q60" s="208">
        <v>148.99999999999977</v>
      </c>
      <c r="R60" s="98">
        <v>200.20000000000005</v>
      </c>
      <c r="S60" s="98">
        <v>178.79999999999995</v>
      </c>
      <c r="T60" s="98">
        <v>266.19999999999891</v>
      </c>
      <c r="U60" s="98">
        <v>148.99999999999977</v>
      </c>
      <c r="V60" s="98">
        <v>532.39999999999964</v>
      </c>
      <c r="W60" s="98">
        <v>582.39999999999964</v>
      </c>
      <c r="X60" s="98"/>
      <c r="Y60" s="98"/>
      <c r="Z60" s="98"/>
      <c r="AA60" s="230">
        <v>180.00000000000068</v>
      </c>
      <c r="AB60" s="230">
        <v>705.59999999999945</v>
      </c>
      <c r="AC60" s="230">
        <v>345.40000000000009</v>
      </c>
    </row>
    <row r="61" spans="2:29">
      <c r="B61" s="98">
        <v>91</v>
      </c>
      <c r="C61" s="98">
        <v>148.80000000000001</v>
      </c>
      <c r="D61" s="98">
        <v>677.9</v>
      </c>
      <c r="E61" s="98">
        <v>222.9</v>
      </c>
      <c r="F61" s="98">
        <v>228.5</v>
      </c>
      <c r="G61" s="98">
        <v>188.9</v>
      </c>
      <c r="H61" s="98">
        <v>148.69999999999999</v>
      </c>
      <c r="I61" s="98">
        <v>179.7</v>
      </c>
      <c r="J61" s="98">
        <v>221.8</v>
      </c>
      <c r="K61" s="208">
        <v>159.5</v>
      </c>
      <c r="L61" s="208">
        <v>168.05999999999986</v>
      </c>
      <c r="M61" s="208">
        <v>230.32000000000042</v>
      </c>
      <c r="N61" s="98"/>
      <c r="O61" s="98"/>
      <c r="P61" s="98"/>
      <c r="Q61" s="208">
        <v>148.59999999999977</v>
      </c>
      <c r="R61" s="98">
        <v>199.98000000000005</v>
      </c>
      <c r="S61" s="98">
        <v>178.51999999999995</v>
      </c>
      <c r="T61" s="98">
        <v>265.97999999999888</v>
      </c>
      <c r="U61" s="98">
        <v>148.59999999999977</v>
      </c>
      <c r="V61" s="98">
        <v>532.15999999999963</v>
      </c>
      <c r="W61" s="98">
        <v>582.15999999999963</v>
      </c>
      <c r="X61" s="98"/>
      <c r="Y61" s="98"/>
      <c r="Z61" s="98"/>
      <c r="AA61" s="230">
        <v>179.70000000000067</v>
      </c>
      <c r="AB61" s="230">
        <v>705.23999999999944</v>
      </c>
      <c r="AC61" s="230">
        <v>344.96000000000009</v>
      </c>
    </row>
    <row r="62" spans="2:29">
      <c r="B62" s="98">
        <v>92</v>
      </c>
      <c r="C62" s="98">
        <v>148.5</v>
      </c>
      <c r="D62" s="98">
        <v>677.2</v>
      </c>
      <c r="E62" s="98">
        <v>222.6</v>
      </c>
      <c r="F62" s="98">
        <v>228.4</v>
      </c>
      <c r="G62" s="98">
        <v>188.4</v>
      </c>
      <c r="H62" s="98">
        <v>148.30000000000001</v>
      </c>
      <c r="I62" s="98">
        <v>179.4</v>
      </c>
      <c r="J62" s="98">
        <v>221.6</v>
      </c>
      <c r="K62" s="209">
        <v>159</v>
      </c>
      <c r="L62" s="209">
        <v>167.71999999999986</v>
      </c>
      <c r="M62" s="209">
        <v>229.84000000000043</v>
      </c>
      <c r="N62" s="98"/>
      <c r="O62" s="98"/>
      <c r="P62" s="98"/>
      <c r="Q62" s="208">
        <v>148.19999999999976</v>
      </c>
      <c r="R62" s="98">
        <v>199.76000000000005</v>
      </c>
      <c r="S62" s="98">
        <v>178.23999999999995</v>
      </c>
      <c r="T62" s="98">
        <v>265.75999999999885</v>
      </c>
      <c r="U62" s="98">
        <v>148.19999999999976</v>
      </c>
      <c r="V62" s="98">
        <v>531.91999999999962</v>
      </c>
      <c r="W62" s="98">
        <v>581.91999999999962</v>
      </c>
      <c r="X62" s="98"/>
      <c r="Y62" s="98"/>
      <c r="Z62" s="98"/>
      <c r="AA62" s="230">
        <v>179.40000000000066</v>
      </c>
      <c r="AB62" s="230">
        <v>704.87999999999943</v>
      </c>
      <c r="AC62" s="230">
        <v>344.5200000000001</v>
      </c>
    </row>
    <row r="63" spans="2:29">
      <c r="B63" s="98">
        <v>93</v>
      </c>
      <c r="C63" s="98">
        <v>148.19999999999999</v>
      </c>
      <c r="D63" s="98">
        <v>676.4</v>
      </c>
      <c r="E63" s="98">
        <v>222.2</v>
      </c>
      <c r="F63" s="98">
        <v>228.2</v>
      </c>
      <c r="G63" s="98">
        <v>188</v>
      </c>
      <c r="H63" s="98">
        <v>148</v>
      </c>
      <c r="I63" s="98">
        <v>179</v>
      </c>
      <c r="J63" s="98">
        <v>221.4</v>
      </c>
      <c r="K63" s="208">
        <v>158.5</v>
      </c>
      <c r="L63" s="208">
        <v>167.37999999999985</v>
      </c>
      <c r="M63" s="208">
        <v>229.36000000000044</v>
      </c>
      <c r="N63" s="98"/>
      <c r="O63" s="98"/>
      <c r="P63" s="98"/>
      <c r="Q63" s="208">
        <v>147.79999999999976</v>
      </c>
      <c r="R63" s="98">
        <v>199.54000000000005</v>
      </c>
      <c r="S63" s="98">
        <v>177.95999999999995</v>
      </c>
      <c r="T63" s="98">
        <v>265.53999999999883</v>
      </c>
      <c r="U63" s="98">
        <v>147.79999999999976</v>
      </c>
      <c r="V63" s="98">
        <v>531.67999999999961</v>
      </c>
      <c r="W63" s="98">
        <v>581.67999999999961</v>
      </c>
      <c r="X63" s="98"/>
      <c r="Y63" s="98"/>
      <c r="Z63" s="98"/>
      <c r="AA63" s="230">
        <v>179.10000000000065</v>
      </c>
      <c r="AB63" s="230">
        <v>704.51999999999941</v>
      </c>
      <c r="AC63" s="230">
        <v>344.0800000000001</v>
      </c>
    </row>
    <row r="64" spans="2:29">
      <c r="B64" s="98">
        <v>94</v>
      </c>
      <c r="C64" s="98">
        <v>147.9</v>
      </c>
      <c r="D64" s="98">
        <v>675.6</v>
      </c>
      <c r="E64" s="98">
        <v>221.9</v>
      </c>
      <c r="F64" s="98">
        <v>228</v>
      </c>
      <c r="G64" s="98">
        <v>187.6</v>
      </c>
      <c r="H64" s="98">
        <v>147.69999999999999</v>
      </c>
      <c r="I64" s="98">
        <v>178.7</v>
      </c>
      <c r="J64" s="98">
        <v>221.2</v>
      </c>
      <c r="K64" s="209">
        <v>158</v>
      </c>
      <c r="L64" s="209">
        <v>167.03999999999985</v>
      </c>
      <c r="M64" s="209">
        <v>228.88000000000045</v>
      </c>
      <c r="N64" s="98"/>
      <c r="O64" s="98"/>
      <c r="P64" s="98"/>
      <c r="Q64" s="208">
        <v>147.39999999999975</v>
      </c>
      <c r="R64" s="98">
        <v>199.32000000000005</v>
      </c>
      <c r="S64" s="98">
        <v>177.67999999999995</v>
      </c>
      <c r="T64" s="98">
        <v>265.3199999999988</v>
      </c>
      <c r="U64" s="98">
        <v>147.39999999999975</v>
      </c>
      <c r="V64" s="98">
        <v>531.4399999999996</v>
      </c>
      <c r="W64" s="98">
        <v>581.4399999999996</v>
      </c>
      <c r="X64" s="98"/>
      <c r="Y64" s="98"/>
      <c r="Z64" s="98"/>
      <c r="AA64" s="230">
        <v>178.80000000000064</v>
      </c>
      <c r="AB64" s="230">
        <v>704.1599999999994</v>
      </c>
      <c r="AC64" s="230">
        <v>343.6400000000001</v>
      </c>
    </row>
    <row r="65" spans="2:29">
      <c r="B65" s="98">
        <v>95</v>
      </c>
      <c r="C65" s="98">
        <v>147.6</v>
      </c>
      <c r="D65" s="98">
        <v>674.9</v>
      </c>
      <c r="E65" s="98">
        <v>221.6</v>
      </c>
      <c r="F65" s="98">
        <v>227.9</v>
      </c>
      <c r="G65" s="98">
        <v>187.1</v>
      </c>
      <c r="H65" s="98">
        <v>147.4</v>
      </c>
      <c r="I65" s="98">
        <v>178.4</v>
      </c>
      <c r="J65" s="98">
        <v>221</v>
      </c>
      <c r="K65" s="208">
        <v>157.5</v>
      </c>
      <c r="L65" s="208">
        <v>166.69999999999985</v>
      </c>
      <c r="M65" s="208">
        <v>228.40000000000046</v>
      </c>
      <c r="N65" s="98"/>
      <c r="O65" s="98"/>
      <c r="P65" s="98"/>
      <c r="Q65" s="208">
        <v>146.99999999999974</v>
      </c>
      <c r="R65" s="98">
        <v>199.10000000000005</v>
      </c>
      <c r="S65" s="98">
        <v>177.39999999999995</v>
      </c>
      <c r="T65" s="98">
        <v>265.09999999999877</v>
      </c>
      <c r="U65" s="98">
        <v>146.99999999999974</v>
      </c>
      <c r="V65" s="98">
        <v>531.19999999999959</v>
      </c>
      <c r="W65" s="98">
        <v>581.19999999999959</v>
      </c>
      <c r="X65" s="98"/>
      <c r="Y65" s="98"/>
      <c r="Z65" s="98"/>
      <c r="AA65" s="230">
        <v>178.50000000000063</v>
      </c>
      <c r="AB65" s="230">
        <v>703.79999999999939</v>
      </c>
      <c r="AC65" s="230">
        <v>343.2000000000001</v>
      </c>
    </row>
    <row r="66" spans="2:29">
      <c r="B66" s="98">
        <v>96</v>
      </c>
      <c r="C66" s="98">
        <v>147.30000000000001</v>
      </c>
      <c r="D66" s="98">
        <v>674.1</v>
      </c>
      <c r="E66" s="98">
        <v>221.3</v>
      </c>
      <c r="F66" s="98">
        <v>227.7</v>
      </c>
      <c r="G66" s="98">
        <v>186.7</v>
      </c>
      <c r="H66" s="98">
        <v>147</v>
      </c>
      <c r="I66" s="98">
        <v>178</v>
      </c>
      <c r="J66" s="98">
        <v>220.8</v>
      </c>
      <c r="K66" s="209">
        <v>157</v>
      </c>
      <c r="L66" s="209">
        <v>166.35999999999984</v>
      </c>
      <c r="M66" s="209">
        <v>227.92000000000047</v>
      </c>
      <c r="N66" s="98"/>
      <c r="O66" s="98"/>
      <c r="P66" s="98"/>
      <c r="Q66" s="208">
        <v>146.59999999999974</v>
      </c>
      <c r="R66" s="98">
        <v>198.88000000000005</v>
      </c>
      <c r="S66" s="98">
        <v>177.11999999999995</v>
      </c>
      <c r="T66" s="98">
        <v>264.87999999999874</v>
      </c>
      <c r="U66" s="98">
        <v>146.59999999999974</v>
      </c>
      <c r="V66" s="98">
        <v>530.95999999999958</v>
      </c>
      <c r="W66" s="98">
        <v>580.95999999999958</v>
      </c>
      <c r="X66" s="98"/>
      <c r="Y66" s="98"/>
      <c r="Z66" s="98"/>
      <c r="AA66" s="230">
        <v>178.20000000000061</v>
      </c>
      <c r="AB66" s="230">
        <v>703.43999999999937</v>
      </c>
      <c r="AC66" s="230">
        <v>342.7600000000001</v>
      </c>
    </row>
    <row r="67" spans="2:29">
      <c r="B67" s="98">
        <v>97</v>
      </c>
      <c r="C67" s="98">
        <v>146.9</v>
      </c>
      <c r="D67" s="98">
        <v>673.3</v>
      </c>
      <c r="E67" s="98">
        <v>221</v>
      </c>
      <c r="F67" s="98">
        <v>227.5</v>
      </c>
      <c r="G67" s="98">
        <v>186.3</v>
      </c>
      <c r="H67" s="98">
        <v>146.69999999999999</v>
      </c>
      <c r="I67" s="98">
        <v>177.7</v>
      </c>
      <c r="J67" s="98">
        <v>220.6</v>
      </c>
      <c r="K67" s="208">
        <v>156.5</v>
      </c>
      <c r="L67" s="208">
        <v>166.01999999999984</v>
      </c>
      <c r="M67" s="208">
        <v>227.44000000000048</v>
      </c>
      <c r="N67" s="98"/>
      <c r="O67" s="98"/>
      <c r="P67" s="98"/>
      <c r="Q67" s="208">
        <v>146.19999999999973</v>
      </c>
      <c r="R67" s="98">
        <v>198.66000000000005</v>
      </c>
      <c r="S67" s="98">
        <v>176.83999999999995</v>
      </c>
      <c r="T67" s="98">
        <v>264.65999999999872</v>
      </c>
      <c r="U67" s="98">
        <v>146.19999999999973</v>
      </c>
      <c r="V67" s="98">
        <v>530.71999999999957</v>
      </c>
      <c r="W67" s="98">
        <v>580.71999999999957</v>
      </c>
      <c r="X67" s="98"/>
      <c r="Y67" s="98"/>
      <c r="Z67" s="98"/>
      <c r="AA67" s="230">
        <v>177.9000000000006</v>
      </c>
      <c r="AB67" s="230">
        <v>703.07999999999936</v>
      </c>
      <c r="AC67" s="230">
        <v>342.32000000000011</v>
      </c>
    </row>
    <row r="68" spans="2:29">
      <c r="B68" s="98">
        <v>98</v>
      </c>
      <c r="C68" s="98">
        <v>146.6</v>
      </c>
      <c r="D68" s="98">
        <v>672.5</v>
      </c>
      <c r="E68" s="98">
        <v>220.6</v>
      </c>
      <c r="F68" s="98">
        <v>227.3</v>
      </c>
      <c r="G68" s="98">
        <v>185.9</v>
      </c>
      <c r="H68" s="98">
        <v>146.4</v>
      </c>
      <c r="I68" s="98">
        <v>177.4</v>
      </c>
      <c r="J68" s="98">
        <v>220.4</v>
      </c>
      <c r="K68" s="209">
        <v>156</v>
      </c>
      <c r="L68" s="209">
        <v>165.67999999999984</v>
      </c>
      <c r="M68" s="209">
        <v>226.96000000000049</v>
      </c>
      <c r="N68" s="98"/>
      <c r="O68" s="98"/>
      <c r="P68" s="98"/>
      <c r="Q68" s="208">
        <v>145.79999999999973</v>
      </c>
      <c r="R68" s="98">
        <v>198.44000000000005</v>
      </c>
      <c r="S68" s="98">
        <v>176.55999999999995</v>
      </c>
      <c r="T68" s="98">
        <v>264.43999999999869</v>
      </c>
      <c r="U68" s="98">
        <v>145.79999999999973</v>
      </c>
      <c r="V68" s="98">
        <v>530.47999999999956</v>
      </c>
      <c r="W68" s="98">
        <v>580.47999999999956</v>
      </c>
      <c r="X68" s="98"/>
      <c r="Y68" s="98"/>
      <c r="Z68" s="98"/>
      <c r="AA68" s="230">
        <v>177.60000000000059</v>
      </c>
      <c r="AB68" s="230">
        <v>702.71999999999935</v>
      </c>
      <c r="AC68" s="230">
        <v>341.88000000000011</v>
      </c>
    </row>
    <row r="69" spans="2:29">
      <c r="B69" s="98">
        <v>99</v>
      </c>
      <c r="C69" s="98">
        <v>146.30000000000001</v>
      </c>
      <c r="D69" s="98">
        <v>671.8</v>
      </c>
      <c r="E69" s="98">
        <v>220.3</v>
      </c>
      <c r="F69" s="98">
        <v>227.2</v>
      </c>
      <c r="G69" s="98">
        <v>185.4</v>
      </c>
      <c r="H69" s="98">
        <v>146.1</v>
      </c>
      <c r="I69" s="98">
        <v>177.1</v>
      </c>
      <c r="J69" s="98">
        <v>220.2</v>
      </c>
      <c r="K69" s="208">
        <v>155.5</v>
      </c>
      <c r="L69" s="208">
        <v>165.33999999999983</v>
      </c>
      <c r="M69" s="208">
        <v>226.4800000000005</v>
      </c>
      <c r="N69" s="98"/>
      <c r="O69" s="98"/>
      <c r="P69" s="98"/>
      <c r="Q69" s="208">
        <v>145.39999999999972</v>
      </c>
      <c r="R69" s="98">
        <v>198.22000000000006</v>
      </c>
      <c r="S69" s="98">
        <v>176.27999999999994</v>
      </c>
      <c r="T69" s="98">
        <v>264.21999999999866</v>
      </c>
      <c r="U69" s="98">
        <v>145.39999999999972</v>
      </c>
      <c r="V69" s="98">
        <v>530.23999999999955</v>
      </c>
      <c r="W69" s="98">
        <v>580.23999999999955</v>
      </c>
      <c r="X69" s="98"/>
      <c r="Y69" s="98"/>
      <c r="Z69" s="98"/>
      <c r="AA69" s="230">
        <v>177.30000000000058</v>
      </c>
      <c r="AB69" s="230">
        <v>702.35999999999933</v>
      </c>
      <c r="AC69" s="230">
        <v>341.44000000000011</v>
      </c>
    </row>
    <row r="70" spans="2:29">
      <c r="B70" s="98">
        <v>100</v>
      </c>
      <c r="C70" s="98">
        <v>146</v>
      </c>
      <c r="D70" s="98">
        <v>671</v>
      </c>
      <c r="E70" s="98">
        <v>220</v>
      </c>
      <c r="F70" s="98">
        <v>227</v>
      </c>
      <c r="G70" s="98">
        <v>185</v>
      </c>
      <c r="H70" s="98">
        <v>145.80000000000001</v>
      </c>
      <c r="I70" s="98">
        <v>176.8</v>
      </c>
      <c r="J70" s="98">
        <v>220</v>
      </c>
      <c r="K70" s="209">
        <v>155</v>
      </c>
      <c r="L70" s="209">
        <v>165</v>
      </c>
      <c r="M70" s="209">
        <v>226</v>
      </c>
      <c r="N70" s="98">
        <v>180</v>
      </c>
      <c r="O70" s="98">
        <v>180</v>
      </c>
      <c r="P70" s="98">
        <v>380</v>
      </c>
      <c r="Q70" s="209">
        <v>145</v>
      </c>
      <c r="R70" s="98">
        <v>198</v>
      </c>
      <c r="S70" s="98">
        <v>176</v>
      </c>
      <c r="T70" s="98">
        <v>264</v>
      </c>
      <c r="U70" s="98">
        <v>145</v>
      </c>
      <c r="V70" s="98">
        <v>530</v>
      </c>
      <c r="W70" s="98">
        <v>580</v>
      </c>
      <c r="X70" s="98">
        <v>314</v>
      </c>
      <c r="Y70" s="98">
        <v>268</v>
      </c>
      <c r="Z70" s="98">
        <v>314</v>
      </c>
      <c r="AA70" s="230">
        <v>177.00000000000057</v>
      </c>
      <c r="AB70" s="230">
        <v>702</v>
      </c>
      <c r="AC70" s="230">
        <v>341</v>
      </c>
    </row>
    <row r="71" spans="2:29">
      <c r="B71" s="98">
        <v>101</v>
      </c>
      <c r="C71" s="98">
        <v>145.80000000000001</v>
      </c>
      <c r="D71" s="98">
        <v>670.5</v>
      </c>
      <c r="E71" s="98">
        <v>219.9</v>
      </c>
      <c r="F71" s="98">
        <v>226.8</v>
      </c>
      <c r="G71" s="98">
        <v>184.8</v>
      </c>
      <c r="H71" s="98">
        <v>145.4</v>
      </c>
      <c r="I71" s="98">
        <v>176.4</v>
      </c>
      <c r="J71" s="98">
        <v>219.9</v>
      </c>
      <c r="K71" s="208">
        <v>154.69999999999999</v>
      </c>
      <c r="L71" s="208">
        <v>164.7</v>
      </c>
      <c r="M71" s="208">
        <v>225.74</v>
      </c>
      <c r="N71" s="98"/>
      <c r="O71" s="98"/>
      <c r="P71" s="98"/>
      <c r="Q71" s="208">
        <v>144.69999999999999</v>
      </c>
      <c r="R71" s="98">
        <v>197.78</v>
      </c>
      <c r="S71" s="98">
        <v>175.82</v>
      </c>
      <c r="T71" s="98">
        <v>263.77999999999997</v>
      </c>
      <c r="U71" s="98">
        <v>144.69999999999999</v>
      </c>
      <c r="V71" s="98">
        <v>529.70000000000005</v>
      </c>
      <c r="W71" s="98">
        <v>579.79999999999995</v>
      </c>
      <c r="X71" s="98"/>
      <c r="Y71" s="98"/>
      <c r="Z71" s="98"/>
      <c r="AA71" s="230">
        <f t="shared" ref="AA71:AA118" si="0">AA72+0.3</f>
        <v>176.70000000000056</v>
      </c>
      <c r="AB71" s="230">
        <v>701.5</v>
      </c>
      <c r="AC71" s="230">
        <v>340.5</v>
      </c>
    </row>
    <row r="72" spans="2:29">
      <c r="B72" s="98">
        <v>102</v>
      </c>
      <c r="C72" s="98">
        <v>145.69999999999999</v>
      </c>
      <c r="D72" s="98">
        <v>670</v>
      </c>
      <c r="E72" s="98">
        <v>219.8</v>
      </c>
      <c r="F72" s="98">
        <v>226.7</v>
      </c>
      <c r="G72" s="98">
        <v>184.7</v>
      </c>
      <c r="H72" s="98">
        <v>145.1</v>
      </c>
      <c r="I72" s="98">
        <v>176.1</v>
      </c>
      <c r="J72" s="98">
        <v>219.8</v>
      </c>
      <c r="K72" s="209">
        <v>154.39999999999998</v>
      </c>
      <c r="L72" s="209">
        <v>164.39999999999998</v>
      </c>
      <c r="M72" s="209">
        <v>225.48000000000002</v>
      </c>
      <c r="N72" s="98"/>
      <c r="O72" s="98"/>
      <c r="P72" s="98"/>
      <c r="Q72" s="208">
        <v>144.39999999999998</v>
      </c>
      <c r="R72" s="98">
        <v>197.56</v>
      </c>
      <c r="S72" s="98">
        <v>175.64</v>
      </c>
      <c r="T72" s="98">
        <v>263.55999999999995</v>
      </c>
      <c r="U72" s="98">
        <v>144.39999999999998</v>
      </c>
      <c r="V72" s="98">
        <v>529.40000000000009</v>
      </c>
      <c r="W72" s="98">
        <v>579.59999999999991</v>
      </c>
      <c r="X72" s="98"/>
      <c r="Y72" s="98"/>
      <c r="Z72" s="98"/>
      <c r="AA72" s="230">
        <f t="shared" si="0"/>
        <v>176.40000000000055</v>
      </c>
      <c r="AB72" s="230">
        <v>701</v>
      </c>
      <c r="AC72" s="230">
        <v>340</v>
      </c>
    </row>
    <row r="73" spans="2:29">
      <c r="B73" s="98">
        <v>103</v>
      </c>
      <c r="C73" s="98">
        <v>145.6</v>
      </c>
      <c r="D73" s="98">
        <v>669.5</v>
      </c>
      <c r="E73" s="98">
        <v>219.7</v>
      </c>
      <c r="F73" s="98">
        <v>226.6</v>
      </c>
      <c r="G73" s="98">
        <v>184.6</v>
      </c>
      <c r="H73" s="98">
        <v>144.80000000000001</v>
      </c>
      <c r="I73" s="98">
        <v>175.8</v>
      </c>
      <c r="J73" s="98">
        <v>219.6</v>
      </c>
      <c r="K73" s="208">
        <v>154.09999999999997</v>
      </c>
      <c r="L73" s="208">
        <v>164.09999999999997</v>
      </c>
      <c r="M73" s="208">
        <v>225.22000000000003</v>
      </c>
      <c r="N73" s="98"/>
      <c r="O73" s="98"/>
      <c r="P73" s="98"/>
      <c r="Q73" s="208">
        <v>144.09999999999997</v>
      </c>
      <c r="R73" s="98">
        <v>197.34</v>
      </c>
      <c r="S73" s="98">
        <v>175.45999999999998</v>
      </c>
      <c r="T73" s="98">
        <v>263.33999999999992</v>
      </c>
      <c r="U73" s="98">
        <v>144.09999999999997</v>
      </c>
      <c r="V73" s="98">
        <v>529.10000000000014</v>
      </c>
      <c r="W73" s="98">
        <v>579.39999999999986</v>
      </c>
      <c r="X73" s="98"/>
      <c r="Y73" s="98"/>
      <c r="Z73" s="98"/>
      <c r="AA73" s="230">
        <f t="shared" si="0"/>
        <v>176.10000000000053</v>
      </c>
      <c r="AB73" s="230">
        <v>700.5</v>
      </c>
      <c r="AC73" s="230">
        <v>339.5</v>
      </c>
    </row>
    <row r="74" spans="2:29">
      <c r="B74" s="98">
        <v>104</v>
      </c>
      <c r="C74" s="98">
        <v>145.4</v>
      </c>
      <c r="D74" s="98">
        <v>669</v>
      </c>
      <c r="E74" s="98">
        <v>219.6</v>
      </c>
      <c r="F74" s="98">
        <v>226.4</v>
      </c>
      <c r="G74" s="98">
        <v>184.4</v>
      </c>
      <c r="H74" s="98">
        <v>144.5</v>
      </c>
      <c r="I74" s="98">
        <v>175.5</v>
      </c>
      <c r="J74" s="98">
        <v>219.5</v>
      </c>
      <c r="K74" s="209">
        <v>153.79999999999995</v>
      </c>
      <c r="L74" s="209">
        <v>163.79999999999995</v>
      </c>
      <c r="M74" s="209">
        <v>224.96000000000004</v>
      </c>
      <c r="N74" s="98"/>
      <c r="O74" s="98"/>
      <c r="P74" s="98"/>
      <c r="Q74" s="208">
        <v>143.79999999999995</v>
      </c>
      <c r="R74" s="98">
        <v>197.12</v>
      </c>
      <c r="S74" s="98">
        <v>175.27999999999997</v>
      </c>
      <c r="T74" s="98">
        <v>263.11999999999989</v>
      </c>
      <c r="U74" s="98">
        <v>143.79999999999995</v>
      </c>
      <c r="V74" s="98">
        <v>528.80000000000018</v>
      </c>
      <c r="W74" s="98">
        <v>579.19999999999982</v>
      </c>
      <c r="X74" s="98"/>
      <c r="Y74" s="98"/>
      <c r="Z74" s="98"/>
      <c r="AA74" s="230">
        <f t="shared" si="0"/>
        <v>175.80000000000052</v>
      </c>
      <c r="AB74" s="230">
        <v>700</v>
      </c>
      <c r="AC74" s="230">
        <v>339</v>
      </c>
    </row>
    <row r="75" spans="2:29">
      <c r="B75" s="98">
        <v>105</v>
      </c>
      <c r="C75" s="98">
        <v>145.19999999999999</v>
      </c>
      <c r="D75" s="98">
        <v>668.5</v>
      </c>
      <c r="E75" s="98">
        <v>219.5</v>
      </c>
      <c r="F75" s="98">
        <v>226.2</v>
      </c>
      <c r="G75" s="98">
        <v>184.2</v>
      </c>
      <c r="H75" s="98">
        <v>144.1</v>
      </c>
      <c r="I75" s="98">
        <v>175.1</v>
      </c>
      <c r="J75" s="98">
        <v>219.4</v>
      </c>
      <c r="K75" s="208">
        <v>153.49999999999994</v>
      </c>
      <c r="L75" s="208">
        <v>163.49999999999994</v>
      </c>
      <c r="M75" s="208">
        <v>224.70000000000005</v>
      </c>
      <c r="N75" s="98"/>
      <c r="O75" s="98"/>
      <c r="P75" s="98"/>
      <c r="Q75" s="208">
        <v>143.49999999999994</v>
      </c>
      <c r="R75" s="98">
        <v>196.9</v>
      </c>
      <c r="S75" s="98">
        <v>175.09999999999997</v>
      </c>
      <c r="T75" s="98">
        <v>262.89999999999986</v>
      </c>
      <c r="U75" s="98">
        <v>143.49999999999994</v>
      </c>
      <c r="V75" s="98">
        <v>528.50000000000023</v>
      </c>
      <c r="W75" s="98">
        <v>578.99999999999977</v>
      </c>
      <c r="X75" s="98"/>
      <c r="Y75" s="98"/>
      <c r="Z75" s="98"/>
      <c r="AA75" s="230">
        <f t="shared" si="0"/>
        <v>175.50000000000051</v>
      </c>
      <c r="AB75" s="230">
        <v>699.5</v>
      </c>
      <c r="AC75" s="230">
        <v>338.5</v>
      </c>
    </row>
    <row r="76" spans="2:29">
      <c r="B76" s="98">
        <v>106</v>
      </c>
      <c r="C76" s="98">
        <v>145.1</v>
      </c>
      <c r="D76" s="98">
        <v>668</v>
      </c>
      <c r="E76" s="98">
        <v>219.4</v>
      </c>
      <c r="F76" s="98">
        <v>226.1</v>
      </c>
      <c r="G76" s="98">
        <v>184.1</v>
      </c>
      <c r="H76" s="98">
        <v>143.80000000000001</v>
      </c>
      <c r="I76" s="98">
        <v>174.8</v>
      </c>
      <c r="J76" s="98">
        <v>219.3</v>
      </c>
      <c r="K76" s="209">
        <v>153.19999999999993</v>
      </c>
      <c r="L76" s="209">
        <v>163.19999999999993</v>
      </c>
      <c r="M76" s="209">
        <v>224.44000000000005</v>
      </c>
      <c r="N76" s="98"/>
      <c r="O76" s="98"/>
      <c r="P76" s="98"/>
      <c r="Q76" s="208">
        <v>143.19999999999993</v>
      </c>
      <c r="R76" s="98">
        <v>196.68</v>
      </c>
      <c r="S76" s="98">
        <v>174.91999999999996</v>
      </c>
      <c r="T76" s="98">
        <v>262.67999999999984</v>
      </c>
      <c r="U76" s="98">
        <v>143.19999999999993</v>
      </c>
      <c r="V76" s="98">
        <v>528.20000000000027</v>
      </c>
      <c r="W76" s="98">
        <v>578.79999999999973</v>
      </c>
      <c r="X76" s="98"/>
      <c r="Y76" s="98"/>
      <c r="Z76" s="98"/>
      <c r="AA76" s="230">
        <f t="shared" si="0"/>
        <v>175.2000000000005</v>
      </c>
      <c r="AB76" s="230">
        <v>699</v>
      </c>
      <c r="AC76" s="230">
        <v>338</v>
      </c>
    </row>
    <row r="77" spans="2:29">
      <c r="B77" s="98">
        <v>107</v>
      </c>
      <c r="C77" s="98">
        <v>145</v>
      </c>
      <c r="D77" s="98">
        <v>667.5</v>
      </c>
      <c r="E77" s="98">
        <v>219.3</v>
      </c>
      <c r="F77" s="98">
        <v>226</v>
      </c>
      <c r="G77" s="98">
        <v>184</v>
      </c>
      <c r="H77" s="98">
        <v>143.5</v>
      </c>
      <c r="I77" s="98">
        <v>174.5</v>
      </c>
      <c r="J77" s="98">
        <v>219.2</v>
      </c>
      <c r="K77" s="208">
        <v>152.89999999999992</v>
      </c>
      <c r="L77" s="208">
        <v>162.89999999999992</v>
      </c>
      <c r="M77" s="208">
        <v>224.18000000000006</v>
      </c>
      <c r="N77" s="98"/>
      <c r="O77" s="98"/>
      <c r="P77" s="98"/>
      <c r="Q77" s="208">
        <v>142.89999999999992</v>
      </c>
      <c r="R77" s="98">
        <v>196.46</v>
      </c>
      <c r="S77" s="98">
        <v>174.73999999999995</v>
      </c>
      <c r="T77" s="98">
        <v>262.45999999999981</v>
      </c>
      <c r="U77" s="98">
        <v>142.89999999999992</v>
      </c>
      <c r="V77" s="98">
        <v>527.90000000000032</v>
      </c>
      <c r="W77" s="98">
        <v>578.59999999999968</v>
      </c>
      <c r="X77" s="98"/>
      <c r="Y77" s="98"/>
      <c r="Z77" s="98"/>
      <c r="AA77" s="230">
        <f t="shared" si="0"/>
        <v>174.90000000000049</v>
      </c>
      <c r="AB77" s="230">
        <v>698.5</v>
      </c>
      <c r="AC77" s="230">
        <v>337.5</v>
      </c>
    </row>
    <row r="78" spans="2:29">
      <c r="B78" s="98">
        <v>108</v>
      </c>
      <c r="C78" s="98">
        <v>144.80000000000001</v>
      </c>
      <c r="D78" s="98">
        <v>667</v>
      </c>
      <c r="E78" s="98">
        <v>219.2</v>
      </c>
      <c r="F78" s="98">
        <v>225.8</v>
      </c>
      <c r="G78" s="98">
        <v>183.8</v>
      </c>
      <c r="H78" s="98">
        <v>143.19999999999999</v>
      </c>
      <c r="I78" s="98">
        <v>174.2</v>
      </c>
      <c r="J78" s="98">
        <v>219</v>
      </c>
      <c r="K78" s="209">
        <v>152.59999999999991</v>
      </c>
      <c r="L78" s="209">
        <v>162.59999999999991</v>
      </c>
      <c r="M78" s="209">
        <v>223.92000000000007</v>
      </c>
      <c r="N78" s="98"/>
      <c r="O78" s="98"/>
      <c r="P78" s="98"/>
      <c r="Q78" s="208">
        <v>142.59999999999991</v>
      </c>
      <c r="R78" s="98">
        <v>196.24</v>
      </c>
      <c r="S78" s="98">
        <v>174.55999999999995</v>
      </c>
      <c r="T78" s="98">
        <v>262.23999999999978</v>
      </c>
      <c r="U78" s="98">
        <v>142.59999999999991</v>
      </c>
      <c r="V78" s="98">
        <v>527.60000000000036</v>
      </c>
      <c r="W78" s="98">
        <v>578.39999999999964</v>
      </c>
      <c r="X78" s="98"/>
      <c r="Y78" s="98"/>
      <c r="Z78" s="98"/>
      <c r="AA78" s="230">
        <f t="shared" si="0"/>
        <v>174.60000000000048</v>
      </c>
      <c r="AB78" s="230">
        <v>698</v>
      </c>
      <c r="AC78" s="230">
        <v>337</v>
      </c>
    </row>
    <row r="79" spans="2:29">
      <c r="B79" s="98">
        <v>109</v>
      </c>
      <c r="C79" s="98">
        <v>144.6</v>
      </c>
      <c r="D79" s="98">
        <v>666.5</v>
      </c>
      <c r="E79" s="98">
        <v>219.1</v>
      </c>
      <c r="F79" s="98">
        <v>225.6</v>
      </c>
      <c r="G79" s="98">
        <v>183.6</v>
      </c>
      <c r="H79" s="98">
        <v>142.9</v>
      </c>
      <c r="I79" s="98">
        <v>173.9</v>
      </c>
      <c r="J79" s="98">
        <v>218.9</v>
      </c>
      <c r="K79" s="208">
        <v>152.2999999999999</v>
      </c>
      <c r="L79" s="208">
        <v>162.2999999999999</v>
      </c>
      <c r="M79" s="208">
        <v>223.66000000000008</v>
      </c>
      <c r="N79" s="98"/>
      <c r="O79" s="98"/>
      <c r="P79" s="98"/>
      <c r="Q79" s="208">
        <v>142.2999999999999</v>
      </c>
      <c r="R79" s="98">
        <v>196.02</v>
      </c>
      <c r="S79" s="98">
        <v>174.37999999999994</v>
      </c>
      <c r="T79" s="98">
        <v>262.01999999999975</v>
      </c>
      <c r="U79" s="98">
        <v>142.2999999999999</v>
      </c>
      <c r="V79" s="98">
        <v>527.30000000000041</v>
      </c>
      <c r="W79" s="98">
        <v>578.19999999999959</v>
      </c>
      <c r="X79" s="98"/>
      <c r="Y79" s="98"/>
      <c r="Z79" s="98"/>
      <c r="AA79" s="230">
        <f t="shared" si="0"/>
        <v>174.30000000000047</v>
      </c>
      <c r="AB79" s="230">
        <v>697.5</v>
      </c>
      <c r="AC79" s="230">
        <v>336.5</v>
      </c>
    </row>
    <row r="80" spans="2:29">
      <c r="B80" s="98">
        <v>110</v>
      </c>
      <c r="C80" s="98">
        <v>144.5</v>
      </c>
      <c r="D80" s="98">
        <v>666</v>
      </c>
      <c r="E80" s="98">
        <v>219</v>
      </c>
      <c r="F80" s="98">
        <v>225.5</v>
      </c>
      <c r="G80" s="98">
        <v>183.5</v>
      </c>
      <c r="H80" s="98">
        <v>142.5</v>
      </c>
      <c r="I80" s="98">
        <v>173.5</v>
      </c>
      <c r="J80" s="98">
        <v>218.8</v>
      </c>
      <c r="K80" s="209">
        <v>151.99999999999989</v>
      </c>
      <c r="L80" s="209">
        <v>161.99999999999989</v>
      </c>
      <c r="M80" s="209">
        <v>223.40000000000009</v>
      </c>
      <c r="N80" s="98">
        <v>172</v>
      </c>
      <c r="O80" s="98">
        <v>172</v>
      </c>
      <c r="P80" s="98"/>
      <c r="Q80" s="208">
        <v>141.99999999999989</v>
      </c>
      <c r="R80" s="98">
        <v>195.8</v>
      </c>
      <c r="S80" s="98">
        <v>174.19999999999993</v>
      </c>
      <c r="T80" s="98">
        <v>261.79999999999973</v>
      </c>
      <c r="U80" s="98">
        <v>141.99999999999989</v>
      </c>
      <c r="V80" s="98">
        <v>527.00000000000045</v>
      </c>
      <c r="W80" s="98">
        <v>577.99999999999955</v>
      </c>
      <c r="X80" s="98"/>
      <c r="Y80" s="98"/>
      <c r="Z80" s="98"/>
      <c r="AA80" s="230">
        <f t="shared" si="0"/>
        <v>174.00000000000045</v>
      </c>
      <c r="AB80" s="230">
        <v>697</v>
      </c>
      <c r="AC80" s="230">
        <v>336</v>
      </c>
    </row>
    <row r="81" spans="2:29">
      <c r="B81" s="98">
        <v>111</v>
      </c>
      <c r="C81" s="98">
        <v>144.4</v>
      </c>
      <c r="D81" s="98">
        <v>665.5</v>
      </c>
      <c r="E81" s="98">
        <v>218.9</v>
      </c>
      <c r="F81" s="98">
        <v>225.4</v>
      </c>
      <c r="G81" s="98">
        <v>183.4</v>
      </c>
      <c r="H81" s="98">
        <v>142.19999999999999</v>
      </c>
      <c r="I81" s="98">
        <v>173.2</v>
      </c>
      <c r="J81" s="98">
        <v>218.7</v>
      </c>
      <c r="K81" s="208">
        <v>151.69999999999987</v>
      </c>
      <c r="L81" s="208">
        <v>161.69999999999987</v>
      </c>
      <c r="M81" s="208">
        <v>223.1400000000001</v>
      </c>
      <c r="N81" s="98"/>
      <c r="O81" s="98"/>
      <c r="P81" s="98"/>
      <c r="Q81" s="208">
        <v>141.69999999999987</v>
      </c>
      <c r="R81" s="98">
        <v>195.58</v>
      </c>
      <c r="S81" s="98">
        <v>174.01999999999992</v>
      </c>
      <c r="T81" s="98">
        <v>261.5799999999997</v>
      </c>
      <c r="U81" s="98">
        <v>141.69999999999987</v>
      </c>
      <c r="V81" s="98">
        <v>526.7000000000005</v>
      </c>
      <c r="W81" s="98">
        <v>577.7999999999995</v>
      </c>
      <c r="X81" s="98"/>
      <c r="Y81" s="98"/>
      <c r="Z81" s="98"/>
      <c r="AA81" s="230">
        <f t="shared" si="0"/>
        <v>173.70000000000044</v>
      </c>
      <c r="AB81" s="230">
        <v>696.5</v>
      </c>
      <c r="AC81" s="230">
        <v>335.5</v>
      </c>
    </row>
    <row r="82" spans="2:29">
      <c r="B82" s="98">
        <v>112</v>
      </c>
      <c r="C82" s="98">
        <v>144.19999999999999</v>
      </c>
      <c r="D82" s="98">
        <v>665</v>
      </c>
      <c r="E82" s="98">
        <v>218.8</v>
      </c>
      <c r="F82" s="98">
        <v>225.2</v>
      </c>
      <c r="G82" s="98">
        <v>183.2</v>
      </c>
      <c r="H82" s="98">
        <v>141.9</v>
      </c>
      <c r="I82" s="98">
        <v>172.9</v>
      </c>
      <c r="J82" s="98">
        <v>218.6</v>
      </c>
      <c r="K82" s="209">
        <v>151.39999999999986</v>
      </c>
      <c r="L82" s="209">
        <v>161.39999999999986</v>
      </c>
      <c r="M82" s="209">
        <v>222.88000000000011</v>
      </c>
      <c r="N82" s="98"/>
      <c r="O82" s="98"/>
      <c r="P82" s="98"/>
      <c r="Q82" s="208">
        <v>141.39999999999986</v>
      </c>
      <c r="R82" s="98">
        <v>195.36</v>
      </c>
      <c r="S82" s="98">
        <v>173.83999999999992</v>
      </c>
      <c r="T82" s="98">
        <v>261.35999999999967</v>
      </c>
      <c r="U82" s="98">
        <v>141.39999999999986</v>
      </c>
      <c r="V82" s="98">
        <v>526.40000000000055</v>
      </c>
      <c r="W82" s="98">
        <v>577.59999999999945</v>
      </c>
      <c r="X82" s="98"/>
      <c r="Y82" s="98"/>
      <c r="Z82" s="98"/>
      <c r="AA82" s="230">
        <f t="shared" si="0"/>
        <v>173.40000000000043</v>
      </c>
      <c r="AB82" s="230">
        <v>696</v>
      </c>
      <c r="AC82" s="230">
        <v>335</v>
      </c>
    </row>
    <row r="83" spans="2:29">
      <c r="B83" s="98">
        <v>113</v>
      </c>
      <c r="C83" s="98">
        <v>144</v>
      </c>
      <c r="D83" s="98">
        <v>664.5</v>
      </c>
      <c r="E83" s="98">
        <v>218.7</v>
      </c>
      <c r="F83" s="98">
        <v>225</v>
      </c>
      <c r="G83" s="98">
        <v>183</v>
      </c>
      <c r="H83" s="98">
        <v>141.6</v>
      </c>
      <c r="I83" s="98">
        <v>172.6</v>
      </c>
      <c r="J83" s="98">
        <v>218.4</v>
      </c>
      <c r="K83" s="208">
        <v>151.09999999999985</v>
      </c>
      <c r="L83" s="208">
        <v>161.09999999999985</v>
      </c>
      <c r="M83" s="208">
        <v>222.62000000000012</v>
      </c>
      <c r="N83" s="98"/>
      <c r="O83" s="98"/>
      <c r="P83" s="98"/>
      <c r="Q83" s="208">
        <v>141.09999999999985</v>
      </c>
      <c r="R83" s="98">
        <v>195.14000000000001</v>
      </c>
      <c r="S83" s="98">
        <v>173.65999999999991</v>
      </c>
      <c r="T83" s="98">
        <v>261.13999999999965</v>
      </c>
      <c r="U83" s="98">
        <v>141.09999999999985</v>
      </c>
      <c r="V83" s="98">
        <v>526.10000000000059</v>
      </c>
      <c r="W83" s="98">
        <v>577.39999999999941</v>
      </c>
      <c r="X83" s="98"/>
      <c r="Y83" s="98"/>
      <c r="Z83" s="98"/>
      <c r="AA83" s="230">
        <f t="shared" si="0"/>
        <v>173.10000000000042</v>
      </c>
      <c r="AB83" s="230">
        <v>695.5</v>
      </c>
      <c r="AC83" s="230">
        <v>334.5</v>
      </c>
    </row>
    <row r="84" spans="2:29">
      <c r="B84" s="98">
        <v>114</v>
      </c>
      <c r="C84" s="98">
        <v>143.9</v>
      </c>
      <c r="D84" s="98">
        <v>664</v>
      </c>
      <c r="E84" s="98">
        <v>218.6</v>
      </c>
      <c r="F84" s="98">
        <v>224.9</v>
      </c>
      <c r="G84" s="98">
        <v>182.9</v>
      </c>
      <c r="H84" s="98">
        <v>141.19999999999999</v>
      </c>
      <c r="I84" s="98">
        <v>172.2</v>
      </c>
      <c r="J84" s="98">
        <v>218.3</v>
      </c>
      <c r="K84" s="209">
        <v>150.79999999999984</v>
      </c>
      <c r="L84" s="209">
        <v>160.79999999999984</v>
      </c>
      <c r="M84" s="209">
        <v>222.36000000000013</v>
      </c>
      <c r="N84" s="98"/>
      <c r="O84" s="98"/>
      <c r="P84" s="98"/>
      <c r="Q84" s="208">
        <v>140.79999999999984</v>
      </c>
      <c r="R84" s="98">
        <v>194.92000000000002</v>
      </c>
      <c r="S84" s="98">
        <v>173.4799999999999</v>
      </c>
      <c r="T84" s="98">
        <v>260.91999999999962</v>
      </c>
      <c r="U84" s="98">
        <v>140.79999999999984</v>
      </c>
      <c r="V84" s="98">
        <v>525.80000000000064</v>
      </c>
      <c r="W84" s="98">
        <v>577.19999999999936</v>
      </c>
      <c r="X84" s="98"/>
      <c r="Y84" s="98"/>
      <c r="Z84" s="98"/>
      <c r="AA84" s="230">
        <f t="shared" si="0"/>
        <v>172.80000000000041</v>
      </c>
      <c r="AB84" s="230">
        <v>695</v>
      </c>
      <c r="AC84" s="230">
        <v>334</v>
      </c>
    </row>
    <row r="85" spans="2:29">
      <c r="B85" s="98">
        <v>115</v>
      </c>
      <c r="C85" s="98">
        <v>143.80000000000001</v>
      </c>
      <c r="D85" s="98">
        <v>663.5</v>
      </c>
      <c r="E85" s="98">
        <v>218.5</v>
      </c>
      <c r="F85" s="98">
        <v>224.8</v>
      </c>
      <c r="G85" s="98">
        <v>182.8</v>
      </c>
      <c r="H85" s="98">
        <v>140.9</v>
      </c>
      <c r="I85" s="98">
        <v>171.9</v>
      </c>
      <c r="J85" s="98">
        <v>218.2</v>
      </c>
      <c r="K85" s="208">
        <v>150.49999999999983</v>
      </c>
      <c r="L85" s="208">
        <v>160.49999999999983</v>
      </c>
      <c r="M85" s="208">
        <v>222.10000000000014</v>
      </c>
      <c r="N85" s="98"/>
      <c r="O85" s="98"/>
      <c r="P85" s="98"/>
      <c r="Q85" s="208">
        <v>140.49999999999983</v>
      </c>
      <c r="R85" s="98">
        <v>194.70000000000002</v>
      </c>
      <c r="S85" s="98">
        <v>173.2999999999999</v>
      </c>
      <c r="T85" s="98">
        <v>260.69999999999959</v>
      </c>
      <c r="U85" s="98">
        <v>140.49999999999983</v>
      </c>
      <c r="V85" s="98">
        <v>525.50000000000068</v>
      </c>
      <c r="W85" s="98">
        <v>576.99999999999932</v>
      </c>
      <c r="X85" s="98"/>
      <c r="Y85" s="98"/>
      <c r="Z85" s="98"/>
      <c r="AA85" s="230">
        <f t="shared" si="0"/>
        <v>172.5000000000004</v>
      </c>
      <c r="AB85" s="230">
        <v>694.5</v>
      </c>
      <c r="AC85" s="230">
        <v>333.5</v>
      </c>
    </row>
    <row r="86" spans="2:29">
      <c r="B86" s="98">
        <v>116</v>
      </c>
      <c r="C86" s="98">
        <v>143.6</v>
      </c>
      <c r="D86" s="98">
        <v>663</v>
      </c>
      <c r="E86" s="98">
        <v>218.4</v>
      </c>
      <c r="F86" s="98">
        <v>224.6</v>
      </c>
      <c r="G86" s="98">
        <v>182.6</v>
      </c>
      <c r="H86" s="98">
        <v>140.6</v>
      </c>
      <c r="I86" s="98">
        <v>171.6</v>
      </c>
      <c r="J86" s="98">
        <v>218.1</v>
      </c>
      <c r="K86" s="209">
        <v>150.19999999999982</v>
      </c>
      <c r="L86" s="209">
        <v>160.19999999999982</v>
      </c>
      <c r="M86" s="209">
        <v>221.84000000000015</v>
      </c>
      <c r="N86" s="98"/>
      <c r="O86" s="98"/>
      <c r="P86" s="98"/>
      <c r="Q86" s="208">
        <v>140.19999999999982</v>
      </c>
      <c r="R86" s="98">
        <v>194.48000000000002</v>
      </c>
      <c r="S86" s="98">
        <v>173.11999999999989</v>
      </c>
      <c r="T86" s="98">
        <v>260.47999999999956</v>
      </c>
      <c r="U86" s="98">
        <v>140.19999999999982</v>
      </c>
      <c r="V86" s="98">
        <v>525.20000000000073</v>
      </c>
      <c r="W86" s="98">
        <v>576.79999999999927</v>
      </c>
      <c r="X86" s="98"/>
      <c r="Y86" s="98"/>
      <c r="Z86" s="98"/>
      <c r="AA86" s="230">
        <f t="shared" si="0"/>
        <v>172.20000000000039</v>
      </c>
      <c r="AB86" s="230">
        <v>694</v>
      </c>
      <c r="AC86" s="230">
        <v>333</v>
      </c>
    </row>
    <row r="87" spans="2:29">
      <c r="B87" s="98">
        <v>117</v>
      </c>
      <c r="C87" s="98">
        <v>143.4</v>
      </c>
      <c r="D87" s="98">
        <v>662.5</v>
      </c>
      <c r="E87" s="98">
        <v>218.3</v>
      </c>
      <c r="F87" s="98">
        <v>224.4</v>
      </c>
      <c r="G87" s="98">
        <v>182.4</v>
      </c>
      <c r="H87" s="98">
        <v>140.30000000000001</v>
      </c>
      <c r="I87" s="98">
        <v>171.3</v>
      </c>
      <c r="J87" s="98">
        <v>218</v>
      </c>
      <c r="K87" s="208">
        <v>149.89999999999981</v>
      </c>
      <c r="L87" s="208">
        <v>159.89999999999981</v>
      </c>
      <c r="M87" s="208">
        <v>221.58000000000015</v>
      </c>
      <c r="N87" s="98"/>
      <c r="O87" s="98"/>
      <c r="P87" s="98"/>
      <c r="Q87" s="208">
        <v>139.89999999999981</v>
      </c>
      <c r="R87" s="98">
        <v>194.26000000000002</v>
      </c>
      <c r="S87" s="98">
        <v>172.93999999999988</v>
      </c>
      <c r="T87" s="98">
        <v>260.25999999999954</v>
      </c>
      <c r="U87" s="98">
        <v>139.89999999999981</v>
      </c>
      <c r="V87" s="98">
        <v>524.90000000000077</v>
      </c>
      <c r="W87" s="98">
        <v>576.59999999999923</v>
      </c>
      <c r="X87" s="98"/>
      <c r="Y87" s="98"/>
      <c r="Z87" s="98"/>
      <c r="AA87" s="230">
        <f t="shared" si="0"/>
        <v>171.90000000000038</v>
      </c>
      <c r="AB87" s="230">
        <v>693.5</v>
      </c>
      <c r="AC87" s="230">
        <v>332.5</v>
      </c>
    </row>
    <row r="88" spans="2:29">
      <c r="B88" s="98">
        <v>118</v>
      </c>
      <c r="C88" s="98">
        <v>143.30000000000001</v>
      </c>
      <c r="D88" s="98">
        <v>662</v>
      </c>
      <c r="E88" s="98">
        <v>218.2</v>
      </c>
      <c r="F88" s="98">
        <v>224.3</v>
      </c>
      <c r="G88" s="98">
        <v>182.3</v>
      </c>
      <c r="H88" s="98">
        <v>140</v>
      </c>
      <c r="I88" s="98">
        <v>171</v>
      </c>
      <c r="J88" s="98">
        <v>217.8</v>
      </c>
      <c r="K88" s="209">
        <v>149.5999999999998</v>
      </c>
      <c r="L88" s="209">
        <v>159.5999999999998</v>
      </c>
      <c r="M88" s="209">
        <v>221.32000000000016</v>
      </c>
      <c r="N88" s="98"/>
      <c r="O88" s="98"/>
      <c r="P88" s="98"/>
      <c r="Q88" s="208">
        <v>139.5999999999998</v>
      </c>
      <c r="R88" s="98">
        <v>194.04000000000002</v>
      </c>
      <c r="S88" s="98">
        <v>172.75999999999988</v>
      </c>
      <c r="T88" s="98">
        <v>260.03999999999951</v>
      </c>
      <c r="U88" s="98">
        <v>139.5999999999998</v>
      </c>
      <c r="V88" s="98">
        <v>524.60000000000082</v>
      </c>
      <c r="W88" s="98">
        <v>576.39999999999918</v>
      </c>
      <c r="X88" s="98"/>
      <c r="Y88" s="98"/>
      <c r="Z88" s="98"/>
      <c r="AA88" s="230">
        <f t="shared" si="0"/>
        <v>171.60000000000036</v>
      </c>
      <c r="AB88" s="230">
        <v>693</v>
      </c>
      <c r="AC88" s="230">
        <v>332</v>
      </c>
    </row>
    <row r="89" spans="2:29">
      <c r="B89" s="98">
        <v>119</v>
      </c>
      <c r="C89" s="98">
        <v>143.19999999999999</v>
      </c>
      <c r="D89" s="98">
        <v>661.5</v>
      </c>
      <c r="E89" s="98">
        <v>218.1</v>
      </c>
      <c r="F89" s="98">
        <v>224.2</v>
      </c>
      <c r="G89" s="98">
        <v>182.2</v>
      </c>
      <c r="H89" s="98">
        <v>139.6</v>
      </c>
      <c r="I89" s="98">
        <v>170.6</v>
      </c>
      <c r="J89" s="98">
        <v>217.7</v>
      </c>
      <c r="K89" s="208">
        <v>149.29999999999978</v>
      </c>
      <c r="L89" s="208">
        <v>159.29999999999978</v>
      </c>
      <c r="M89" s="208">
        <v>221.06000000000017</v>
      </c>
      <c r="N89" s="98"/>
      <c r="O89" s="98"/>
      <c r="P89" s="98"/>
      <c r="Q89" s="208">
        <v>139.29999999999978</v>
      </c>
      <c r="R89" s="98">
        <v>193.82000000000002</v>
      </c>
      <c r="S89" s="98">
        <v>172.57999999999987</v>
      </c>
      <c r="T89" s="98">
        <v>259.81999999999948</v>
      </c>
      <c r="U89" s="98">
        <v>139.29999999999978</v>
      </c>
      <c r="V89" s="98">
        <v>524.30000000000086</v>
      </c>
      <c r="W89" s="98">
        <v>576.19999999999914</v>
      </c>
      <c r="X89" s="98"/>
      <c r="Y89" s="98"/>
      <c r="Z89" s="98"/>
      <c r="AA89" s="230">
        <f t="shared" si="0"/>
        <v>171.30000000000035</v>
      </c>
      <c r="AB89" s="230">
        <v>692.5</v>
      </c>
      <c r="AC89" s="230">
        <v>331.5</v>
      </c>
    </row>
    <row r="90" spans="2:29">
      <c r="B90" s="98">
        <v>120</v>
      </c>
      <c r="C90" s="98">
        <v>143</v>
      </c>
      <c r="D90" s="98">
        <v>661</v>
      </c>
      <c r="E90" s="98">
        <v>218</v>
      </c>
      <c r="F90" s="98">
        <v>224</v>
      </c>
      <c r="G90" s="98">
        <v>182</v>
      </c>
      <c r="H90" s="98">
        <v>139.30000000000001</v>
      </c>
      <c r="I90" s="98">
        <v>170.3</v>
      </c>
      <c r="J90" s="98">
        <v>217.6</v>
      </c>
      <c r="K90" s="209">
        <v>148.99999999999977</v>
      </c>
      <c r="L90" s="209">
        <v>158.99999999999977</v>
      </c>
      <c r="M90" s="209">
        <v>220.80000000000018</v>
      </c>
      <c r="N90" s="98"/>
      <c r="O90" s="98"/>
      <c r="P90" s="98"/>
      <c r="Q90" s="208">
        <v>138.99999999999977</v>
      </c>
      <c r="R90" s="98">
        <v>193.60000000000002</v>
      </c>
      <c r="S90" s="98">
        <v>172.39999999999986</v>
      </c>
      <c r="T90" s="98">
        <v>259.59999999999945</v>
      </c>
      <c r="U90" s="98">
        <v>138.99999999999977</v>
      </c>
      <c r="V90" s="98">
        <v>524.00000000000091</v>
      </c>
      <c r="W90" s="98">
        <v>575.99999999999909</v>
      </c>
      <c r="X90" s="98"/>
      <c r="Y90" s="98"/>
      <c r="Z90" s="98"/>
      <c r="AA90" s="230">
        <f t="shared" si="0"/>
        <v>171.00000000000034</v>
      </c>
      <c r="AB90" s="230">
        <v>692</v>
      </c>
      <c r="AC90" s="230">
        <v>331</v>
      </c>
    </row>
    <row r="91" spans="2:29">
      <c r="B91" s="98">
        <v>121</v>
      </c>
      <c r="C91" s="98">
        <v>142</v>
      </c>
      <c r="D91" s="98">
        <v>660.4</v>
      </c>
      <c r="E91" s="98">
        <v>217.8</v>
      </c>
      <c r="F91" s="98">
        <v>223.8</v>
      </c>
      <c r="G91" s="98">
        <v>181.8</v>
      </c>
      <c r="H91" s="98">
        <v>139</v>
      </c>
      <c r="I91" s="98">
        <v>170</v>
      </c>
      <c r="J91" s="98">
        <v>217.5</v>
      </c>
      <c r="K91" s="208">
        <v>148.69999999999976</v>
      </c>
      <c r="L91" s="208">
        <v>158.69999999999976</v>
      </c>
      <c r="M91" s="208">
        <v>220.54000000000019</v>
      </c>
      <c r="N91" s="98"/>
      <c r="O91" s="98"/>
      <c r="P91" s="98"/>
      <c r="Q91" s="208">
        <v>138.69999999999976</v>
      </c>
      <c r="R91" s="98">
        <v>193.38000000000002</v>
      </c>
      <c r="S91" s="98">
        <v>172.21999999999986</v>
      </c>
      <c r="T91" s="98">
        <v>259.37999999999943</v>
      </c>
      <c r="U91" s="98">
        <v>138.69999999999976</v>
      </c>
      <c r="V91" s="98">
        <v>523.70000000000095</v>
      </c>
      <c r="W91" s="98">
        <v>575.79999999999905</v>
      </c>
      <c r="X91" s="98"/>
      <c r="Y91" s="98"/>
      <c r="Z91" s="98"/>
      <c r="AA91" s="230">
        <f t="shared" si="0"/>
        <v>170.70000000000033</v>
      </c>
      <c r="AB91" s="230">
        <v>691.5</v>
      </c>
      <c r="AC91" s="230">
        <v>330.5</v>
      </c>
    </row>
    <row r="92" spans="2:29">
      <c r="B92" s="98">
        <v>122</v>
      </c>
      <c r="C92" s="98">
        <v>141</v>
      </c>
      <c r="D92" s="98">
        <v>659.8</v>
      </c>
      <c r="E92" s="98">
        <v>217.6</v>
      </c>
      <c r="F92" s="98">
        <v>223.6</v>
      </c>
      <c r="G92" s="98">
        <v>181.6</v>
      </c>
      <c r="H92" s="98">
        <v>138.80000000000001</v>
      </c>
      <c r="I92" s="98">
        <v>169.7</v>
      </c>
      <c r="J92" s="98">
        <v>217.4</v>
      </c>
      <c r="K92" s="209">
        <v>148.39999999999975</v>
      </c>
      <c r="L92" s="209">
        <v>158.39999999999975</v>
      </c>
      <c r="M92" s="209">
        <v>220.2800000000002</v>
      </c>
      <c r="N92" s="98"/>
      <c r="O92" s="98"/>
      <c r="P92" s="98"/>
      <c r="Q92" s="208">
        <v>138.39999999999975</v>
      </c>
      <c r="R92" s="98">
        <v>193.16000000000003</v>
      </c>
      <c r="S92" s="98">
        <v>172.03999999999985</v>
      </c>
      <c r="T92" s="98">
        <v>259.1599999999994</v>
      </c>
      <c r="U92" s="98">
        <v>138.39999999999975</v>
      </c>
      <c r="V92" s="98">
        <v>523.400000000001</v>
      </c>
      <c r="W92" s="98">
        <v>575.599999999999</v>
      </c>
      <c r="X92" s="98"/>
      <c r="Y92" s="98"/>
      <c r="Z92" s="98"/>
      <c r="AA92" s="230">
        <f t="shared" si="0"/>
        <v>170.40000000000032</v>
      </c>
      <c r="AB92" s="230">
        <v>691</v>
      </c>
      <c r="AC92" s="230">
        <v>330</v>
      </c>
    </row>
    <row r="93" spans="2:29">
      <c r="B93" s="98">
        <v>123</v>
      </c>
      <c r="C93" s="98">
        <v>140</v>
      </c>
      <c r="D93" s="98">
        <v>659.2</v>
      </c>
      <c r="E93" s="98">
        <v>217.4</v>
      </c>
      <c r="F93" s="98">
        <v>223.4</v>
      </c>
      <c r="G93" s="98">
        <v>181.4</v>
      </c>
      <c r="H93" s="98">
        <v>138.5</v>
      </c>
      <c r="I93" s="98">
        <v>169.4</v>
      </c>
      <c r="J93" s="98">
        <v>217.2</v>
      </c>
      <c r="K93" s="208">
        <v>148.09999999999974</v>
      </c>
      <c r="L93" s="208">
        <v>158.09999999999974</v>
      </c>
      <c r="M93" s="208">
        <v>220.02000000000021</v>
      </c>
      <c r="N93" s="98"/>
      <c r="O93" s="98"/>
      <c r="P93" s="98"/>
      <c r="Q93" s="208">
        <v>138.09999999999974</v>
      </c>
      <c r="R93" s="98">
        <v>192.94000000000003</v>
      </c>
      <c r="S93" s="98">
        <v>171.85999999999984</v>
      </c>
      <c r="T93" s="98">
        <v>258.93999999999937</v>
      </c>
      <c r="U93" s="98">
        <v>138.09999999999974</v>
      </c>
      <c r="V93" s="98">
        <v>523.10000000000105</v>
      </c>
      <c r="W93" s="98">
        <v>575.39999999999895</v>
      </c>
      <c r="X93" s="98"/>
      <c r="Y93" s="98"/>
      <c r="Z93" s="98"/>
      <c r="AA93" s="230">
        <f t="shared" si="0"/>
        <v>170.10000000000031</v>
      </c>
      <c r="AB93" s="230">
        <v>690.5</v>
      </c>
      <c r="AC93" s="230">
        <v>329.5</v>
      </c>
    </row>
    <row r="94" spans="2:29">
      <c r="B94" s="98">
        <v>124</v>
      </c>
      <c r="C94" s="98">
        <v>139</v>
      </c>
      <c r="D94" s="98">
        <v>658.6</v>
      </c>
      <c r="E94" s="98">
        <v>217.2</v>
      </c>
      <c r="F94" s="98">
        <v>223.2</v>
      </c>
      <c r="G94" s="98">
        <v>181.2</v>
      </c>
      <c r="H94" s="98">
        <v>138.19999999999999</v>
      </c>
      <c r="I94" s="98">
        <v>169</v>
      </c>
      <c r="J94" s="98">
        <v>217.1</v>
      </c>
      <c r="K94" s="209">
        <v>147.79999999999973</v>
      </c>
      <c r="L94" s="209">
        <v>157.79999999999973</v>
      </c>
      <c r="M94" s="209">
        <v>219.76000000000022</v>
      </c>
      <c r="N94" s="98"/>
      <c r="O94" s="98"/>
      <c r="P94" s="98"/>
      <c r="Q94" s="208">
        <v>137.79999999999973</v>
      </c>
      <c r="R94" s="98">
        <v>192.72000000000003</v>
      </c>
      <c r="S94" s="98">
        <v>171.67999999999984</v>
      </c>
      <c r="T94" s="98">
        <v>258.71999999999935</v>
      </c>
      <c r="U94" s="98">
        <v>137.79999999999973</v>
      </c>
      <c r="V94" s="98">
        <v>522.80000000000109</v>
      </c>
      <c r="W94" s="98">
        <v>575.19999999999891</v>
      </c>
      <c r="X94" s="98"/>
      <c r="Y94" s="98"/>
      <c r="Z94" s="98"/>
      <c r="AA94" s="230">
        <f t="shared" si="0"/>
        <v>169.8000000000003</v>
      </c>
      <c r="AB94" s="230">
        <v>690</v>
      </c>
      <c r="AC94" s="230">
        <v>329</v>
      </c>
    </row>
    <row r="95" spans="2:29">
      <c r="B95" s="98">
        <v>125</v>
      </c>
      <c r="C95" s="98">
        <v>138</v>
      </c>
      <c r="D95" s="98">
        <v>658</v>
      </c>
      <c r="E95" s="98">
        <v>217</v>
      </c>
      <c r="F95" s="98">
        <v>223</v>
      </c>
      <c r="G95" s="98">
        <v>181</v>
      </c>
      <c r="H95" s="98">
        <v>138</v>
      </c>
      <c r="I95" s="98">
        <v>168.7</v>
      </c>
      <c r="J95" s="98">
        <v>217</v>
      </c>
      <c r="K95" s="208">
        <v>147.49999999999972</v>
      </c>
      <c r="L95" s="208">
        <v>157.49999999999972</v>
      </c>
      <c r="M95" s="208">
        <v>219.50000000000023</v>
      </c>
      <c r="N95" s="98"/>
      <c r="O95" s="98"/>
      <c r="P95" s="98"/>
      <c r="Q95" s="208">
        <v>137.49999999999972</v>
      </c>
      <c r="R95" s="98">
        <v>192.50000000000003</v>
      </c>
      <c r="S95" s="98">
        <v>171.49999999999983</v>
      </c>
      <c r="T95" s="98">
        <v>258.49999999999932</v>
      </c>
      <c r="U95" s="98">
        <v>137.49999999999972</v>
      </c>
      <c r="V95" s="98">
        <v>522.50000000000114</v>
      </c>
      <c r="W95" s="98">
        <v>574.99999999999886</v>
      </c>
      <c r="X95" s="98"/>
      <c r="Y95" s="98"/>
      <c r="Z95" s="98"/>
      <c r="AA95" s="230">
        <f t="shared" si="0"/>
        <v>169.50000000000028</v>
      </c>
      <c r="AB95" s="230">
        <v>689.5</v>
      </c>
      <c r="AC95" s="230">
        <v>328.5</v>
      </c>
    </row>
    <row r="96" spans="2:29">
      <c r="B96" s="98">
        <v>126</v>
      </c>
      <c r="C96" s="98">
        <v>137.69999999999999</v>
      </c>
      <c r="D96" s="98">
        <v>657.6</v>
      </c>
      <c r="E96" s="98">
        <v>216.9</v>
      </c>
      <c r="F96" s="98">
        <v>222.8</v>
      </c>
      <c r="G96" s="98">
        <v>180.8</v>
      </c>
      <c r="H96" s="98">
        <v>137.80000000000001</v>
      </c>
      <c r="I96" s="98">
        <v>168.4</v>
      </c>
      <c r="J96" s="98">
        <v>216.9</v>
      </c>
      <c r="K96" s="209">
        <v>147.1999999999997</v>
      </c>
      <c r="L96" s="209">
        <v>157.1999999999997</v>
      </c>
      <c r="M96" s="209">
        <v>219.24000000000024</v>
      </c>
      <c r="N96" s="98"/>
      <c r="O96" s="98"/>
      <c r="P96" s="98"/>
      <c r="Q96" s="208">
        <v>137.1999999999997</v>
      </c>
      <c r="R96" s="98">
        <v>192.28000000000003</v>
      </c>
      <c r="S96" s="98">
        <v>171.31999999999982</v>
      </c>
      <c r="T96" s="98">
        <v>258.27999999999929</v>
      </c>
      <c r="U96" s="98">
        <v>137.1999999999997</v>
      </c>
      <c r="V96" s="98">
        <v>522.20000000000118</v>
      </c>
      <c r="W96" s="98">
        <v>574.79999999999882</v>
      </c>
      <c r="X96" s="98"/>
      <c r="Y96" s="98"/>
      <c r="Z96" s="98"/>
      <c r="AA96" s="230">
        <f t="shared" si="0"/>
        <v>169.20000000000027</v>
      </c>
      <c r="AB96" s="230">
        <v>689</v>
      </c>
      <c r="AC96" s="230">
        <v>328</v>
      </c>
    </row>
    <row r="97" spans="2:29">
      <c r="B97" s="98">
        <v>127</v>
      </c>
      <c r="C97" s="98">
        <v>137.4</v>
      </c>
      <c r="D97" s="98">
        <v>657.2</v>
      </c>
      <c r="E97" s="98">
        <v>216.8</v>
      </c>
      <c r="F97" s="98">
        <v>222.7</v>
      </c>
      <c r="G97" s="98">
        <v>180.6</v>
      </c>
      <c r="H97" s="98">
        <v>137.5</v>
      </c>
      <c r="I97" s="98">
        <v>168.1</v>
      </c>
      <c r="J97" s="98">
        <v>216.8</v>
      </c>
      <c r="K97" s="208">
        <v>146.89999999999969</v>
      </c>
      <c r="L97" s="208">
        <v>156.89999999999969</v>
      </c>
      <c r="M97" s="208">
        <v>218.98000000000025</v>
      </c>
      <c r="N97" s="98"/>
      <c r="O97" s="98"/>
      <c r="P97" s="98"/>
      <c r="Q97" s="208">
        <v>136.89999999999969</v>
      </c>
      <c r="R97" s="98">
        <v>192.06000000000003</v>
      </c>
      <c r="S97" s="98">
        <v>171.13999999999982</v>
      </c>
      <c r="T97" s="98">
        <v>258.05999999999926</v>
      </c>
      <c r="U97" s="98">
        <v>136.89999999999969</v>
      </c>
      <c r="V97" s="98">
        <v>521.90000000000123</v>
      </c>
      <c r="W97" s="98">
        <v>574.59999999999877</v>
      </c>
      <c r="X97" s="98"/>
      <c r="Y97" s="98"/>
      <c r="Z97" s="98"/>
      <c r="AA97" s="230">
        <f t="shared" si="0"/>
        <v>168.90000000000026</v>
      </c>
      <c r="AB97" s="230">
        <v>688.5</v>
      </c>
      <c r="AC97" s="230">
        <v>327.5</v>
      </c>
    </row>
    <row r="98" spans="2:29">
      <c r="B98" s="98">
        <v>128</v>
      </c>
      <c r="C98" s="98">
        <v>137.1</v>
      </c>
      <c r="D98" s="98">
        <v>656.8</v>
      </c>
      <c r="E98" s="98">
        <v>216.6</v>
      </c>
      <c r="F98" s="98">
        <v>222.5</v>
      </c>
      <c r="G98" s="98">
        <v>180.4</v>
      </c>
      <c r="H98" s="98">
        <v>137.19999999999999</v>
      </c>
      <c r="I98" s="98">
        <v>167.8</v>
      </c>
      <c r="J98" s="98">
        <v>216.6</v>
      </c>
      <c r="K98" s="209">
        <v>146.59999999999968</v>
      </c>
      <c r="L98" s="209">
        <v>156.59999999999968</v>
      </c>
      <c r="M98" s="209">
        <v>218.72000000000025</v>
      </c>
      <c r="N98" s="98"/>
      <c r="O98" s="98"/>
      <c r="P98" s="98"/>
      <c r="Q98" s="208">
        <v>136.59999999999968</v>
      </c>
      <c r="R98" s="98">
        <v>191.84000000000003</v>
      </c>
      <c r="S98" s="98">
        <v>170.95999999999981</v>
      </c>
      <c r="T98" s="98">
        <v>257.83999999999924</v>
      </c>
      <c r="U98" s="98">
        <v>136.59999999999968</v>
      </c>
      <c r="V98" s="98">
        <v>521.60000000000127</v>
      </c>
      <c r="W98" s="98">
        <v>574.39999999999873</v>
      </c>
      <c r="X98" s="98"/>
      <c r="Y98" s="98"/>
      <c r="Z98" s="98"/>
      <c r="AA98" s="230">
        <f t="shared" si="0"/>
        <v>168.60000000000025</v>
      </c>
      <c r="AB98" s="230">
        <v>688</v>
      </c>
      <c r="AC98" s="230">
        <v>327</v>
      </c>
    </row>
    <row r="99" spans="2:29">
      <c r="B99" s="98">
        <v>129</v>
      </c>
      <c r="C99" s="98">
        <v>136.80000000000001</v>
      </c>
      <c r="D99" s="98">
        <v>656.4</v>
      </c>
      <c r="E99" s="98">
        <v>216.5</v>
      </c>
      <c r="F99" s="98">
        <v>222.4</v>
      </c>
      <c r="G99" s="98">
        <v>180.2</v>
      </c>
      <c r="H99" s="98">
        <v>137</v>
      </c>
      <c r="I99" s="98">
        <v>167.4</v>
      </c>
      <c r="J99" s="98">
        <v>216.5</v>
      </c>
      <c r="K99" s="208">
        <v>146.29999999999967</v>
      </c>
      <c r="L99" s="208">
        <v>156.29999999999967</v>
      </c>
      <c r="M99" s="208">
        <v>218.46000000000026</v>
      </c>
      <c r="N99" s="98"/>
      <c r="O99" s="98"/>
      <c r="P99" s="98"/>
      <c r="Q99" s="208">
        <v>136.29999999999967</v>
      </c>
      <c r="R99" s="98">
        <v>191.62000000000003</v>
      </c>
      <c r="S99" s="98">
        <v>170.7799999999998</v>
      </c>
      <c r="T99" s="98">
        <v>257.61999999999921</v>
      </c>
      <c r="U99" s="98">
        <v>136.29999999999967</v>
      </c>
      <c r="V99" s="98">
        <v>521.30000000000132</v>
      </c>
      <c r="W99" s="98">
        <v>574.19999999999868</v>
      </c>
      <c r="X99" s="98"/>
      <c r="Y99" s="98"/>
      <c r="Z99" s="98"/>
      <c r="AA99" s="230">
        <f t="shared" si="0"/>
        <v>168.30000000000024</v>
      </c>
      <c r="AB99" s="230">
        <v>687.5</v>
      </c>
      <c r="AC99" s="230">
        <v>326.5</v>
      </c>
    </row>
    <row r="100" spans="2:29">
      <c r="B100" s="98">
        <v>130</v>
      </c>
      <c r="C100" s="98">
        <v>136.5</v>
      </c>
      <c r="D100" s="98">
        <v>656</v>
      </c>
      <c r="E100" s="98">
        <v>216.4</v>
      </c>
      <c r="F100" s="98">
        <v>222.2</v>
      </c>
      <c r="G100" s="98">
        <v>180</v>
      </c>
      <c r="H100" s="98">
        <v>136.80000000000001</v>
      </c>
      <c r="I100" s="98">
        <v>167.1</v>
      </c>
      <c r="J100" s="98">
        <v>216.4</v>
      </c>
      <c r="K100" s="209">
        <v>145.99999999999966</v>
      </c>
      <c r="L100" s="209">
        <v>155.99999999999966</v>
      </c>
      <c r="M100" s="209">
        <v>218.20000000000027</v>
      </c>
      <c r="N100" s="98"/>
      <c r="O100" s="98"/>
      <c r="P100" s="98"/>
      <c r="Q100" s="208">
        <v>135.99999999999966</v>
      </c>
      <c r="R100" s="98">
        <v>191.40000000000003</v>
      </c>
      <c r="S100" s="98">
        <v>170.5999999999998</v>
      </c>
      <c r="T100" s="98">
        <v>257.39999999999918</v>
      </c>
      <c r="U100" s="98">
        <v>135.99999999999966</v>
      </c>
      <c r="V100" s="98">
        <v>521.00000000000136</v>
      </c>
      <c r="W100" s="98">
        <v>573.99999999999864</v>
      </c>
      <c r="X100" s="98"/>
      <c r="Y100" s="98"/>
      <c r="Z100" s="98"/>
      <c r="AA100" s="230">
        <f t="shared" si="0"/>
        <v>168.00000000000023</v>
      </c>
      <c r="AB100" s="230">
        <v>687</v>
      </c>
      <c r="AC100" s="230">
        <v>326</v>
      </c>
    </row>
    <row r="101" spans="2:29">
      <c r="B101" s="98">
        <v>131</v>
      </c>
      <c r="C101" s="98">
        <v>136.19999999999999</v>
      </c>
      <c r="D101" s="98">
        <v>655.6</v>
      </c>
      <c r="E101" s="98">
        <v>216.3</v>
      </c>
      <c r="F101" s="98">
        <v>222</v>
      </c>
      <c r="G101" s="98">
        <v>179.8</v>
      </c>
      <c r="H101" s="98">
        <v>136.5</v>
      </c>
      <c r="I101" s="98">
        <v>166.8</v>
      </c>
      <c r="J101" s="98">
        <v>216.3</v>
      </c>
      <c r="K101" s="208">
        <v>145.69999999999965</v>
      </c>
      <c r="L101" s="208">
        <v>155.69999999999965</v>
      </c>
      <c r="M101" s="208">
        <v>217.94000000000028</v>
      </c>
      <c r="N101" s="98"/>
      <c r="O101" s="98"/>
      <c r="P101" s="98"/>
      <c r="Q101" s="208">
        <v>135.69999999999965</v>
      </c>
      <c r="R101" s="98">
        <v>191.18000000000004</v>
      </c>
      <c r="S101" s="98">
        <v>170.41999999999979</v>
      </c>
      <c r="T101" s="98">
        <v>257.17999999999915</v>
      </c>
      <c r="U101" s="98">
        <v>135.69999999999965</v>
      </c>
      <c r="V101" s="98">
        <v>520.70000000000141</v>
      </c>
      <c r="W101" s="98">
        <v>573.79999999999859</v>
      </c>
      <c r="X101" s="98"/>
      <c r="Y101" s="98"/>
      <c r="Z101" s="98"/>
      <c r="AA101" s="230">
        <f t="shared" si="0"/>
        <v>167.70000000000022</v>
      </c>
      <c r="AB101" s="230">
        <v>686.5</v>
      </c>
      <c r="AC101" s="230">
        <v>325.5</v>
      </c>
    </row>
    <row r="102" spans="2:29">
      <c r="B102" s="98">
        <v>132</v>
      </c>
      <c r="C102" s="98">
        <v>135.9</v>
      </c>
      <c r="D102" s="98">
        <v>655.20000000000005</v>
      </c>
      <c r="E102" s="98">
        <v>216.2</v>
      </c>
      <c r="F102" s="98">
        <v>221.9</v>
      </c>
      <c r="G102" s="98">
        <v>179.6</v>
      </c>
      <c r="H102" s="98">
        <v>136.19999999999999</v>
      </c>
      <c r="I102" s="98">
        <v>166.5</v>
      </c>
      <c r="J102" s="98">
        <v>216.2</v>
      </c>
      <c r="K102" s="209">
        <v>145.39999999999964</v>
      </c>
      <c r="L102" s="209">
        <v>155.39999999999964</v>
      </c>
      <c r="M102" s="209">
        <v>217.68000000000029</v>
      </c>
      <c r="N102" s="98"/>
      <c r="O102" s="98"/>
      <c r="P102" s="98"/>
      <c r="Q102" s="208">
        <v>135.39999999999964</v>
      </c>
      <c r="R102" s="98">
        <v>190.96000000000004</v>
      </c>
      <c r="S102" s="98">
        <v>170.23999999999978</v>
      </c>
      <c r="T102" s="98">
        <v>256.95999999999913</v>
      </c>
      <c r="U102" s="98">
        <v>135.39999999999964</v>
      </c>
      <c r="V102" s="98">
        <v>520.40000000000146</v>
      </c>
      <c r="W102" s="98">
        <v>573.59999999999854</v>
      </c>
      <c r="X102" s="98"/>
      <c r="Y102" s="98"/>
      <c r="Z102" s="98"/>
      <c r="AA102" s="230">
        <f t="shared" si="0"/>
        <v>167.4000000000002</v>
      </c>
      <c r="AB102" s="230">
        <v>686</v>
      </c>
      <c r="AC102" s="230">
        <v>325</v>
      </c>
    </row>
    <row r="103" spans="2:29">
      <c r="B103" s="98">
        <v>133</v>
      </c>
      <c r="C103" s="98">
        <v>135.6</v>
      </c>
      <c r="D103" s="98">
        <v>654.79999999999995</v>
      </c>
      <c r="E103" s="98">
        <v>216</v>
      </c>
      <c r="F103" s="98">
        <v>221.7</v>
      </c>
      <c r="G103" s="98">
        <v>179.4</v>
      </c>
      <c r="H103" s="98">
        <v>136</v>
      </c>
      <c r="I103" s="98">
        <v>166.1</v>
      </c>
      <c r="J103" s="98">
        <v>216</v>
      </c>
      <c r="K103" s="208">
        <v>145.09999999999962</v>
      </c>
      <c r="L103" s="208">
        <v>155.09999999999962</v>
      </c>
      <c r="M103" s="208">
        <v>217.4200000000003</v>
      </c>
      <c r="N103" s="98"/>
      <c r="O103" s="98"/>
      <c r="P103" s="98"/>
      <c r="Q103" s="208">
        <v>135.09999999999962</v>
      </c>
      <c r="R103" s="98">
        <v>190.74000000000004</v>
      </c>
      <c r="S103" s="98">
        <v>170.05999999999977</v>
      </c>
      <c r="T103" s="98">
        <v>256.7399999999991</v>
      </c>
      <c r="U103" s="98">
        <v>135.09999999999962</v>
      </c>
      <c r="V103" s="98">
        <v>520.1000000000015</v>
      </c>
      <c r="W103" s="98">
        <v>573.3999999999985</v>
      </c>
      <c r="X103" s="98"/>
      <c r="Y103" s="98"/>
      <c r="Z103" s="98"/>
      <c r="AA103" s="230">
        <f t="shared" si="0"/>
        <v>167.10000000000019</v>
      </c>
      <c r="AB103" s="230">
        <v>685.5</v>
      </c>
      <c r="AC103" s="230">
        <v>324.5</v>
      </c>
    </row>
    <row r="104" spans="2:29">
      <c r="B104" s="98">
        <v>134</v>
      </c>
      <c r="C104" s="98">
        <v>135.30000000000001</v>
      </c>
      <c r="D104" s="98">
        <v>654.4</v>
      </c>
      <c r="E104" s="98">
        <v>215.9</v>
      </c>
      <c r="F104" s="98">
        <v>221.6</v>
      </c>
      <c r="G104" s="98">
        <v>179.2</v>
      </c>
      <c r="H104" s="98">
        <v>135.80000000000001</v>
      </c>
      <c r="I104" s="98">
        <v>165.8</v>
      </c>
      <c r="J104" s="98">
        <v>215.9</v>
      </c>
      <c r="K104" s="209">
        <v>144.79999999999961</v>
      </c>
      <c r="L104" s="209">
        <v>154.79999999999961</v>
      </c>
      <c r="M104" s="209">
        <v>217.16000000000031</v>
      </c>
      <c r="N104" s="98"/>
      <c r="O104" s="98"/>
      <c r="P104" s="98"/>
      <c r="Q104" s="208">
        <v>134.79999999999961</v>
      </c>
      <c r="R104" s="98">
        <v>190.52000000000004</v>
      </c>
      <c r="S104" s="98">
        <v>169.87999999999977</v>
      </c>
      <c r="T104" s="98">
        <v>256.51999999999907</v>
      </c>
      <c r="U104" s="98">
        <v>134.79999999999961</v>
      </c>
      <c r="V104" s="98">
        <v>519.80000000000155</v>
      </c>
      <c r="W104" s="98">
        <v>573.19999999999845</v>
      </c>
      <c r="X104" s="98"/>
      <c r="Y104" s="98"/>
      <c r="Z104" s="98"/>
      <c r="AA104" s="230">
        <f t="shared" si="0"/>
        <v>166.80000000000018</v>
      </c>
      <c r="AB104" s="230">
        <v>685</v>
      </c>
      <c r="AC104" s="230">
        <v>324</v>
      </c>
    </row>
    <row r="105" spans="2:29">
      <c r="B105" s="98">
        <v>135</v>
      </c>
      <c r="C105" s="98">
        <v>135</v>
      </c>
      <c r="D105" s="98">
        <v>654</v>
      </c>
      <c r="E105" s="98">
        <v>215.8</v>
      </c>
      <c r="F105" s="98">
        <v>221.4</v>
      </c>
      <c r="G105" s="98">
        <v>179</v>
      </c>
      <c r="H105" s="98">
        <v>135.5</v>
      </c>
      <c r="I105" s="98">
        <v>165.5</v>
      </c>
      <c r="J105" s="98">
        <v>215.8</v>
      </c>
      <c r="K105" s="208">
        <v>144.4999999999996</v>
      </c>
      <c r="L105" s="208">
        <v>154.4999999999996</v>
      </c>
      <c r="M105" s="208">
        <v>216.90000000000032</v>
      </c>
      <c r="N105" s="98"/>
      <c r="O105" s="98"/>
      <c r="P105" s="98"/>
      <c r="Q105" s="208">
        <v>134.4999999999996</v>
      </c>
      <c r="R105" s="98">
        <v>190.30000000000004</v>
      </c>
      <c r="S105" s="98">
        <v>169.69999999999976</v>
      </c>
      <c r="T105" s="98">
        <v>256.29999999999905</v>
      </c>
      <c r="U105" s="98">
        <v>134.4999999999996</v>
      </c>
      <c r="V105" s="98">
        <v>519.50000000000159</v>
      </c>
      <c r="W105" s="98">
        <v>572.99999999999841</v>
      </c>
      <c r="X105" s="98"/>
      <c r="Y105" s="98"/>
      <c r="Z105" s="98"/>
      <c r="AA105" s="230">
        <f t="shared" si="0"/>
        <v>166.50000000000017</v>
      </c>
      <c r="AB105" s="230">
        <v>684.5</v>
      </c>
      <c r="AC105" s="230">
        <v>323.5</v>
      </c>
    </row>
    <row r="106" spans="2:29">
      <c r="B106" s="98">
        <v>136</v>
      </c>
      <c r="C106" s="98">
        <v>134.80000000000001</v>
      </c>
      <c r="D106" s="98">
        <v>653.6</v>
      </c>
      <c r="E106" s="98">
        <v>215.7</v>
      </c>
      <c r="F106" s="98">
        <v>221.2</v>
      </c>
      <c r="G106" s="98">
        <v>178.9</v>
      </c>
      <c r="H106" s="98">
        <v>135.19999999999999</v>
      </c>
      <c r="I106" s="98">
        <v>165.2</v>
      </c>
      <c r="J106" s="98">
        <v>215.7</v>
      </c>
      <c r="K106" s="209">
        <v>144.19999999999959</v>
      </c>
      <c r="L106" s="209">
        <v>154.19999999999959</v>
      </c>
      <c r="M106" s="209">
        <v>216.64000000000033</v>
      </c>
      <c r="N106" s="98"/>
      <c r="O106" s="98"/>
      <c r="P106" s="98"/>
      <c r="Q106" s="208">
        <v>134.19999999999959</v>
      </c>
      <c r="R106" s="98">
        <v>190.08000000000004</v>
      </c>
      <c r="S106" s="98">
        <v>169.51999999999975</v>
      </c>
      <c r="T106" s="98">
        <v>256.07999999999902</v>
      </c>
      <c r="U106" s="98">
        <v>134.19999999999959</v>
      </c>
      <c r="V106" s="98">
        <v>519.20000000000164</v>
      </c>
      <c r="W106" s="98">
        <v>572.79999999999836</v>
      </c>
      <c r="X106" s="98"/>
      <c r="Y106" s="98"/>
      <c r="Z106" s="98"/>
      <c r="AA106" s="230">
        <f t="shared" si="0"/>
        <v>166.20000000000016</v>
      </c>
      <c r="AB106" s="230">
        <v>684</v>
      </c>
      <c r="AC106" s="230">
        <v>323</v>
      </c>
    </row>
    <row r="107" spans="2:29">
      <c r="B107" s="98">
        <v>137</v>
      </c>
      <c r="C107" s="98">
        <v>134.6</v>
      </c>
      <c r="D107" s="98">
        <v>653.20000000000005</v>
      </c>
      <c r="E107" s="98">
        <v>215.6</v>
      </c>
      <c r="F107" s="98">
        <v>221.1</v>
      </c>
      <c r="G107" s="98">
        <v>178.7</v>
      </c>
      <c r="H107" s="98">
        <v>135</v>
      </c>
      <c r="I107" s="98">
        <v>164.9</v>
      </c>
      <c r="J107" s="98">
        <v>215.6</v>
      </c>
      <c r="K107" s="208">
        <v>143.89999999999958</v>
      </c>
      <c r="L107" s="208">
        <v>153.89999999999958</v>
      </c>
      <c r="M107" s="208">
        <v>216.38000000000034</v>
      </c>
      <c r="N107" s="98"/>
      <c r="O107" s="98"/>
      <c r="P107" s="98"/>
      <c r="Q107" s="208">
        <v>133.89999999999958</v>
      </c>
      <c r="R107" s="98">
        <v>189.86000000000004</v>
      </c>
      <c r="S107" s="98">
        <v>169.33999999999975</v>
      </c>
      <c r="T107" s="98">
        <v>255.85999999999902</v>
      </c>
      <c r="U107" s="98">
        <v>133.89999999999958</v>
      </c>
      <c r="V107" s="98">
        <v>518.90000000000168</v>
      </c>
      <c r="W107" s="98">
        <v>572.59999999999832</v>
      </c>
      <c r="X107" s="98"/>
      <c r="Y107" s="98"/>
      <c r="Z107" s="98"/>
      <c r="AA107" s="230">
        <f t="shared" si="0"/>
        <v>165.90000000000015</v>
      </c>
      <c r="AB107" s="230">
        <v>683.5</v>
      </c>
      <c r="AC107" s="230">
        <v>322.5</v>
      </c>
    </row>
    <row r="108" spans="2:29">
      <c r="B108" s="98">
        <v>138</v>
      </c>
      <c r="C108" s="98">
        <v>134.4</v>
      </c>
      <c r="D108" s="98">
        <v>652.79999999999995</v>
      </c>
      <c r="E108" s="98">
        <v>215.4</v>
      </c>
      <c r="F108" s="98">
        <v>220.9</v>
      </c>
      <c r="G108" s="98">
        <v>178.6</v>
      </c>
      <c r="H108" s="98">
        <v>134.80000000000001</v>
      </c>
      <c r="I108" s="98">
        <v>164.5</v>
      </c>
      <c r="J108" s="98">
        <v>215.4</v>
      </c>
      <c r="K108" s="209">
        <v>143.59999999999957</v>
      </c>
      <c r="L108" s="209">
        <v>153.59999999999957</v>
      </c>
      <c r="M108" s="209">
        <v>216.12000000000035</v>
      </c>
      <c r="N108" s="98"/>
      <c r="O108" s="98"/>
      <c r="P108" s="98"/>
      <c r="Q108" s="208">
        <v>133.59999999999957</v>
      </c>
      <c r="R108" s="98">
        <v>189.64000000000004</v>
      </c>
      <c r="S108" s="98">
        <v>169.15999999999974</v>
      </c>
      <c r="T108" s="98">
        <v>255.63999999999902</v>
      </c>
      <c r="U108" s="98">
        <v>133.59999999999957</v>
      </c>
      <c r="V108" s="98">
        <v>518.60000000000173</v>
      </c>
      <c r="W108" s="98">
        <v>572.39999999999827</v>
      </c>
      <c r="X108" s="98"/>
      <c r="Y108" s="98"/>
      <c r="Z108" s="98"/>
      <c r="AA108" s="230">
        <f t="shared" si="0"/>
        <v>165.60000000000014</v>
      </c>
      <c r="AB108" s="230">
        <v>683</v>
      </c>
      <c r="AC108" s="230">
        <v>322</v>
      </c>
    </row>
    <row r="109" spans="2:29">
      <c r="B109" s="98">
        <v>139</v>
      </c>
      <c r="C109" s="98">
        <v>134.19999999999999</v>
      </c>
      <c r="D109" s="98">
        <v>652.4</v>
      </c>
      <c r="E109" s="98">
        <v>215.3</v>
      </c>
      <c r="F109" s="98">
        <v>220.8</v>
      </c>
      <c r="G109" s="98">
        <v>178.5</v>
      </c>
      <c r="H109" s="98">
        <v>134.5</v>
      </c>
      <c r="I109" s="98">
        <v>164.2</v>
      </c>
      <c r="J109" s="98">
        <v>215.3</v>
      </c>
      <c r="K109" s="208">
        <v>143.29999999999956</v>
      </c>
      <c r="L109" s="208">
        <v>153.29999999999956</v>
      </c>
      <c r="M109" s="208">
        <v>215.86000000000035</v>
      </c>
      <c r="N109" s="98"/>
      <c r="O109" s="98"/>
      <c r="P109" s="98"/>
      <c r="Q109" s="208">
        <v>133.29999999999956</v>
      </c>
      <c r="R109" s="98">
        <v>189.42000000000004</v>
      </c>
      <c r="S109" s="98">
        <v>168.97999999999973</v>
      </c>
      <c r="T109" s="98">
        <v>255.41999999999902</v>
      </c>
      <c r="U109" s="98">
        <v>133.29999999999956</v>
      </c>
      <c r="V109" s="98">
        <v>518.30000000000177</v>
      </c>
      <c r="W109" s="98">
        <v>572.19999999999823</v>
      </c>
      <c r="X109" s="98"/>
      <c r="Y109" s="98"/>
      <c r="Z109" s="98"/>
      <c r="AA109" s="230">
        <f t="shared" si="0"/>
        <v>165.30000000000013</v>
      </c>
      <c r="AB109" s="230">
        <v>682.5</v>
      </c>
      <c r="AC109" s="230">
        <v>321.5</v>
      </c>
    </row>
    <row r="110" spans="2:29">
      <c r="B110" s="98">
        <v>140</v>
      </c>
      <c r="C110" s="98">
        <v>134</v>
      </c>
      <c r="D110" s="98">
        <v>652</v>
      </c>
      <c r="E110" s="98">
        <v>215.2</v>
      </c>
      <c r="F110" s="98">
        <v>220.6</v>
      </c>
      <c r="G110" s="98">
        <v>178.3</v>
      </c>
      <c r="H110" s="98">
        <v>134.19999999999999</v>
      </c>
      <c r="I110" s="98">
        <v>163.9</v>
      </c>
      <c r="J110" s="206">
        <v>215.2</v>
      </c>
      <c r="K110" s="209">
        <v>142.99999999999955</v>
      </c>
      <c r="L110" s="209">
        <v>152.99999999999955</v>
      </c>
      <c r="M110" s="209">
        <v>215.60000000000036</v>
      </c>
      <c r="N110" s="98"/>
      <c r="O110" s="98"/>
      <c r="P110" s="98"/>
      <c r="Q110" s="208">
        <v>132.99999999999955</v>
      </c>
      <c r="R110" s="98">
        <v>189.20000000000005</v>
      </c>
      <c r="S110" s="98">
        <v>168.79999999999973</v>
      </c>
      <c r="T110" s="98">
        <v>255.19999999999902</v>
      </c>
      <c r="U110" s="98">
        <v>132.99999999999955</v>
      </c>
      <c r="V110" s="98">
        <v>518.00000000000182</v>
      </c>
      <c r="W110" s="98">
        <v>571.99999999999818</v>
      </c>
      <c r="X110" s="98"/>
      <c r="Y110" s="98"/>
      <c r="Z110" s="98"/>
      <c r="AA110" s="230">
        <f t="shared" si="0"/>
        <v>165.00000000000011</v>
      </c>
      <c r="AB110" s="230">
        <v>682</v>
      </c>
      <c r="AC110" s="230">
        <v>321</v>
      </c>
    </row>
    <row r="111" spans="2:29">
      <c r="B111" s="98">
        <v>141</v>
      </c>
      <c r="C111" s="98">
        <v>133.80000000000001</v>
      </c>
      <c r="D111" s="98">
        <v>651.6</v>
      </c>
      <c r="E111" s="98">
        <v>215.1</v>
      </c>
      <c r="F111" s="98">
        <v>220.4</v>
      </c>
      <c r="G111" s="98">
        <v>178.2</v>
      </c>
      <c r="H111" s="98">
        <v>134</v>
      </c>
      <c r="I111" s="98">
        <v>163.6</v>
      </c>
      <c r="J111" s="98">
        <v>215.1</v>
      </c>
      <c r="K111" s="208">
        <v>142.69999999999953</v>
      </c>
      <c r="L111" s="208">
        <v>152.69999999999953</v>
      </c>
      <c r="M111" s="208">
        <v>215.34000000000037</v>
      </c>
      <c r="N111" s="98"/>
      <c r="O111" s="98"/>
      <c r="P111" s="98"/>
      <c r="Q111" s="208">
        <v>132.69999999999953</v>
      </c>
      <c r="R111" s="98">
        <v>188.98000000000005</v>
      </c>
      <c r="S111" s="98">
        <v>168.61999999999972</v>
      </c>
      <c r="T111" s="98">
        <v>254.97999999999902</v>
      </c>
      <c r="U111" s="98">
        <v>132.69999999999953</v>
      </c>
      <c r="V111" s="98">
        <v>517.70000000000186</v>
      </c>
      <c r="W111" s="98">
        <v>571.79999999999814</v>
      </c>
      <c r="X111" s="98"/>
      <c r="Y111" s="98"/>
      <c r="Z111" s="98"/>
      <c r="AA111" s="230">
        <f t="shared" si="0"/>
        <v>164.7000000000001</v>
      </c>
      <c r="AB111" s="230">
        <v>681.5</v>
      </c>
      <c r="AC111" s="230">
        <v>320.5</v>
      </c>
    </row>
    <row r="112" spans="2:29">
      <c r="B112" s="98">
        <v>142</v>
      </c>
      <c r="C112" s="98">
        <v>133.6</v>
      </c>
      <c r="D112" s="98">
        <v>651.20000000000005</v>
      </c>
      <c r="E112" s="98">
        <v>215</v>
      </c>
      <c r="F112" s="98">
        <v>220.3</v>
      </c>
      <c r="G112" s="98">
        <v>178.1</v>
      </c>
      <c r="H112" s="98">
        <v>133.80000000000001</v>
      </c>
      <c r="I112" s="98">
        <v>163.19999999999999</v>
      </c>
      <c r="J112" s="98">
        <v>215</v>
      </c>
      <c r="K112" s="209">
        <v>142.39999999999952</v>
      </c>
      <c r="L112" s="209">
        <v>152.39999999999952</v>
      </c>
      <c r="M112" s="209">
        <v>215.08000000000038</v>
      </c>
      <c r="N112" s="98"/>
      <c r="O112" s="98"/>
      <c r="P112" s="98"/>
      <c r="Q112" s="208">
        <v>132.39999999999952</v>
      </c>
      <c r="R112" s="98">
        <v>188.76000000000005</v>
      </c>
      <c r="S112" s="98">
        <v>168.43999999999971</v>
      </c>
      <c r="T112" s="98">
        <v>254.75999999999902</v>
      </c>
      <c r="U112" s="98">
        <v>132.39999999999952</v>
      </c>
      <c r="V112" s="98">
        <v>517.40000000000191</v>
      </c>
      <c r="W112" s="98">
        <v>571.59999999999809</v>
      </c>
      <c r="X112" s="98"/>
      <c r="Y112" s="98"/>
      <c r="Z112" s="98"/>
      <c r="AA112" s="230">
        <f t="shared" si="0"/>
        <v>164.40000000000009</v>
      </c>
      <c r="AB112" s="230">
        <v>681</v>
      </c>
      <c r="AC112" s="230">
        <v>320</v>
      </c>
    </row>
    <row r="113" spans="2:29">
      <c r="B113" s="98">
        <v>143</v>
      </c>
      <c r="C113" s="98">
        <v>133.4</v>
      </c>
      <c r="D113" s="98">
        <v>650.79999999999995</v>
      </c>
      <c r="E113" s="98">
        <v>214.8</v>
      </c>
      <c r="F113" s="98">
        <v>220.1</v>
      </c>
      <c r="G113" s="98">
        <v>177.9</v>
      </c>
      <c r="H113" s="98">
        <v>133.5</v>
      </c>
      <c r="I113" s="98">
        <v>162.9</v>
      </c>
      <c r="J113" s="98">
        <v>214.8</v>
      </c>
      <c r="K113" s="208">
        <v>142.09999999999951</v>
      </c>
      <c r="L113" s="208">
        <v>152.09999999999951</v>
      </c>
      <c r="M113" s="208">
        <v>214.82000000000039</v>
      </c>
      <c r="N113" s="98"/>
      <c r="O113" s="98"/>
      <c r="P113" s="98"/>
      <c r="Q113" s="208">
        <v>132.09999999999951</v>
      </c>
      <c r="R113" s="98">
        <v>188.54000000000005</v>
      </c>
      <c r="S113" s="98">
        <v>168.25999999999971</v>
      </c>
      <c r="T113" s="98">
        <v>254.53999999999903</v>
      </c>
      <c r="U113" s="98">
        <v>132.09999999999951</v>
      </c>
      <c r="V113" s="98">
        <v>517.10000000000196</v>
      </c>
      <c r="W113" s="98">
        <v>571.39999999999804</v>
      </c>
      <c r="X113" s="98"/>
      <c r="Y113" s="98"/>
      <c r="Z113" s="98"/>
      <c r="AA113" s="230">
        <f t="shared" si="0"/>
        <v>164.10000000000008</v>
      </c>
      <c r="AB113" s="230">
        <v>680.5</v>
      </c>
      <c r="AC113" s="230">
        <v>319.5</v>
      </c>
    </row>
    <row r="114" spans="2:29">
      <c r="B114" s="98">
        <v>144</v>
      </c>
      <c r="C114" s="98">
        <v>133.19999999999999</v>
      </c>
      <c r="D114" s="98">
        <v>650.4</v>
      </c>
      <c r="E114" s="98">
        <v>214.7</v>
      </c>
      <c r="F114" s="98">
        <v>220</v>
      </c>
      <c r="G114" s="98">
        <v>177.8</v>
      </c>
      <c r="H114" s="98">
        <v>133.19999999999999</v>
      </c>
      <c r="I114" s="98">
        <v>162.6</v>
      </c>
      <c r="J114" s="98">
        <v>214.7</v>
      </c>
      <c r="K114" s="209">
        <v>141.7999999999995</v>
      </c>
      <c r="L114" s="209">
        <v>151.7999999999995</v>
      </c>
      <c r="M114" s="209">
        <v>214.5600000000004</v>
      </c>
      <c r="N114" s="98"/>
      <c r="O114" s="98"/>
      <c r="P114" s="98"/>
      <c r="Q114" s="208">
        <v>131.7999999999995</v>
      </c>
      <c r="R114" s="98">
        <v>188.32000000000005</v>
      </c>
      <c r="S114" s="98">
        <v>168.0799999999997</v>
      </c>
      <c r="T114" s="98">
        <v>254.31999999999903</v>
      </c>
      <c r="U114" s="98">
        <v>131.7999999999995</v>
      </c>
      <c r="V114" s="98">
        <v>516.800000000002</v>
      </c>
      <c r="W114" s="98">
        <v>571.199999999998</v>
      </c>
      <c r="X114" s="98"/>
      <c r="Y114" s="98"/>
      <c r="Z114" s="98"/>
      <c r="AA114" s="230">
        <f t="shared" si="0"/>
        <v>163.80000000000007</v>
      </c>
      <c r="AB114" s="230">
        <v>680</v>
      </c>
      <c r="AC114" s="230">
        <v>319</v>
      </c>
    </row>
    <row r="115" spans="2:29">
      <c r="B115" s="98">
        <v>145</v>
      </c>
      <c r="C115" s="98">
        <v>133</v>
      </c>
      <c r="D115" s="98">
        <v>650</v>
      </c>
      <c r="E115" s="98">
        <v>214.6</v>
      </c>
      <c r="F115" s="98">
        <v>219.8</v>
      </c>
      <c r="G115" s="98">
        <v>177.7</v>
      </c>
      <c r="H115" s="98">
        <v>133</v>
      </c>
      <c r="I115" s="98">
        <v>162.30000000000001</v>
      </c>
      <c r="J115" s="98">
        <v>214.6</v>
      </c>
      <c r="K115" s="208">
        <v>141.49999999999949</v>
      </c>
      <c r="L115" s="208">
        <v>151.49999999999949</v>
      </c>
      <c r="M115" s="208">
        <v>214.30000000000041</v>
      </c>
      <c r="N115" s="98"/>
      <c r="O115" s="98"/>
      <c r="P115" s="98"/>
      <c r="Q115" s="208">
        <v>131.49999999999949</v>
      </c>
      <c r="R115" s="98">
        <v>188.10000000000005</v>
      </c>
      <c r="S115" s="98">
        <v>167.89999999999969</v>
      </c>
      <c r="T115" s="98">
        <v>254.09999999999903</v>
      </c>
      <c r="U115" s="98">
        <v>131.49999999999949</v>
      </c>
      <c r="V115" s="98">
        <v>516.50000000000205</v>
      </c>
      <c r="W115" s="98">
        <v>570.99999999999795</v>
      </c>
      <c r="X115" s="98"/>
      <c r="Y115" s="98"/>
      <c r="Z115" s="98"/>
      <c r="AA115" s="230">
        <f t="shared" si="0"/>
        <v>163.50000000000006</v>
      </c>
      <c r="AB115" s="230">
        <v>679.5</v>
      </c>
      <c r="AC115" s="230">
        <v>318.5</v>
      </c>
    </row>
    <row r="116" spans="2:29">
      <c r="B116" s="98">
        <v>146</v>
      </c>
      <c r="C116" s="98">
        <v>132.80000000000001</v>
      </c>
      <c r="D116" s="98">
        <v>649.6</v>
      </c>
      <c r="E116" s="98">
        <v>214.5</v>
      </c>
      <c r="F116" s="98">
        <v>219.6</v>
      </c>
      <c r="G116" s="98">
        <v>177.5</v>
      </c>
      <c r="H116" s="98">
        <v>132.80000000000001</v>
      </c>
      <c r="I116" s="98">
        <v>162</v>
      </c>
      <c r="J116" s="98">
        <v>214.5</v>
      </c>
      <c r="K116" s="209">
        <v>141.19999999999948</v>
      </c>
      <c r="L116" s="209">
        <v>151.19999999999948</v>
      </c>
      <c r="M116" s="209">
        <v>214.04000000000042</v>
      </c>
      <c r="N116" s="98"/>
      <c r="O116" s="98"/>
      <c r="P116" s="98"/>
      <c r="Q116" s="208">
        <v>131.19999999999948</v>
      </c>
      <c r="R116" s="98">
        <v>187.88000000000005</v>
      </c>
      <c r="S116" s="98">
        <v>167.71999999999969</v>
      </c>
      <c r="T116" s="98">
        <v>253.87999999999903</v>
      </c>
      <c r="U116" s="98">
        <v>131.19999999999948</v>
      </c>
      <c r="V116" s="98">
        <v>516.20000000000209</v>
      </c>
      <c r="W116" s="98">
        <v>570.79999999999791</v>
      </c>
      <c r="X116" s="98"/>
      <c r="Y116" s="98"/>
      <c r="Z116" s="98"/>
      <c r="AA116" s="230">
        <f t="shared" si="0"/>
        <v>163.20000000000005</v>
      </c>
      <c r="AB116" s="230">
        <v>679</v>
      </c>
      <c r="AC116" s="230">
        <v>318</v>
      </c>
    </row>
    <row r="117" spans="2:29">
      <c r="B117" s="98">
        <v>147</v>
      </c>
      <c r="C117" s="98">
        <v>132.6</v>
      </c>
      <c r="D117" s="98">
        <v>649.20000000000005</v>
      </c>
      <c r="E117" s="98">
        <v>214.4</v>
      </c>
      <c r="F117" s="98">
        <v>219.5</v>
      </c>
      <c r="G117" s="98">
        <v>177.4</v>
      </c>
      <c r="H117" s="98">
        <v>132.5</v>
      </c>
      <c r="I117" s="98">
        <v>161.6</v>
      </c>
      <c r="J117" s="98">
        <v>214.4</v>
      </c>
      <c r="K117" s="208">
        <v>140.89999999999947</v>
      </c>
      <c r="L117" s="208">
        <v>150.89999999999947</v>
      </c>
      <c r="M117" s="208">
        <v>213.78000000000043</v>
      </c>
      <c r="N117" s="98"/>
      <c r="O117" s="98"/>
      <c r="P117" s="98"/>
      <c r="Q117" s="208">
        <v>130.89999999999947</v>
      </c>
      <c r="R117" s="98">
        <v>187.66000000000005</v>
      </c>
      <c r="S117" s="98">
        <v>167.53999999999968</v>
      </c>
      <c r="T117" s="98">
        <v>253.65999999999903</v>
      </c>
      <c r="U117" s="98">
        <v>130.89999999999947</v>
      </c>
      <c r="V117" s="98">
        <v>515.90000000000214</v>
      </c>
      <c r="W117" s="98">
        <v>570.59999999999786</v>
      </c>
      <c r="X117" s="98"/>
      <c r="Y117" s="98"/>
      <c r="Z117" s="98"/>
      <c r="AA117" s="230">
        <f t="shared" si="0"/>
        <v>162.90000000000003</v>
      </c>
      <c r="AB117" s="230">
        <v>678.5</v>
      </c>
      <c r="AC117" s="230">
        <v>317.5</v>
      </c>
    </row>
    <row r="118" spans="2:29">
      <c r="B118" s="98">
        <v>148</v>
      </c>
      <c r="C118" s="98">
        <v>132.4</v>
      </c>
      <c r="D118" s="98">
        <v>648.79999999999995</v>
      </c>
      <c r="E118" s="98">
        <v>214.2</v>
      </c>
      <c r="F118" s="98">
        <v>219.3</v>
      </c>
      <c r="G118" s="98">
        <v>177.3</v>
      </c>
      <c r="H118" s="98">
        <v>132.19999999999999</v>
      </c>
      <c r="I118" s="98">
        <v>161.30000000000001</v>
      </c>
      <c r="J118" s="98">
        <v>214.2</v>
      </c>
      <c r="K118" s="209">
        <v>140.59999999999945</v>
      </c>
      <c r="L118" s="209">
        <v>150.59999999999945</v>
      </c>
      <c r="M118" s="209">
        <v>213.52000000000044</v>
      </c>
      <c r="N118" s="98"/>
      <c r="O118" s="98"/>
      <c r="P118" s="98"/>
      <c r="Q118" s="208">
        <v>130.59999999999945</v>
      </c>
      <c r="R118" s="98">
        <v>187.44000000000005</v>
      </c>
      <c r="S118" s="98">
        <v>167.35999999999967</v>
      </c>
      <c r="T118" s="98">
        <v>253.43999999999903</v>
      </c>
      <c r="U118" s="98">
        <v>130.59999999999945</v>
      </c>
      <c r="V118" s="98">
        <v>515.60000000000218</v>
      </c>
      <c r="W118" s="98">
        <v>570.39999999999782</v>
      </c>
      <c r="X118" s="98"/>
      <c r="Y118" s="98"/>
      <c r="Z118" s="98"/>
      <c r="AA118" s="230">
        <f t="shared" si="0"/>
        <v>162.60000000000002</v>
      </c>
      <c r="AB118" s="230">
        <v>678</v>
      </c>
      <c r="AC118" s="230">
        <v>317</v>
      </c>
    </row>
    <row r="119" spans="2:29">
      <c r="B119" s="98">
        <v>149</v>
      </c>
      <c r="C119" s="98">
        <v>132.19999999999999</v>
      </c>
      <c r="D119" s="98">
        <v>648.4</v>
      </c>
      <c r="E119" s="98">
        <v>214.1</v>
      </c>
      <c r="F119" s="98">
        <v>219.2</v>
      </c>
      <c r="G119" s="98">
        <v>177.1</v>
      </c>
      <c r="H119" s="98">
        <v>132</v>
      </c>
      <c r="I119" s="98">
        <v>161</v>
      </c>
      <c r="J119" s="98">
        <v>214.1</v>
      </c>
      <c r="K119" s="208">
        <v>140.29999999999944</v>
      </c>
      <c r="L119" s="208">
        <v>150.29999999999944</v>
      </c>
      <c r="M119" s="208">
        <v>213.26000000000045</v>
      </c>
      <c r="N119" s="98"/>
      <c r="O119" s="98"/>
      <c r="P119" s="98"/>
      <c r="Q119" s="208">
        <v>130.29999999999944</v>
      </c>
      <c r="R119" s="98">
        <v>187.22000000000006</v>
      </c>
      <c r="S119" s="98">
        <v>167.17999999999967</v>
      </c>
      <c r="T119" s="98">
        <v>253.21999999999903</v>
      </c>
      <c r="U119" s="98">
        <v>130.29999999999944</v>
      </c>
      <c r="V119" s="98">
        <v>515.30000000000223</v>
      </c>
      <c r="W119" s="98">
        <v>570.19999999999777</v>
      </c>
      <c r="X119" s="98"/>
      <c r="Y119" s="98"/>
      <c r="Z119" s="98"/>
      <c r="AA119" s="230">
        <f>AA120+0.3</f>
        <v>162.30000000000001</v>
      </c>
      <c r="AB119" s="230">
        <v>677.5</v>
      </c>
      <c r="AC119" s="230">
        <v>316.5</v>
      </c>
    </row>
    <row r="120" spans="2:29">
      <c r="B120" s="98">
        <v>150</v>
      </c>
      <c r="C120" s="98">
        <v>132</v>
      </c>
      <c r="D120" s="98">
        <v>648</v>
      </c>
      <c r="E120" s="98">
        <v>214</v>
      </c>
      <c r="F120" s="98">
        <v>219</v>
      </c>
      <c r="G120" s="98">
        <v>177</v>
      </c>
      <c r="H120" s="98">
        <v>131.80000000000001</v>
      </c>
      <c r="I120" s="98">
        <v>160.80000000000001</v>
      </c>
      <c r="J120" s="98">
        <v>214</v>
      </c>
      <c r="K120" s="209">
        <v>140</v>
      </c>
      <c r="L120" s="209">
        <v>150</v>
      </c>
      <c r="M120" s="209">
        <v>213</v>
      </c>
      <c r="N120" s="98"/>
      <c r="O120" s="98"/>
      <c r="P120" s="98"/>
      <c r="Q120" s="209">
        <v>130</v>
      </c>
      <c r="R120" s="98">
        <v>187</v>
      </c>
      <c r="S120" s="98">
        <v>167</v>
      </c>
      <c r="T120" s="98">
        <v>253</v>
      </c>
      <c r="U120" s="98">
        <v>130</v>
      </c>
      <c r="V120" s="98">
        <v>515</v>
      </c>
      <c r="W120" s="98">
        <v>570</v>
      </c>
      <c r="X120" s="98"/>
      <c r="Y120" s="98"/>
      <c r="Z120" s="98"/>
      <c r="AA120" s="230">
        <v>162</v>
      </c>
      <c r="AB120" s="230">
        <v>677</v>
      </c>
      <c r="AC120" s="230">
        <v>316</v>
      </c>
    </row>
    <row r="121" spans="2:29">
      <c r="B121" s="98">
        <v>151</v>
      </c>
      <c r="C121" s="98">
        <v>131.80000000000001</v>
      </c>
      <c r="D121" s="98">
        <v>647.70000000000005</v>
      </c>
      <c r="E121" s="98">
        <v>213.9</v>
      </c>
      <c r="F121" s="98">
        <v>218.9</v>
      </c>
      <c r="G121" s="98">
        <v>176.8</v>
      </c>
      <c r="H121" s="98">
        <v>131.6</v>
      </c>
      <c r="I121" s="98">
        <v>160.5</v>
      </c>
      <c r="J121" s="98">
        <v>213.8</v>
      </c>
      <c r="K121" s="208">
        <v>139.74</v>
      </c>
      <c r="L121" s="208">
        <v>149.74</v>
      </c>
      <c r="M121" s="208">
        <v>212.58</v>
      </c>
      <c r="N121" s="98"/>
      <c r="O121" s="98"/>
      <c r="P121" s="98"/>
      <c r="Q121" s="208">
        <v>129.76</v>
      </c>
      <c r="R121" s="98">
        <v>186.66</v>
      </c>
      <c r="S121" s="98">
        <v>166.8</v>
      </c>
      <c r="T121" s="98">
        <v>252.84</v>
      </c>
      <c r="U121" s="98">
        <v>129.76</v>
      </c>
      <c r="V121" s="98">
        <v>514.70000000000005</v>
      </c>
      <c r="W121" s="98">
        <v>569.79999999999995</v>
      </c>
      <c r="X121" s="98"/>
      <c r="Y121" s="98"/>
      <c r="Z121" s="98"/>
      <c r="AA121" s="230"/>
      <c r="AB121" s="230"/>
      <c r="AC121" s="230">
        <v>315.48</v>
      </c>
    </row>
    <row r="122" spans="2:29">
      <c r="B122" s="98">
        <v>152</v>
      </c>
      <c r="C122" s="98">
        <v>131.5</v>
      </c>
      <c r="D122" s="98">
        <v>647.4</v>
      </c>
      <c r="E122" s="98">
        <v>213.8</v>
      </c>
      <c r="F122" s="98">
        <v>218.8</v>
      </c>
      <c r="G122" s="98">
        <v>176.6</v>
      </c>
      <c r="H122" s="98">
        <v>131.4</v>
      </c>
      <c r="I122" s="98">
        <v>160.30000000000001</v>
      </c>
      <c r="J122" s="98">
        <v>213.7</v>
      </c>
      <c r="K122" s="209">
        <v>139.48000000000002</v>
      </c>
      <c r="L122" s="209">
        <v>149.48000000000002</v>
      </c>
      <c r="M122" s="209">
        <v>212.16000000000003</v>
      </c>
      <c r="N122" s="98"/>
      <c r="O122" s="98"/>
      <c r="P122" s="98"/>
      <c r="Q122" s="208">
        <v>129.51999999999998</v>
      </c>
      <c r="R122" s="98">
        <v>186.32</v>
      </c>
      <c r="S122" s="98">
        <v>166.60000000000002</v>
      </c>
      <c r="T122" s="98">
        <v>252.68</v>
      </c>
      <c r="U122" s="98">
        <v>129.51999999999998</v>
      </c>
      <c r="V122" s="98">
        <v>514.40000000000009</v>
      </c>
      <c r="W122" s="98">
        <v>569.59999999999991</v>
      </c>
      <c r="X122" s="98"/>
      <c r="Y122" s="98"/>
      <c r="Z122" s="98"/>
      <c r="AA122" s="230"/>
      <c r="AB122" s="230"/>
      <c r="AC122" s="230">
        <v>314.96000000000004</v>
      </c>
    </row>
    <row r="123" spans="2:29">
      <c r="B123" s="98">
        <v>153</v>
      </c>
      <c r="C123" s="98">
        <v>131.30000000000001</v>
      </c>
      <c r="D123" s="98">
        <v>647</v>
      </c>
      <c r="E123" s="98">
        <v>213.6</v>
      </c>
      <c r="F123" s="98">
        <v>218.6</v>
      </c>
      <c r="G123" s="98">
        <v>176.4</v>
      </c>
      <c r="H123" s="98">
        <v>131.19999999999999</v>
      </c>
      <c r="I123" s="98">
        <v>160.1</v>
      </c>
      <c r="J123" s="98">
        <v>213.5</v>
      </c>
      <c r="K123" s="208">
        <v>139.22000000000003</v>
      </c>
      <c r="L123" s="208">
        <v>149.22000000000003</v>
      </c>
      <c r="M123" s="208">
        <v>211.74000000000004</v>
      </c>
      <c r="N123" s="98"/>
      <c r="O123" s="98"/>
      <c r="P123" s="98"/>
      <c r="Q123" s="208">
        <v>129.27999999999997</v>
      </c>
      <c r="R123" s="98">
        <v>185.98</v>
      </c>
      <c r="S123" s="98">
        <v>166.40000000000003</v>
      </c>
      <c r="T123" s="98">
        <v>252.52</v>
      </c>
      <c r="U123" s="98">
        <v>129.27999999999997</v>
      </c>
      <c r="V123" s="98">
        <v>514.10000000000014</v>
      </c>
      <c r="W123" s="98">
        <v>569.39999999999986</v>
      </c>
      <c r="X123" s="98"/>
      <c r="Y123" s="98"/>
      <c r="Z123" s="98"/>
      <c r="AA123" s="230"/>
      <c r="AB123" s="230"/>
      <c r="AC123" s="230">
        <v>314.44000000000005</v>
      </c>
    </row>
    <row r="124" spans="2:29">
      <c r="B124" s="98">
        <v>154</v>
      </c>
      <c r="C124" s="98">
        <v>131</v>
      </c>
      <c r="D124" s="98">
        <v>646.70000000000005</v>
      </c>
      <c r="E124" s="98">
        <v>213.5</v>
      </c>
      <c r="F124" s="98">
        <v>218.5</v>
      </c>
      <c r="G124" s="98">
        <v>176.2</v>
      </c>
      <c r="H124" s="98">
        <v>131</v>
      </c>
      <c r="I124" s="98">
        <v>159.80000000000001</v>
      </c>
      <c r="J124" s="98">
        <v>213.4</v>
      </c>
      <c r="K124" s="209">
        <v>138.96000000000004</v>
      </c>
      <c r="L124" s="209">
        <v>148.96000000000004</v>
      </c>
      <c r="M124" s="209">
        <v>211.32000000000005</v>
      </c>
      <c r="N124" s="98"/>
      <c r="O124" s="98"/>
      <c r="P124" s="98"/>
      <c r="Q124" s="208">
        <v>129.03999999999996</v>
      </c>
      <c r="R124" s="98">
        <v>185.64</v>
      </c>
      <c r="S124" s="98">
        <v>166.20000000000005</v>
      </c>
      <c r="T124" s="98">
        <v>252.36</v>
      </c>
      <c r="U124" s="98">
        <v>129.03999999999996</v>
      </c>
      <c r="V124" s="98">
        <v>513.80000000000018</v>
      </c>
      <c r="W124" s="98">
        <v>569.19999999999982</v>
      </c>
      <c r="X124" s="98"/>
      <c r="Y124" s="98"/>
      <c r="Z124" s="98"/>
      <c r="AA124" s="230"/>
      <c r="AB124" s="230"/>
      <c r="AC124" s="230">
        <v>313.92000000000007</v>
      </c>
    </row>
    <row r="125" spans="2:29">
      <c r="B125" s="98">
        <v>155</v>
      </c>
      <c r="C125" s="98">
        <v>130.80000000000001</v>
      </c>
      <c r="D125" s="98">
        <v>646.4</v>
      </c>
      <c r="E125" s="98">
        <v>213.4</v>
      </c>
      <c r="F125" s="98">
        <v>218.4</v>
      </c>
      <c r="G125" s="98">
        <v>176</v>
      </c>
      <c r="H125" s="98">
        <v>130.80000000000001</v>
      </c>
      <c r="I125" s="98">
        <v>159.6</v>
      </c>
      <c r="J125" s="98">
        <v>213.2</v>
      </c>
      <c r="K125" s="208">
        <v>138.70000000000005</v>
      </c>
      <c r="L125" s="208">
        <v>148.70000000000005</v>
      </c>
      <c r="M125" s="208">
        <v>210.90000000000006</v>
      </c>
      <c r="N125" s="98"/>
      <c r="O125" s="98"/>
      <c r="P125" s="98"/>
      <c r="Q125" s="208">
        <v>128.79999999999995</v>
      </c>
      <c r="R125" s="98">
        <v>185.29999999999998</v>
      </c>
      <c r="S125" s="98">
        <v>166.00000000000006</v>
      </c>
      <c r="T125" s="98">
        <v>252.20000000000002</v>
      </c>
      <c r="U125" s="98">
        <v>128.79999999999995</v>
      </c>
      <c r="V125" s="98">
        <v>513.50000000000023</v>
      </c>
      <c r="W125" s="98">
        <v>568.99999999999977</v>
      </c>
      <c r="X125" s="98"/>
      <c r="Y125" s="98"/>
      <c r="Z125" s="98"/>
      <c r="AA125" s="230"/>
      <c r="AB125" s="230"/>
      <c r="AC125" s="230">
        <v>313.40000000000009</v>
      </c>
    </row>
    <row r="126" spans="2:29">
      <c r="B126" s="98">
        <v>156</v>
      </c>
      <c r="C126" s="98">
        <v>130.6</v>
      </c>
      <c r="D126" s="98">
        <v>646.1</v>
      </c>
      <c r="E126" s="98">
        <v>213.3</v>
      </c>
      <c r="F126" s="98">
        <v>218.3</v>
      </c>
      <c r="G126" s="98">
        <v>175.8</v>
      </c>
      <c r="H126" s="98">
        <v>130.6</v>
      </c>
      <c r="I126" s="98">
        <v>159.30000000000001</v>
      </c>
      <c r="J126" s="98">
        <v>213</v>
      </c>
      <c r="K126" s="209">
        <v>138.44000000000005</v>
      </c>
      <c r="L126" s="209">
        <v>148.44000000000005</v>
      </c>
      <c r="M126" s="209">
        <v>210.48000000000008</v>
      </c>
      <c r="N126" s="98"/>
      <c r="O126" s="98"/>
      <c r="P126" s="98"/>
      <c r="Q126" s="208">
        <v>128.55999999999995</v>
      </c>
      <c r="R126" s="98">
        <v>184.95999999999998</v>
      </c>
      <c r="S126" s="98">
        <v>165.80000000000007</v>
      </c>
      <c r="T126" s="98">
        <v>252.04000000000002</v>
      </c>
      <c r="U126" s="98">
        <v>128.55999999999995</v>
      </c>
      <c r="V126" s="98">
        <v>513.20000000000027</v>
      </c>
      <c r="W126" s="98">
        <v>568.79999999999973</v>
      </c>
      <c r="X126" s="98"/>
      <c r="Y126" s="98"/>
      <c r="Z126" s="98"/>
      <c r="AA126" s="230"/>
      <c r="AB126" s="230"/>
      <c r="AC126" s="230">
        <v>312.88000000000011</v>
      </c>
    </row>
    <row r="127" spans="2:29">
      <c r="B127" s="98">
        <v>157</v>
      </c>
      <c r="C127" s="98">
        <v>130.30000000000001</v>
      </c>
      <c r="D127" s="98">
        <v>645.79999999999995</v>
      </c>
      <c r="E127" s="98">
        <v>213.2</v>
      </c>
      <c r="F127" s="98">
        <v>218.2</v>
      </c>
      <c r="G127" s="98">
        <v>175.6</v>
      </c>
      <c r="H127" s="98">
        <v>130.4</v>
      </c>
      <c r="I127" s="98">
        <v>159.1</v>
      </c>
      <c r="J127" s="98">
        <v>212.9</v>
      </c>
      <c r="K127" s="208">
        <v>138.18000000000006</v>
      </c>
      <c r="L127" s="208">
        <v>148.18000000000006</v>
      </c>
      <c r="M127" s="208">
        <v>210.06000000000009</v>
      </c>
      <c r="N127" s="98"/>
      <c r="O127" s="98"/>
      <c r="P127" s="98"/>
      <c r="Q127" s="208">
        <v>128.31999999999994</v>
      </c>
      <c r="R127" s="98">
        <v>184.61999999999998</v>
      </c>
      <c r="S127" s="98">
        <v>165.60000000000008</v>
      </c>
      <c r="T127" s="98">
        <v>251.88000000000002</v>
      </c>
      <c r="U127" s="98">
        <v>128.31999999999994</v>
      </c>
      <c r="V127" s="98">
        <v>512.90000000000032</v>
      </c>
      <c r="W127" s="98">
        <v>568.59999999999968</v>
      </c>
      <c r="X127" s="98"/>
      <c r="Y127" s="98"/>
      <c r="Z127" s="98"/>
      <c r="AA127" s="230"/>
      <c r="AB127" s="230"/>
      <c r="AC127" s="230">
        <v>312.36000000000013</v>
      </c>
    </row>
    <row r="128" spans="2:29">
      <c r="B128" s="98">
        <v>158</v>
      </c>
      <c r="C128" s="98">
        <v>130.1</v>
      </c>
      <c r="D128" s="98">
        <v>645.4</v>
      </c>
      <c r="E128" s="98">
        <v>213</v>
      </c>
      <c r="F128" s="98">
        <v>218</v>
      </c>
      <c r="G128" s="98">
        <v>175.4</v>
      </c>
      <c r="H128" s="98">
        <v>130.19999999999999</v>
      </c>
      <c r="I128" s="98">
        <v>158.9</v>
      </c>
      <c r="J128" s="98">
        <v>212.7</v>
      </c>
      <c r="K128" s="209">
        <v>137.92000000000007</v>
      </c>
      <c r="L128" s="209">
        <v>147.92000000000007</v>
      </c>
      <c r="M128" s="209">
        <v>209.6400000000001</v>
      </c>
      <c r="N128" s="98"/>
      <c r="O128" s="98"/>
      <c r="P128" s="98"/>
      <c r="Q128" s="208">
        <v>128.07999999999993</v>
      </c>
      <c r="R128" s="98">
        <v>184.27999999999997</v>
      </c>
      <c r="S128" s="98">
        <v>165.40000000000009</v>
      </c>
      <c r="T128" s="98">
        <v>251.72000000000003</v>
      </c>
      <c r="U128" s="98">
        <v>128.07999999999993</v>
      </c>
      <c r="V128" s="98">
        <v>512.60000000000036</v>
      </c>
      <c r="W128" s="98">
        <v>568.39999999999964</v>
      </c>
      <c r="X128" s="98"/>
      <c r="Y128" s="98"/>
      <c r="Z128" s="98"/>
      <c r="AA128" s="230"/>
      <c r="AB128" s="230"/>
      <c r="AC128" s="230">
        <v>311.84000000000015</v>
      </c>
    </row>
    <row r="129" spans="2:29">
      <c r="B129" s="98">
        <v>159</v>
      </c>
      <c r="C129" s="98">
        <v>129.80000000000001</v>
      </c>
      <c r="D129" s="98">
        <v>645.1</v>
      </c>
      <c r="E129" s="98">
        <v>212.9</v>
      </c>
      <c r="F129" s="98">
        <v>217.9</v>
      </c>
      <c r="G129" s="98">
        <v>175.2</v>
      </c>
      <c r="H129" s="98">
        <v>130</v>
      </c>
      <c r="I129" s="98">
        <v>158.6</v>
      </c>
      <c r="J129" s="98">
        <v>212.6</v>
      </c>
      <c r="K129" s="208">
        <v>137.66000000000008</v>
      </c>
      <c r="L129" s="208">
        <v>147.66000000000008</v>
      </c>
      <c r="M129" s="208">
        <v>209.22000000000011</v>
      </c>
      <c r="N129" s="98"/>
      <c r="O129" s="98"/>
      <c r="P129" s="98"/>
      <c r="Q129" s="208">
        <v>127.83999999999993</v>
      </c>
      <c r="R129" s="98">
        <v>183.93999999999997</v>
      </c>
      <c r="S129" s="98">
        <v>165.2000000000001</v>
      </c>
      <c r="T129" s="98">
        <v>251.56000000000003</v>
      </c>
      <c r="U129" s="98">
        <v>127.83999999999993</v>
      </c>
      <c r="V129" s="98">
        <v>512.30000000000041</v>
      </c>
      <c r="W129" s="98">
        <v>568.19999999999959</v>
      </c>
      <c r="X129" s="98"/>
      <c r="Y129" s="98"/>
      <c r="Z129" s="98"/>
      <c r="AA129" s="230"/>
      <c r="AB129" s="230"/>
      <c r="AC129" s="230">
        <v>311.32000000000016</v>
      </c>
    </row>
    <row r="130" spans="2:29">
      <c r="B130" s="98">
        <v>160</v>
      </c>
      <c r="C130" s="98">
        <v>129.6</v>
      </c>
      <c r="D130" s="98">
        <v>644.79999999999995</v>
      </c>
      <c r="E130" s="98">
        <v>212.8</v>
      </c>
      <c r="F130" s="98">
        <v>217.8</v>
      </c>
      <c r="G130" s="98">
        <v>175</v>
      </c>
      <c r="H130" s="98">
        <v>129.80000000000001</v>
      </c>
      <c r="I130" s="98">
        <v>158.4</v>
      </c>
      <c r="J130" s="98">
        <v>212.4</v>
      </c>
      <c r="K130" s="209">
        <v>137.40000000000009</v>
      </c>
      <c r="L130" s="209">
        <v>147.40000000000009</v>
      </c>
      <c r="M130" s="209">
        <v>208.80000000000013</v>
      </c>
      <c r="N130" s="98"/>
      <c r="O130" s="98"/>
      <c r="P130" s="98"/>
      <c r="Q130" s="208">
        <v>127.59999999999994</v>
      </c>
      <c r="R130" s="98">
        <v>183.59999999999997</v>
      </c>
      <c r="S130" s="98">
        <v>165.00000000000011</v>
      </c>
      <c r="T130" s="98">
        <v>251.40000000000003</v>
      </c>
      <c r="U130" s="98">
        <v>127.59999999999994</v>
      </c>
      <c r="V130" s="98">
        <v>512.00000000000045</v>
      </c>
      <c r="W130" s="98">
        <v>567.99999999999955</v>
      </c>
      <c r="X130" s="98"/>
      <c r="Y130" s="98"/>
      <c r="Z130" s="98"/>
      <c r="AA130" s="230"/>
      <c r="AB130" s="230"/>
      <c r="AC130" s="230">
        <v>310.80000000000018</v>
      </c>
    </row>
    <row r="131" spans="2:29">
      <c r="B131" s="98">
        <v>161</v>
      </c>
      <c r="C131" s="98">
        <v>129.4</v>
      </c>
      <c r="D131" s="98">
        <v>644.5</v>
      </c>
      <c r="E131" s="98">
        <v>212.7</v>
      </c>
      <c r="F131" s="98">
        <v>217.7</v>
      </c>
      <c r="G131" s="98">
        <v>174.8</v>
      </c>
      <c r="H131" s="98">
        <v>129.6</v>
      </c>
      <c r="I131" s="98">
        <v>158.19999999999999</v>
      </c>
      <c r="J131" s="98">
        <v>212.2</v>
      </c>
      <c r="K131" s="208">
        <v>137.1400000000001</v>
      </c>
      <c r="L131" s="208">
        <v>147.1400000000001</v>
      </c>
      <c r="M131" s="208">
        <v>208.38000000000014</v>
      </c>
      <c r="N131" s="98"/>
      <c r="O131" s="98"/>
      <c r="P131" s="98"/>
      <c r="Q131" s="208">
        <v>127.35999999999994</v>
      </c>
      <c r="R131" s="98">
        <v>183.25999999999996</v>
      </c>
      <c r="S131" s="98">
        <v>164.80000000000013</v>
      </c>
      <c r="T131" s="98">
        <v>251.24000000000004</v>
      </c>
      <c r="U131" s="98">
        <v>127.35999999999994</v>
      </c>
      <c r="V131" s="98">
        <v>511.70000000000044</v>
      </c>
      <c r="W131" s="98">
        <v>567.7999999999995</v>
      </c>
      <c r="X131" s="98"/>
      <c r="Y131" s="98"/>
      <c r="Z131" s="98"/>
      <c r="AA131" s="230"/>
      <c r="AB131" s="230"/>
      <c r="AC131" s="230">
        <v>310.2800000000002</v>
      </c>
    </row>
    <row r="132" spans="2:29">
      <c r="B132" s="98">
        <v>162</v>
      </c>
      <c r="C132" s="98">
        <v>129.1</v>
      </c>
      <c r="D132" s="98">
        <v>644.20000000000005</v>
      </c>
      <c r="E132" s="98">
        <v>212.6</v>
      </c>
      <c r="F132" s="98">
        <v>217.6</v>
      </c>
      <c r="G132" s="98">
        <v>174.6</v>
      </c>
      <c r="H132" s="98">
        <v>129.4</v>
      </c>
      <c r="I132" s="98">
        <v>157.9</v>
      </c>
      <c r="J132" s="98">
        <v>212.1</v>
      </c>
      <c r="K132" s="209">
        <v>136.88000000000011</v>
      </c>
      <c r="L132" s="209">
        <v>146.88000000000011</v>
      </c>
      <c r="M132" s="209">
        <v>207.96000000000015</v>
      </c>
      <c r="N132" s="98"/>
      <c r="O132" s="98"/>
      <c r="P132" s="98"/>
      <c r="Q132" s="208">
        <v>127.11999999999995</v>
      </c>
      <c r="R132" s="98">
        <v>182.91999999999996</v>
      </c>
      <c r="S132" s="98">
        <v>164.60000000000014</v>
      </c>
      <c r="T132" s="98">
        <v>251.08000000000004</v>
      </c>
      <c r="U132" s="98">
        <v>127.11999999999995</v>
      </c>
      <c r="V132" s="98">
        <v>511.40000000000043</v>
      </c>
      <c r="W132" s="98">
        <v>567.59999999999945</v>
      </c>
      <c r="X132" s="98"/>
      <c r="Y132" s="98"/>
      <c r="Z132" s="98"/>
      <c r="AA132" s="230"/>
      <c r="AB132" s="230"/>
      <c r="AC132" s="230">
        <v>309.76000000000022</v>
      </c>
    </row>
    <row r="133" spans="2:29">
      <c r="B133" s="98">
        <v>163</v>
      </c>
      <c r="C133" s="98">
        <v>128.9</v>
      </c>
      <c r="D133" s="98">
        <v>643.79999999999995</v>
      </c>
      <c r="E133" s="98">
        <v>212.4</v>
      </c>
      <c r="F133" s="98">
        <v>217.4</v>
      </c>
      <c r="G133" s="98">
        <v>174.4</v>
      </c>
      <c r="H133" s="98">
        <v>129.19999999999999</v>
      </c>
      <c r="I133" s="98">
        <v>157.69999999999999</v>
      </c>
      <c r="J133" s="98">
        <v>211.9</v>
      </c>
      <c r="K133" s="208">
        <v>136.62000000000012</v>
      </c>
      <c r="L133" s="208">
        <v>146.62000000000012</v>
      </c>
      <c r="M133" s="208">
        <v>207.54000000000016</v>
      </c>
      <c r="N133" s="98"/>
      <c r="O133" s="98"/>
      <c r="P133" s="98"/>
      <c r="Q133" s="208">
        <v>126.87999999999995</v>
      </c>
      <c r="R133" s="98">
        <v>182.57999999999996</v>
      </c>
      <c r="S133" s="98">
        <v>164.40000000000015</v>
      </c>
      <c r="T133" s="98">
        <v>250.92000000000004</v>
      </c>
      <c r="U133" s="98">
        <v>126.87999999999995</v>
      </c>
      <c r="V133" s="98">
        <v>511.10000000000042</v>
      </c>
      <c r="W133" s="98">
        <v>567.39999999999941</v>
      </c>
      <c r="X133" s="98"/>
      <c r="Y133" s="98"/>
      <c r="Z133" s="98"/>
      <c r="AA133" s="230"/>
      <c r="AB133" s="230"/>
      <c r="AC133" s="230">
        <v>309.24000000000024</v>
      </c>
    </row>
    <row r="134" spans="2:29">
      <c r="B134" s="98">
        <v>164</v>
      </c>
      <c r="C134" s="98">
        <v>128.6</v>
      </c>
      <c r="D134" s="98">
        <v>643.5</v>
      </c>
      <c r="E134" s="98">
        <v>212.3</v>
      </c>
      <c r="F134" s="98">
        <v>217.3</v>
      </c>
      <c r="G134" s="98">
        <v>174.2</v>
      </c>
      <c r="H134" s="98">
        <v>129</v>
      </c>
      <c r="I134" s="98">
        <v>157.5</v>
      </c>
      <c r="J134" s="98">
        <v>211.8</v>
      </c>
      <c r="K134" s="209">
        <v>136.36000000000013</v>
      </c>
      <c r="L134" s="209">
        <v>146.36000000000013</v>
      </c>
      <c r="M134" s="209">
        <v>207.12000000000018</v>
      </c>
      <c r="N134" s="98"/>
      <c r="O134" s="98"/>
      <c r="P134" s="98"/>
      <c r="Q134" s="208">
        <v>126.63999999999996</v>
      </c>
      <c r="R134" s="98">
        <v>182.23999999999995</v>
      </c>
      <c r="S134" s="98">
        <v>164.20000000000016</v>
      </c>
      <c r="T134" s="98">
        <v>250.76000000000005</v>
      </c>
      <c r="U134" s="98">
        <v>126.63999999999996</v>
      </c>
      <c r="V134" s="98">
        <v>510.80000000000041</v>
      </c>
      <c r="W134" s="98">
        <v>567.19999999999936</v>
      </c>
      <c r="X134" s="98"/>
      <c r="Y134" s="98"/>
      <c r="Z134" s="98"/>
      <c r="AA134" s="230"/>
      <c r="AB134" s="230"/>
      <c r="AC134" s="230">
        <v>308.72000000000025</v>
      </c>
    </row>
    <row r="135" spans="2:29">
      <c r="B135" s="98">
        <v>165</v>
      </c>
      <c r="C135" s="98">
        <v>128.4</v>
      </c>
      <c r="D135" s="98">
        <v>643.20000000000005</v>
      </c>
      <c r="E135" s="98">
        <v>212.2</v>
      </c>
      <c r="F135" s="98">
        <v>217.2</v>
      </c>
      <c r="G135" s="98">
        <v>174</v>
      </c>
      <c r="H135" s="98">
        <v>128.80000000000001</v>
      </c>
      <c r="I135" s="98">
        <v>157.19999999999999</v>
      </c>
      <c r="J135" s="98">
        <v>211.6</v>
      </c>
      <c r="K135" s="208">
        <v>136.10000000000014</v>
      </c>
      <c r="L135" s="208">
        <v>146.10000000000014</v>
      </c>
      <c r="M135" s="208">
        <v>206.70000000000019</v>
      </c>
      <c r="N135" s="98"/>
      <c r="O135" s="98"/>
      <c r="P135" s="98"/>
      <c r="Q135" s="208">
        <v>126.39999999999996</v>
      </c>
      <c r="R135" s="98">
        <v>181.89999999999995</v>
      </c>
      <c r="S135" s="98">
        <v>164.00000000000017</v>
      </c>
      <c r="T135" s="98">
        <v>250.60000000000005</v>
      </c>
      <c r="U135" s="98">
        <v>126.39999999999996</v>
      </c>
      <c r="V135" s="98">
        <v>510.5000000000004</v>
      </c>
      <c r="W135" s="98">
        <v>566.99999999999932</v>
      </c>
      <c r="X135" s="98"/>
      <c r="Y135" s="98"/>
      <c r="Z135" s="98"/>
      <c r="AA135" s="230"/>
      <c r="AB135" s="230"/>
      <c r="AC135" s="230">
        <v>308.20000000000027</v>
      </c>
    </row>
    <row r="136" spans="2:29">
      <c r="B136" s="98">
        <v>166</v>
      </c>
      <c r="C136" s="98">
        <v>128.19999999999999</v>
      </c>
      <c r="D136" s="98">
        <v>642.9</v>
      </c>
      <c r="E136" s="98">
        <v>212.1</v>
      </c>
      <c r="F136" s="98">
        <v>217.1</v>
      </c>
      <c r="G136" s="98">
        <v>173.8</v>
      </c>
      <c r="H136" s="98">
        <v>128.6</v>
      </c>
      <c r="I136" s="98">
        <v>157</v>
      </c>
      <c r="J136" s="98">
        <v>211.4</v>
      </c>
      <c r="K136" s="209">
        <v>135.84000000000015</v>
      </c>
      <c r="L136" s="209">
        <v>145.84000000000015</v>
      </c>
      <c r="M136" s="209">
        <v>206.2800000000002</v>
      </c>
      <c r="N136" s="98"/>
      <c r="O136" s="98"/>
      <c r="P136" s="98"/>
      <c r="Q136" s="208">
        <v>126.15999999999997</v>
      </c>
      <c r="R136" s="98">
        <v>181.55999999999995</v>
      </c>
      <c r="S136" s="98">
        <v>163.80000000000018</v>
      </c>
      <c r="T136" s="98">
        <v>250.44000000000005</v>
      </c>
      <c r="U136" s="98">
        <v>126.15999999999997</v>
      </c>
      <c r="V136" s="98">
        <v>510.20000000000039</v>
      </c>
      <c r="W136" s="98">
        <v>566.79999999999927</v>
      </c>
      <c r="X136" s="98"/>
      <c r="Y136" s="98"/>
      <c r="Z136" s="98"/>
      <c r="AA136" s="230"/>
      <c r="AB136" s="230"/>
      <c r="AC136" s="230">
        <v>307.68000000000029</v>
      </c>
    </row>
    <row r="137" spans="2:29">
      <c r="B137" s="98">
        <v>167</v>
      </c>
      <c r="C137" s="98">
        <v>127.9</v>
      </c>
      <c r="D137" s="98">
        <v>642.6</v>
      </c>
      <c r="E137" s="98">
        <v>212</v>
      </c>
      <c r="F137" s="98">
        <v>217</v>
      </c>
      <c r="G137" s="98">
        <v>173.6</v>
      </c>
      <c r="H137" s="98">
        <v>128.4</v>
      </c>
      <c r="I137" s="98">
        <v>156.69999999999999</v>
      </c>
      <c r="J137" s="98">
        <v>211.3</v>
      </c>
      <c r="K137" s="208">
        <v>135.58000000000015</v>
      </c>
      <c r="L137" s="208">
        <v>145.58000000000015</v>
      </c>
      <c r="M137" s="208">
        <v>205.86000000000021</v>
      </c>
      <c r="N137" s="98"/>
      <c r="O137" s="98"/>
      <c r="P137" s="98"/>
      <c r="Q137" s="208">
        <v>125.91999999999997</v>
      </c>
      <c r="R137" s="98">
        <v>181.21999999999994</v>
      </c>
      <c r="S137" s="98">
        <v>163.60000000000019</v>
      </c>
      <c r="T137" s="98">
        <v>250.28000000000006</v>
      </c>
      <c r="U137" s="98">
        <v>125.91999999999997</v>
      </c>
      <c r="V137" s="98">
        <v>509.90000000000038</v>
      </c>
      <c r="W137" s="98">
        <v>566.59999999999923</v>
      </c>
      <c r="X137" s="98"/>
      <c r="Y137" s="98"/>
      <c r="Z137" s="98"/>
      <c r="AA137" s="230"/>
      <c r="AB137" s="230"/>
      <c r="AC137" s="230">
        <v>307.16000000000031</v>
      </c>
    </row>
    <row r="138" spans="2:29">
      <c r="B138" s="98">
        <v>168</v>
      </c>
      <c r="C138" s="98">
        <v>127.7</v>
      </c>
      <c r="D138" s="98">
        <v>642.20000000000005</v>
      </c>
      <c r="E138" s="98">
        <v>211.8</v>
      </c>
      <c r="F138" s="98">
        <v>216.8</v>
      </c>
      <c r="G138" s="98">
        <v>173.4</v>
      </c>
      <c r="H138" s="98">
        <v>128.19999999999999</v>
      </c>
      <c r="I138" s="98">
        <v>156.5</v>
      </c>
      <c r="J138" s="98">
        <v>211.1</v>
      </c>
      <c r="K138" s="209">
        <v>135.32000000000016</v>
      </c>
      <c r="L138" s="209">
        <v>145.32000000000016</v>
      </c>
      <c r="M138" s="209">
        <v>205.44000000000023</v>
      </c>
      <c r="N138" s="98"/>
      <c r="O138" s="98"/>
      <c r="P138" s="98"/>
      <c r="Q138" s="208">
        <v>125.67999999999998</v>
      </c>
      <c r="R138" s="98">
        <v>180.87999999999994</v>
      </c>
      <c r="S138" s="98">
        <v>163.4000000000002</v>
      </c>
      <c r="T138" s="98">
        <v>250.12000000000006</v>
      </c>
      <c r="U138" s="98">
        <v>125.67999999999998</v>
      </c>
      <c r="V138" s="98">
        <v>509.60000000000036</v>
      </c>
      <c r="W138" s="98">
        <v>566.39999999999918</v>
      </c>
      <c r="X138" s="98"/>
      <c r="Y138" s="98"/>
      <c r="Z138" s="98"/>
      <c r="AA138" s="230"/>
      <c r="AB138" s="230"/>
      <c r="AC138" s="230">
        <v>306.64000000000033</v>
      </c>
    </row>
    <row r="139" spans="2:29">
      <c r="B139" s="98">
        <v>169</v>
      </c>
      <c r="C139" s="98">
        <v>127.4</v>
      </c>
      <c r="D139" s="98">
        <v>641.9</v>
      </c>
      <c r="E139" s="98">
        <v>211.7</v>
      </c>
      <c r="F139" s="98">
        <v>216.7</v>
      </c>
      <c r="G139" s="98">
        <v>173.2</v>
      </c>
      <c r="H139" s="98">
        <v>128</v>
      </c>
      <c r="I139" s="98">
        <v>156.30000000000001</v>
      </c>
      <c r="J139" s="98">
        <v>211</v>
      </c>
      <c r="K139" s="208">
        <v>135.06000000000017</v>
      </c>
      <c r="L139" s="208">
        <v>145.06000000000017</v>
      </c>
      <c r="M139" s="208">
        <v>205.02000000000024</v>
      </c>
      <c r="N139" s="98"/>
      <c r="O139" s="98"/>
      <c r="P139" s="98"/>
      <c r="Q139" s="208">
        <v>125.43999999999998</v>
      </c>
      <c r="R139" s="98">
        <v>180.53999999999994</v>
      </c>
      <c r="S139" s="98">
        <v>163.20000000000022</v>
      </c>
      <c r="T139" s="98">
        <v>249.96000000000006</v>
      </c>
      <c r="U139" s="98">
        <v>125.43999999999998</v>
      </c>
      <c r="V139" s="98">
        <v>509.30000000000035</v>
      </c>
      <c r="W139" s="98">
        <v>566.19999999999914</v>
      </c>
      <c r="X139" s="98"/>
      <c r="Y139" s="98"/>
      <c r="Z139" s="98"/>
      <c r="AA139" s="230"/>
      <c r="AB139" s="230"/>
      <c r="AC139" s="230">
        <v>306.12000000000035</v>
      </c>
    </row>
    <row r="140" spans="2:29">
      <c r="B140" s="98">
        <v>170</v>
      </c>
      <c r="C140" s="98">
        <v>127.2</v>
      </c>
      <c r="D140" s="98">
        <v>641.6</v>
      </c>
      <c r="E140" s="98">
        <v>211.6</v>
      </c>
      <c r="F140" s="98">
        <v>216.6</v>
      </c>
      <c r="G140" s="98">
        <v>173</v>
      </c>
      <c r="H140" s="98">
        <v>127.8</v>
      </c>
      <c r="I140" s="98">
        <v>156</v>
      </c>
      <c r="J140" s="98">
        <v>210.8</v>
      </c>
      <c r="K140" s="209">
        <v>134.80000000000018</v>
      </c>
      <c r="L140" s="209">
        <v>144.80000000000018</v>
      </c>
      <c r="M140" s="209">
        <v>204.60000000000025</v>
      </c>
      <c r="N140" s="98"/>
      <c r="O140" s="98"/>
      <c r="P140" s="98"/>
      <c r="Q140" s="208">
        <v>125.19999999999999</v>
      </c>
      <c r="R140" s="98">
        <v>180.19999999999993</v>
      </c>
      <c r="S140" s="98">
        <v>163.00000000000023</v>
      </c>
      <c r="T140" s="98">
        <v>249.80000000000007</v>
      </c>
      <c r="U140" s="98">
        <v>125.19999999999999</v>
      </c>
      <c r="V140" s="98">
        <v>509.00000000000034</v>
      </c>
      <c r="W140" s="98">
        <v>565.99999999999909</v>
      </c>
      <c r="X140" s="98"/>
      <c r="Y140" s="98"/>
      <c r="Z140" s="98"/>
      <c r="AA140" s="230"/>
      <c r="AB140" s="230"/>
      <c r="AC140" s="230">
        <v>305.60000000000036</v>
      </c>
    </row>
    <row r="141" spans="2:29">
      <c r="B141" s="98">
        <v>171</v>
      </c>
      <c r="C141" s="98">
        <v>127</v>
      </c>
      <c r="D141" s="98">
        <v>641.29999999999995</v>
      </c>
      <c r="E141" s="98">
        <v>211.5</v>
      </c>
      <c r="F141" s="98">
        <v>216.5</v>
      </c>
      <c r="G141" s="98">
        <v>172.8</v>
      </c>
      <c r="H141" s="98">
        <v>127.6</v>
      </c>
      <c r="I141" s="98">
        <v>155.80000000000001</v>
      </c>
      <c r="J141" s="98">
        <v>210.6</v>
      </c>
      <c r="K141" s="208">
        <v>134.54000000000019</v>
      </c>
      <c r="L141" s="208">
        <v>144.54000000000019</v>
      </c>
      <c r="M141" s="208">
        <v>204.18000000000026</v>
      </c>
      <c r="N141" s="98"/>
      <c r="O141" s="98"/>
      <c r="P141" s="98"/>
      <c r="Q141" s="208">
        <v>124.96</v>
      </c>
      <c r="R141" s="98">
        <v>179.85999999999993</v>
      </c>
      <c r="S141" s="98">
        <v>162.80000000000024</v>
      </c>
      <c r="T141" s="98">
        <v>249.64000000000007</v>
      </c>
      <c r="U141" s="98">
        <v>124.96</v>
      </c>
      <c r="V141" s="98">
        <v>508.70000000000033</v>
      </c>
      <c r="W141" s="98">
        <v>565.79999999999905</v>
      </c>
      <c r="X141" s="98"/>
      <c r="Y141" s="98"/>
      <c r="Z141" s="98"/>
      <c r="AA141" s="230"/>
      <c r="AB141" s="230"/>
      <c r="AC141" s="230">
        <v>305.08000000000038</v>
      </c>
    </row>
    <row r="142" spans="2:29">
      <c r="B142" s="98">
        <v>172</v>
      </c>
      <c r="C142" s="98">
        <v>126.7</v>
      </c>
      <c r="D142" s="98">
        <v>641</v>
      </c>
      <c r="E142" s="98">
        <v>211.4</v>
      </c>
      <c r="F142" s="98">
        <v>216.4</v>
      </c>
      <c r="G142" s="98">
        <v>172.6</v>
      </c>
      <c r="H142" s="98">
        <v>127.4</v>
      </c>
      <c r="I142" s="98">
        <v>155.6</v>
      </c>
      <c r="J142" s="98">
        <v>210.5</v>
      </c>
      <c r="K142" s="209">
        <v>134.2800000000002</v>
      </c>
      <c r="L142" s="209">
        <v>144.2800000000002</v>
      </c>
      <c r="M142" s="209">
        <v>203.76000000000028</v>
      </c>
      <c r="N142" s="98"/>
      <c r="O142" s="98"/>
      <c r="P142" s="98"/>
      <c r="Q142" s="208">
        <v>124.72</v>
      </c>
      <c r="R142" s="98">
        <v>179.51999999999992</v>
      </c>
      <c r="S142" s="98">
        <v>162.60000000000025</v>
      </c>
      <c r="T142" s="98">
        <v>249.48000000000008</v>
      </c>
      <c r="U142" s="98">
        <v>124.72</v>
      </c>
      <c r="V142" s="98">
        <v>508.40000000000032</v>
      </c>
      <c r="W142" s="98">
        <v>565.599999999999</v>
      </c>
      <c r="X142" s="98"/>
      <c r="Y142" s="98"/>
      <c r="Z142" s="98"/>
      <c r="AA142" s="230"/>
      <c r="AB142" s="230"/>
      <c r="AC142" s="230">
        <v>304.5600000000004</v>
      </c>
    </row>
    <row r="143" spans="2:29">
      <c r="B143" s="98">
        <v>173</v>
      </c>
      <c r="C143" s="98">
        <v>126.5</v>
      </c>
      <c r="D143" s="98">
        <v>640.6</v>
      </c>
      <c r="E143" s="98">
        <v>211.2</v>
      </c>
      <c r="F143" s="98">
        <v>216.2</v>
      </c>
      <c r="G143" s="98">
        <v>172.4</v>
      </c>
      <c r="H143" s="98">
        <v>127.2</v>
      </c>
      <c r="I143" s="98">
        <v>155.30000000000001</v>
      </c>
      <c r="J143" s="98">
        <v>210.3</v>
      </c>
      <c r="K143" s="208">
        <v>134.02000000000021</v>
      </c>
      <c r="L143" s="208">
        <v>144.02000000000021</v>
      </c>
      <c r="M143" s="208">
        <v>203.34000000000029</v>
      </c>
      <c r="N143" s="98"/>
      <c r="O143" s="98"/>
      <c r="P143" s="98"/>
      <c r="Q143" s="208">
        <v>124.48</v>
      </c>
      <c r="R143" s="98">
        <v>179.17999999999992</v>
      </c>
      <c r="S143" s="98">
        <v>162.40000000000026</v>
      </c>
      <c r="T143" s="98">
        <v>249.32000000000008</v>
      </c>
      <c r="U143" s="98">
        <v>124.48</v>
      </c>
      <c r="V143" s="98">
        <v>508.10000000000031</v>
      </c>
      <c r="W143" s="98">
        <v>565.39999999999895</v>
      </c>
      <c r="X143" s="98"/>
      <c r="Y143" s="98"/>
      <c r="Z143" s="98"/>
      <c r="AA143" s="230"/>
      <c r="AB143" s="230"/>
      <c r="AC143" s="230">
        <v>304.04000000000042</v>
      </c>
    </row>
    <row r="144" spans="2:29">
      <c r="B144" s="98">
        <v>174</v>
      </c>
      <c r="C144" s="98">
        <v>126.2</v>
      </c>
      <c r="D144" s="98">
        <v>640.29999999999995</v>
      </c>
      <c r="E144" s="98">
        <v>211.1</v>
      </c>
      <c r="F144" s="98">
        <v>216.1</v>
      </c>
      <c r="G144" s="98">
        <v>172.2</v>
      </c>
      <c r="H144" s="98">
        <v>127</v>
      </c>
      <c r="I144" s="98">
        <v>155.1</v>
      </c>
      <c r="J144" s="98">
        <v>210.2</v>
      </c>
      <c r="K144" s="209">
        <v>133.76000000000022</v>
      </c>
      <c r="L144" s="209">
        <v>143.76000000000022</v>
      </c>
      <c r="M144" s="209">
        <v>202.9200000000003</v>
      </c>
      <c r="N144" s="98"/>
      <c r="O144" s="98"/>
      <c r="P144" s="98"/>
      <c r="Q144" s="208">
        <v>124.24000000000001</v>
      </c>
      <c r="R144" s="98">
        <v>178.83999999999992</v>
      </c>
      <c r="S144" s="98">
        <v>162.20000000000027</v>
      </c>
      <c r="T144" s="98">
        <v>249.16000000000008</v>
      </c>
      <c r="U144" s="98">
        <v>124.24000000000001</v>
      </c>
      <c r="V144" s="98">
        <v>507.8000000000003</v>
      </c>
      <c r="W144" s="98">
        <v>565.19999999999891</v>
      </c>
      <c r="X144" s="98"/>
      <c r="Y144" s="98"/>
      <c r="Z144" s="98"/>
      <c r="AA144" s="230"/>
      <c r="AB144" s="230"/>
      <c r="AC144" s="230">
        <v>303.52000000000044</v>
      </c>
    </row>
    <row r="145" spans="2:29">
      <c r="B145" s="98">
        <v>175</v>
      </c>
      <c r="C145" s="98">
        <v>126</v>
      </c>
      <c r="D145" s="98">
        <v>640</v>
      </c>
      <c r="E145" s="98">
        <v>211</v>
      </c>
      <c r="F145" s="98">
        <v>216</v>
      </c>
      <c r="G145" s="98">
        <v>172</v>
      </c>
      <c r="H145" s="98">
        <v>126.8</v>
      </c>
      <c r="I145" s="98">
        <v>154.9</v>
      </c>
      <c r="J145" s="98">
        <v>210</v>
      </c>
      <c r="K145" s="208">
        <v>133.50000000000023</v>
      </c>
      <c r="L145" s="208">
        <v>143.50000000000023</v>
      </c>
      <c r="M145" s="208">
        <v>202.50000000000031</v>
      </c>
      <c r="N145" s="98"/>
      <c r="O145" s="98"/>
      <c r="P145" s="98"/>
      <c r="Q145" s="208">
        <v>124.00000000000001</v>
      </c>
      <c r="R145" s="98">
        <v>178.49999999999991</v>
      </c>
      <c r="S145" s="98">
        <v>162.00000000000028</v>
      </c>
      <c r="T145" s="98">
        <v>249.00000000000009</v>
      </c>
      <c r="U145" s="98">
        <v>124.00000000000001</v>
      </c>
      <c r="V145" s="98">
        <v>507.50000000000028</v>
      </c>
      <c r="W145" s="98">
        <v>564.99999999999886</v>
      </c>
      <c r="X145" s="98"/>
      <c r="Y145" s="98"/>
      <c r="Z145" s="98"/>
      <c r="AA145" s="230"/>
      <c r="AB145" s="230"/>
      <c r="AC145" s="230">
        <v>303.00000000000045</v>
      </c>
    </row>
    <row r="146" spans="2:29">
      <c r="B146" s="98">
        <v>176</v>
      </c>
      <c r="C146" s="98">
        <v>125.8</v>
      </c>
      <c r="D146" s="98">
        <v>639.70000000000005</v>
      </c>
      <c r="E146" s="98">
        <v>210.8</v>
      </c>
      <c r="F146" s="98">
        <v>215.9</v>
      </c>
      <c r="G146" s="98">
        <v>171.8</v>
      </c>
      <c r="H146" s="98">
        <v>126.6</v>
      </c>
      <c r="I146" s="98">
        <v>154.6</v>
      </c>
      <c r="J146" s="98">
        <v>209.9</v>
      </c>
      <c r="K146" s="209">
        <v>133.24000000000024</v>
      </c>
      <c r="L146" s="209">
        <v>143.24000000000024</v>
      </c>
      <c r="M146" s="209">
        <v>202.08000000000033</v>
      </c>
      <c r="N146" s="98"/>
      <c r="O146" s="98"/>
      <c r="P146" s="98"/>
      <c r="Q146" s="208">
        <v>123.76000000000002</v>
      </c>
      <c r="R146" s="98">
        <v>178.15999999999991</v>
      </c>
      <c r="S146" s="98">
        <v>161.8000000000003</v>
      </c>
      <c r="T146" s="98">
        <v>248.84000000000009</v>
      </c>
      <c r="U146" s="98">
        <v>123.76000000000002</v>
      </c>
      <c r="V146" s="98">
        <v>507.20000000000027</v>
      </c>
      <c r="W146" s="98">
        <v>564.79999999999882</v>
      </c>
      <c r="X146" s="98"/>
      <c r="Y146" s="98"/>
      <c r="Z146" s="98"/>
      <c r="AA146" s="230"/>
      <c r="AB146" s="230"/>
      <c r="AC146" s="230">
        <v>302.48000000000047</v>
      </c>
    </row>
    <row r="147" spans="2:29">
      <c r="B147" s="98">
        <v>177</v>
      </c>
      <c r="C147" s="98">
        <v>125.6</v>
      </c>
      <c r="D147" s="98">
        <v>639.4</v>
      </c>
      <c r="E147" s="98">
        <v>210.7</v>
      </c>
      <c r="F147" s="98">
        <v>215.8</v>
      </c>
      <c r="G147" s="98">
        <v>171.6</v>
      </c>
      <c r="H147" s="98">
        <v>126.4</v>
      </c>
      <c r="I147" s="98">
        <v>154.4</v>
      </c>
      <c r="J147" s="98">
        <v>209.8</v>
      </c>
      <c r="K147" s="208">
        <v>132.98000000000025</v>
      </c>
      <c r="L147" s="208">
        <v>142.98000000000025</v>
      </c>
      <c r="M147" s="208">
        <v>201.66000000000034</v>
      </c>
      <c r="N147" s="98"/>
      <c r="O147" s="98"/>
      <c r="P147" s="98"/>
      <c r="Q147" s="208">
        <v>123.52000000000002</v>
      </c>
      <c r="R147" s="98">
        <v>177.81999999999991</v>
      </c>
      <c r="S147" s="98">
        <v>161.60000000000031</v>
      </c>
      <c r="T147" s="98">
        <v>248.68000000000009</v>
      </c>
      <c r="U147" s="98">
        <v>123.52000000000002</v>
      </c>
      <c r="V147" s="98">
        <v>506.90000000000026</v>
      </c>
      <c r="W147" s="98">
        <v>564.59999999999877</v>
      </c>
      <c r="X147" s="98"/>
      <c r="Y147" s="98"/>
      <c r="Z147" s="98"/>
      <c r="AA147" s="230"/>
      <c r="AB147" s="230"/>
      <c r="AC147" s="230">
        <v>301.96000000000049</v>
      </c>
    </row>
    <row r="148" spans="2:29">
      <c r="B148" s="98">
        <v>178</v>
      </c>
      <c r="C148" s="98">
        <v>125.4</v>
      </c>
      <c r="D148" s="98">
        <v>639</v>
      </c>
      <c r="E148" s="98">
        <v>210.5</v>
      </c>
      <c r="F148" s="98">
        <v>215.6</v>
      </c>
      <c r="G148" s="98">
        <v>171.4</v>
      </c>
      <c r="H148" s="98">
        <v>126.2</v>
      </c>
      <c r="I148" s="98">
        <v>154.1</v>
      </c>
      <c r="J148" s="98">
        <v>209.6</v>
      </c>
      <c r="K148" s="209">
        <v>132.72000000000025</v>
      </c>
      <c r="L148" s="209">
        <v>142.72000000000025</v>
      </c>
      <c r="M148" s="209">
        <v>201.24000000000035</v>
      </c>
      <c r="N148" s="98"/>
      <c r="O148" s="98"/>
      <c r="P148" s="98"/>
      <c r="Q148" s="208">
        <v>123.28000000000003</v>
      </c>
      <c r="R148" s="98">
        <v>177.4799999999999</v>
      </c>
      <c r="S148" s="98">
        <v>161.40000000000032</v>
      </c>
      <c r="T148" s="98">
        <v>248.5200000000001</v>
      </c>
      <c r="U148" s="98">
        <v>123.28000000000003</v>
      </c>
      <c r="V148" s="98">
        <v>506.60000000000025</v>
      </c>
      <c r="W148" s="98">
        <v>564.39999999999873</v>
      </c>
      <c r="X148" s="98"/>
      <c r="Y148" s="98"/>
      <c r="Z148" s="98"/>
      <c r="AA148" s="230"/>
      <c r="AB148" s="230"/>
      <c r="AC148" s="230">
        <v>301.44000000000051</v>
      </c>
    </row>
    <row r="149" spans="2:29">
      <c r="B149" s="98">
        <v>179</v>
      </c>
      <c r="C149" s="98">
        <v>125.2</v>
      </c>
      <c r="D149" s="98">
        <v>638.70000000000005</v>
      </c>
      <c r="E149" s="98">
        <v>210.4</v>
      </c>
      <c r="F149" s="98">
        <v>215.5</v>
      </c>
      <c r="G149" s="98">
        <v>171.2</v>
      </c>
      <c r="H149" s="98">
        <v>126</v>
      </c>
      <c r="I149" s="98">
        <v>153.9</v>
      </c>
      <c r="J149" s="98">
        <v>209.5</v>
      </c>
      <c r="K149" s="208">
        <v>132.46000000000026</v>
      </c>
      <c r="L149" s="208">
        <v>142.46000000000026</v>
      </c>
      <c r="M149" s="208">
        <v>200.82000000000036</v>
      </c>
      <c r="N149" s="98"/>
      <c r="O149" s="98"/>
      <c r="P149" s="98"/>
      <c r="Q149" s="208">
        <v>123.04000000000003</v>
      </c>
      <c r="R149" s="98">
        <v>177.1399999999999</v>
      </c>
      <c r="S149" s="98">
        <v>161.20000000000033</v>
      </c>
      <c r="T149" s="98">
        <v>248.3600000000001</v>
      </c>
      <c r="U149" s="98">
        <v>123.04000000000003</v>
      </c>
      <c r="V149" s="98">
        <v>506.30000000000024</v>
      </c>
      <c r="W149" s="98">
        <v>564.19999999999868</v>
      </c>
      <c r="X149" s="98"/>
      <c r="Y149" s="98"/>
      <c r="Z149" s="98"/>
      <c r="AA149" s="230"/>
      <c r="AB149" s="230"/>
      <c r="AC149" s="230">
        <v>300.92000000000053</v>
      </c>
    </row>
    <row r="150" spans="2:29">
      <c r="B150" s="98">
        <v>180</v>
      </c>
      <c r="C150" s="98">
        <v>125</v>
      </c>
      <c r="D150" s="98">
        <v>638.4</v>
      </c>
      <c r="E150" s="98">
        <v>210.2</v>
      </c>
      <c r="F150" s="98">
        <v>215.4</v>
      </c>
      <c r="G150" s="98">
        <v>171</v>
      </c>
      <c r="H150" s="98">
        <v>125.8</v>
      </c>
      <c r="I150" s="98">
        <v>153.69999999999999</v>
      </c>
      <c r="J150" s="98">
        <v>209.4</v>
      </c>
      <c r="K150" s="209">
        <v>132.20000000000027</v>
      </c>
      <c r="L150" s="209">
        <v>142.20000000000027</v>
      </c>
      <c r="M150" s="209">
        <v>200.40000000000038</v>
      </c>
      <c r="N150" s="98">
        <v>159</v>
      </c>
      <c r="O150" s="98">
        <v>159</v>
      </c>
      <c r="P150" s="98">
        <v>365.2</v>
      </c>
      <c r="Q150" s="208">
        <v>122.80000000000004</v>
      </c>
      <c r="R150" s="98">
        <v>176.7999999999999</v>
      </c>
      <c r="S150" s="98">
        <v>161.00000000000034</v>
      </c>
      <c r="T150" s="98">
        <v>248.2000000000001</v>
      </c>
      <c r="U150" s="98">
        <v>122.80000000000004</v>
      </c>
      <c r="V150" s="98">
        <v>506.00000000000023</v>
      </c>
      <c r="W150" s="98">
        <v>563.99999999999864</v>
      </c>
      <c r="X150" s="98"/>
      <c r="Y150" s="98"/>
      <c r="Z150" s="98"/>
      <c r="AA150" s="230"/>
      <c r="AB150" s="230"/>
      <c r="AC150" s="230">
        <v>300.40000000000055</v>
      </c>
    </row>
    <row r="151" spans="2:29">
      <c r="B151" s="98">
        <v>181</v>
      </c>
      <c r="C151" s="98">
        <v>124.8</v>
      </c>
      <c r="D151" s="98">
        <v>638.1</v>
      </c>
      <c r="E151" s="98">
        <v>210</v>
      </c>
      <c r="F151" s="98">
        <v>215.3</v>
      </c>
      <c r="G151" s="98">
        <v>170.8</v>
      </c>
      <c r="H151" s="98">
        <v>125.6</v>
      </c>
      <c r="I151" s="98">
        <v>153.4</v>
      </c>
      <c r="J151" s="98">
        <v>209.3</v>
      </c>
      <c r="K151" s="208">
        <v>131.94000000000028</v>
      </c>
      <c r="L151" s="208">
        <v>141.94000000000028</v>
      </c>
      <c r="M151" s="208">
        <v>199.98000000000039</v>
      </c>
      <c r="N151" s="98"/>
      <c r="O151" s="98"/>
      <c r="P151" s="98"/>
      <c r="Q151" s="208">
        <v>122.56000000000004</v>
      </c>
      <c r="R151" s="98">
        <v>176.45999999999989</v>
      </c>
      <c r="S151" s="98">
        <v>160.80000000000035</v>
      </c>
      <c r="T151" s="98">
        <v>248.04000000000011</v>
      </c>
      <c r="U151" s="98">
        <v>122.56000000000004</v>
      </c>
      <c r="V151" s="98">
        <v>505.70000000000022</v>
      </c>
      <c r="W151" s="98">
        <v>563.79999999999859</v>
      </c>
      <c r="X151" s="98"/>
      <c r="Y151" s="98"/>
      <c r="Z151" s="98"/>
      <c r="AA151" s="230"/>
      <c r="AB151" s="230"/>
      <c r="AC151" s="230">
        <v>299.88000000000056</v>
      </c>
    </row>
    <row r="152" spans="2:29">
      <c r="B152" s="98">
        <v>182</v>
      </c>
      <c r="C152" s="98">
        <v>124.6</v>
      </c>
      <c r="D152" s="98">
        <v>637.79999999999995</v>
      </c>
      <c r="E152" s="98">
        <v>209.9</v>
      </c>
      <c r="F152" s="98">
        <v>215.2</v>
      </c>
      <c r="G152" s="98">
        <v>170.6</v>
      </c>
      <c r="H152" s="98">
        <v>125.4</v>
      </c>
      <c r="I152" s="98">
        <v>153.19999999999999</v>
      </c>
      <c r="J152" s="98">
        <v>209.2</v>
      </c>
      <c r="K152" s="209">
        <v>131.68000000000029</v>
      </c>
      <c r="L152" s="209">
        <v>141.68000000000029</v>
      </c>
      <c r="M152" s="209">
        <v>199.5600000000004</v>
      </c>
      <c r="N152" s="98"/>
      <c r="O152" s="98"/>
      <c r="P152" s="98"/>
      <c r="Q152" s="208">
        <v>122.32000000000005</v>
      </c>
      <c r="R152" s="98">
        <v>176.11999999999989</v>
      </c>
      <c r="S152" s="98">
        <v>160.60000000000036</v>
      </c>
      <c r="T152" s="98">
        <v>247.88000000000011</v>
      </c>
      <c r="U152" s="98">
        <v>122.32000000000005</v>
      </c>
      <c r="V152" s="98">
        <v>505.4000000000002</v>
      </c>
      <c r="W152" s="98">
        <v>563.59999999999854</v>
      </c>
      <c r="X152" s="98"/>
      <c r="Y152" s="98"/>
      <c r="Z152" s="98"/>
      <c r="AA152" s="230"/>
      <c r="AB152" s="230"/>
      <c r="AC152" s="230">
        <v>299.36000000000058</v>
      </c>
    </row>
    <row r="153" spans="2:29">
      <c r="B153" s="98">
        <v>183</v>
      </c>
      <c r="C153" s="98">
        <v>124.4</v>
      </c>
      <c r="D153" s="98">
        <v>637.4</v>
      </c>
      <c r="E153" s="98">
        <v>209.7</v>
      </c>
      <c r="F153" s="98">
        <v>215</v>
      </c>
      <c r="G153" s="98">
        <v>170.4</v>
      </c>
      <c r="H153" s="98">
        <v>125.2</v>
      </c>
      <c r="I153" s="98">
        <v>153</v>
      </c>
      <c r="J153" s="98">
        <v>209</v>
      </c>
      <c r="K153" s="208">
        <v>131.4200000000003</v>
      </c>
      <c r="L153" s="208">
        <v>141.4200000000003</v>
      </c>
      <c r="M153" s="208">
        <v>199.14000000000041</v>
      </c>
      <c r="N153" s="98"/>
      <c r="O153" s="98"/>
      <c r="P153" s="98"/>
      <c r="Q153" s="208">
        <v>122.08000000000006</v>
      </c>
      <c r="R153" s="98">
        <v>175.77999999999989</v>
      </c>
      <c r="S153" s="98">
        <v>160.40000000000038</v>
      </c>
      <c r="T153" s="98">
        <v>247.72000000000011</v>
      </c>
      <c r="U153" s="98">
        <v>122.08000000000006</v>
      </c>
      <c r="V153" s="98">
        <v>505.10000000000019</v>
      </c>
      <c r="W153" s="98">
        <v>563.3999999999985</v>
      </c>
      <c r="X153" s="98"/>
      <c r="Y153" s="98"/>
      <c r="Z153" s="98"/>
      <c r="AA153" s="230"/>
      <c r="AB153" s="230"/>
      <c r="AC153" s="230">
        <v>298.8400000000006</v>
      </c>
    </row>
    <row r="154" spans="2:29">
      <c r="B154" s="98">
        <v>184</v>
      </c>
      <c r="C154" s="98">
        <v>124.2</v>
      </c>
      <c r="D154" s="98">
        <v>637.1</v>
      </c>
      <c r="E154" s="98">
        <v>209.6</v>
      </c>
      <c r="F154" s="98">
        <v>214.9</v>
      </c>
      <c r="G154" s="98">
        <v>170.2</v>
      </c>
      <c r="H154" s="98">
        <v>125</v>
      </c>
      <c r="I154" s="98">
        <v>152.69999999999999</v>
      </c>
      <c r="J154" s="98">
        <v>208.9</v>
      </c>
      <c r="K154" s="209">
        <v>131.16000000000031</v>
      </c>
      <c r="L154" s="209">
        <v>141.16000000000031</v>
      </c>
      <c r="M154" s="209">
        <v>198.72000000000043</v>
      </c>
      <c r="N154" s="98"/>
      <c r="O154" s="98"/>
      <c r="P154" s="98"/>
      <c r="Q154" s="208">
        <v>121.84000000000006</v>
      </c>
      <c r="R154" s="98">
        <v>175.43999999999988</v>
      </c>
      <c r="S154" s="98">
        <v>160.20000000000039</v>
      </c>
      <c r="T154" s="98">
        <v>247.56000000000012</v>
      </c>
      <c r="U154" s="98">
        <v>121.84000000000006</v>
      </c>
      <c r="V154" s="98">
        <v>504.80000000000018</v>
      </c>
      <c r="W154" s="98">
        <v>563.19999999999845</v>
      </c>
      <c r="X154" s="98"/>
      <c r="Y154" s="98"/>
      <c r="Z154" s="98"/>
      <c r="AA154" s="230"/>
      <c r="AB154" s="230"/>
      <c r="AC154" s="230">
        <v>298.32000000000062</v>
      </c>
    </row>
    <row r="155" spans="2:29">
      <c r="B155" s="98">
        <v>185</v>
      </c>
      <c r="C155" s="98">
        <v>124</v>
      </c>
      <c r="D155" s="98">
        <v>636.79999999999995</v>
      </c>
      <c r="E155" s="98">
        <v>209.4</v>
      </c>
      <c r="F155" s="98">
        <v>214.8</v>
      </c>
      <c r="G155" s="98">
        <v>170</v>
      </c>
      <c r="H155" s="98">
        <v>124.8</v>
      </c>
      <c r="I155" s="98">
        <v>152.5</v>
      </c>
      <c r="J155" s="98">
        <v>208.8</v>
      </c>
      <c r="K155" s="208">
        <v>130.90000000000032</v>
      </c>
      <c r="L155" s="208">
        <v>140.90000000000032</v>
      </c>
      <c r="M155" s="208">
        <v>198.30000000000044</v>
      </c>
      <c r="N155" s="98"/>
      <c r="O155" s="98"/>
      <c r="P155" s="98"/>
      <c r="Q155" s="208">
        <v>121.60000000000007</v>
      </c>
      <c r="R155" s="98">
        <v>175.09999999999988</v>
      </c>
      <c r="S155" s="98">
        <v>160.0000000000004</v>
      </c>
      <c r="T155" s="98">
        <v>247.40000000000012</v>
      </c>
      <c r="U155" s="98">
        <v>121.60000000000007</v>
      </c>
      <c r="V155" s="98">
        <v>504.50000000000017</v>
      </c>
      <c r="W155" s="98">
        <v>562.99999999999841</v>
      </c>
      <c r="X155" s="98"/>
      <c r="Y155" s="98"/>
      <c r="Z155" s="98"/>
      <c r="AA155" s="230"/>
      <c r="AB155" s="230"/>
      <c r="AC155" s="230">
        <v>297.80000000000064</v>
      </c>
    </row>
    <row r="156" spans="2:29">
      <c r="B156" s="98">
        <v>186</v>
      </c>
      <c r="C156" s="98">
        <v>123.8</v>
      </c>
      <c r="D156" s="98">
        <v>636.5</v>
      </c>
      <c r="E156" s="98">
        <v>209.2</v>
      </c>
      <c r="F156" s="98">
        <v>214.7</v>
      </c>
      <c r="G156" s="98">
        <v>169.8</v>
      </c>
      <c r="H156" s="98">
        <v>124.6</v>
      </c>
      <c r="I156" s="98">
        <v>152.30000000000001</v>
      </c>
      <c r="J156" s="98">
        <v>208.7</v>
      </c>
      <c r="K156" s="209">
        <v>130.64000000000033</v>
      </c>
      <c r="L156" s="209">
        <v>140.64000000000033</v>
      </c>
      <c r="M156" s="209">
        <v>197.88000000000045</v>
      </c>
      <c r="N156" s="98"/>
      <c r="O156" s="98"/>
      <c r="P156" s="98"/>
      <c r="Q156" s="208">
        <v>121.36000000000007</v>
      </c>
      <c r="R156" s="98">
        <v>174.75999999999988</v>
      </c>
      <c r="S156" s="98">
        <v>159.80000000000041</v>
      </c>
      <c r="T156" s="98">
        <v>247.24000000000012</v>
      </c>
      <c r="U156" s="98">
        <v>121.36000000000007</v>
      </c>
      <c r="V156" s="98">
        <v>504.20000000000016</v>
      </c>
      <c r="W156" s="98">
        <v>562.79999999999836</v>
      </c>
      <c r="X156" s="98"/>
      <c r="Y156" s="98"/>
      <c r="Z156" s="98"/>
      <c r="AA156" s="230"/>
      <c r="AB156" s="230"/>
      <c r="AC156" s="230">
        <v>297.28000000000065</v>
      </c>
    </row>
    <row r="157" spans="2:29">
      <c r="B157" s="98">
        <v>187</v>
      </c>
      <c r="C157" s="98">
        <v>123.6</v>
      </c>
      <c r="D157" s="98">
        <v>636.20000000000005</v>
      </c>
      <c r="E157" s="98">
        <v>209.1</v>
      </c>
      <c r="F157" s="98">
        <v>214.6</v>
      </c>
      <c r="G157" s="98">
        <v>169.6</v>
      </c>
      <c r="H157" s="98">
        <v>124.4</v>
      </c>
      <c r="I157" s="98">
        <v>152</v>
      </c>
      <c r="J157" s="98">
        <v>208.6</v>
      </c>
      <c r="K157" s="208">
        <v>130.38000000000034</v>
      </c>
      <c r="L157" s="208">
        <v>140.38000000000034</v>
      </c>
      <c r="M157" s="208">
        <v>197.46000000000046</v>
      </c>
      <c r="N157" s="98"/>
      <c r="O157" s="98"/>
      <c r="P157" s="98"/>
      <c r="Q157" s="208">
        <v>121.12000000000008</v>
      </c>
      <c r="R157" s="98">
        <v>174.41999999999987</v>
      </c>
      <c r="S157" s="98">
        <v>159.60000000000042</v>
      </c>
      <c r="T157" s="98">
        <v>247.08000000000013</v>
      </c>
      <c r="U157" s="98">
        <v>121.12000000000008</v>
      </c>
      <c r="V157" s="98">
        <v>503.90000000000015</v>
      </c>
      <c r="W157" s="98">
        <v>562.59999999999832</v>
      </c>
      <c r="X157" s="98"/>
      <c r="Y157" s="98"/>
      <c r="Z157" s="98"/>
      <c r="AA157" s="230"/>
      <c r="AB157" s="230"/>
      <c r="AC157" s="230">
        <v>296.76000000000067</v>
      </c>
    </row>
    <row r="158" spans="2:29">
      <c r="B158" s="98">
        <v>188</v>
      </c>
      <c r="C158" s="98">
        <v>123.4</v>
      </c>
      <c r="D158" s="98">
        <v>635.79999999999995</v>
      </c>
      <c r="E158" s="98">
        <v>208.9</v>
      </c>
      <c r="F158" s="98">
        <v>214.4</v>
      </c>
      <c r="G158" s="98">
        <v>169.4</v>
      </c>
      <c r="H158" s="98">
        <v>124.2</v>
      </c>
      <c r="I158" s="98">
        <v>151.80000000000001</v>
      </c>
      <c r="J158" s="98">
        <v>208.4</v>
      </c>
      <c r="K158" s="209">
        <v>130.12000000000035</v>
      </c>
      <c r="L158" s="209">
        <v>140.12000000000035</v>
      </c>
      <c r="M158" s="209">
        <v>197.04000000000048</v>
      </c>
      <c r="N158" s="98"/>
      <c r="O158" s="98"/>
      <c r="P158" s="98"/>
      <c r="Q158" s="208">
        <v>120.88000000000008</v>
      </c>
      <c r="R158" s="98">
        <v>174.07999999999987</v>
      </c>
      <c r="S158" s="98">
        <v>159.40000000000043</v>
      </c>
      <c r="T158" s="98">
        <v>246.92000000000013</v>
      </c>
      <c r="U158" s="98">
        <v>120.88000000000008</v>
      </c>
      <c r="V158" s="98">
        <v>503.60000000000014</v>
      </c>
      <c r="W158" s="98">
        <v>562.39999999999827</v>
      </c>
      <c r="X158" s="98"/>
      <c r="Y158" s="98"/>
      <c r="Z158" s="98"/>
      <c r="AA158" s="230"/>
      <c r="AB158" s="230"/>
      <c r="AC158" s="230">
        <v>296.24000000000069</v>
      </c>
    </row>
    <row r="159" spans="2:29">
      <c r="B159" s="98">
        <v>189</v>
      </c>
      <c r="C159" s="98">
        <v>123.2</v>
      </c>
      <c r="D159" s="98">
        <v>635.5</v>
      </c>
      <c r="E159" s="98">
        <v>208.8</v>
      </c>
      <c r="F159" s="98">
        <v>214.3</v>
      </c>
      <c r="G159" s="98">
        <v>169.2</v>
      </c>
      <c r="H159" s="98">
        <v>124</v>
      </c>
      <c r="I159" s="98">
        <v>151.5</v>
      </c>
      <c r="J159" s="98">
        <v>208.3</v>
      </c>
      <c r="K159" s="208">
        <v>129.86000000000035</v>
      </c>
      <c r="L159" s="208">
        <v>139.86000000000035</v>
      </c>
      <c r="M159" s="208">
        <v>196.62000000000049</v>
      </c>
      <c r="N159" s="98"/>
      <c r="O159" s="98"/>
      <c r="P159" s="98"/>
      <c r="Q159" s="208">
        <v>120.64000000000009</v>
      </c>
      <c r="R159" s="98">
        <v>173.73999999999987</v>
      </c>
      <c r="S159" s="98">
        <v>159.20000000000044</v>
      </c>
      <c r="T159" s="98">
        <v>246.76000000000013</v>
      </c>
      <c r="U159" s="98">
        <v>120.64000000000009</v>
      </c>
      <c r="V159" s="98">
        <v>503.30000000000013</v>
      </c>
      <c r="W159" s="98">
        <v>562.19999999999823</v>
      </c>
      <c r="X159" s="98"/>
      <c r="Y159" s="98"/>
      <c r="Z159" s="98"/>
      <c r="AA159" s="230"/>
      <c r="AB159" s="230"/>
      <c r="AC159" s="230">
        <v>295.72000000000071</v>
      </c>
    </row>
    <row r="160" spans="2:29">
      <c r="B160" s="98">
        <v>190</v>
      </c>
      <c r="C160" s="98">
        <v>123</v>
      </c>
      <c r="D160" s="98">
        <v>635.20000000000005</v>
      </c>
      <c r="E160" s="98">
        <v>208.6</v>
      </c>
      <c r="F160" s="98">
        <v>214.2</v>
      </c>
      <c r="G160" s="98">
        <v>169</v>
      </c>
      <c r="H160" s="98">
        <v>123.8</v>
      </c>
      <c r="I160" s="98">
        <v>151.30000000000001</v>
      </c>
      <c r="J160" s="98">
        <v>208.2</v>
      </c>
      <c r="K160" s="209">
        <v>129.60000000000036</v>
      </c>
      <c r="L160" s="209">
        <v>139.60000000000036</v>
      </c>
      <c r="M160" s="209">
        <v>196.2000000000005</v>
      </c>
      <c r="N160" s="98"/>
      <c r="O160" s="98"/>
      <c r="P160" s="98"/>
      <c r="Q160" s="208">
        <v>120.40000000000009</v>
      </c>
      <c r="R160" s="98">
        <v>173.39999999999986</v>
      </c>
      <c r="S160" s="98">
        <v>159.00000000000045</v>
      </c>
      <c r="T160" s="98">
        <v>246.60000000000014</v>
      </c>
      <c r="U160" s="98">
        <v>120.40000000000009</v>
      </c>
      <c r="V160" s="98">
        <v>503.00000000000011</v>
      </c>
      <c r="W160" s="98">
        <v>561.99999999999818</v>
      </c>
      <c r="X160" s="98"/>
      <c r="Y160" s="98"/>
      <c r="Z160" s="98"/>
      <c r="AA160" s="230"/>
      <c r="AB160" s="230"/>
      <c r="AC160" s="230">
        <v>295.20000000000073</v>
      </c>
    </row>
    <row r="161" spans="2:29">
      <c r="B161" s="98">
        <v>191</v>
      </c>
      <c r="C161" s="98">
        <v>122.8</v>
      </c>
      <c r="D161" s="98">
        <v>634.9</v>
      </c>
      <c r="E161" s="98">
        <v>208.4</v>
      </c>
      <c r="F161" s="98">
        <v>214.1</v>
      </c>
      <c r="G161" s="98">
        <v>168.8</v>
      </c>
      <c r="H161" s="98">
        <v>123.6</v>
      </c>
      <c r="I161" s="98">
        <v>151.1</v>
      </c>
      <c r="J161" s="98">
        <v>208.1</v>
      </c>
      <c r="K161" s="208">
        <v>129.34000000000037</v>
      </c>
      <c r="L161" s="208">
        <v>139.34000000000037</v>
      </c>
      <c r="M161" s="208">
        <v>195.78000000000051</v>
      </c>
      <c r="N161" s="98"/>
      <c r="O161" s="98"/>
      <c r="P161" s="98"/>
      <c r="Q161" s="208">
        <v>120.1600000000001</v>
      </c>
      <c r="R161" s="98">
        <v>173.05999999999986</v>
      </c>
      <c r="S161" s="98">
        <v>158.80000000000047</v>
      </c>
      <c r="T161" s="98">
        <v>246.44000000000014</v>
      </c>
      <c r="U161" s="98">
        <v>120.1600000000001</v>
      </c>
      <c r="V161" s="98">
        <v>502.7000000000001</v>
      </c>
      <c r="W161" s="98">
        <v>561.79999999999814</v>
      </c>
      <c r="X161" s="98"/>
      <c r="Y161" s="98"/>
      <c r="Z161" s="98"/>
      <c r="AA161" s="230"/>
      <c r="AB161" s="230"/>
      <c r="AC161" s="230">
        <v>294.68000000000075</v>
      </c>
    </row>
    <row r="162" spans="2:29">
      <c r="B162" s="98">
        <v>192</v>
      </c>
      <c r="C162" s="98">
        <v>122.6</v>
      </c>
      <c r="D162" s="98">
        <v>634.6</v>
      </c>
      <c r="E162" s="98">
        <v>208.3</v>
      </c>
      <c r="F162" s="98">
        <v>214</v>
      </c>
      <c r="G162" s="98">
        <v>168.6</v>
      </c>
      <c r="H162" s="98">
        <v>123.4</v>
      </c>
      <c r="I162" s="98">
        <v>150.80000000000001</v>
      </c>
      <c r="J162" s="98">
        <v>208</v>
      </c>
      <c r="K162" s="209">
        <v>129.08000000000038</v>
      </c>
      <c r="L162" s="209">
        <v>139.08000000000038</v>
      </c>
      <c r="M162" s="209">
        <v>195.36000000000053</v>
      </c>
      <c r="N162" s="98"/>
      <c r="O162" s="98"/>
      <c r="P162" s="98"/>
      <c r="Q162" s="208">
        <v>119.9200000000001</v>
      </c>
      <c r="R162" s="98">
        <v>172.71999999999986</v>
      </c>
      <c r="S162" s="98">
        <v>158.60000000000048</v>
      </c>
      <c r="T162" s="98">
        <v>246.28000000000014</v>
      </c>
      <c r="U162" s="98">
        <v>119.9200000000001</v>
      </c>
      <c r="V162" s="98">
        <v>502.40000000000009</v>
      </c>
      <c r="W162" s="98">
        <v>561.59999999999809</v>
      </c>
      <c r="X162" s="98"/>
      <c r="Y162" s="98"/>
      <c r="Z162" s="98"/>
      <c r="AA162" s="230"/>
      <c r="AB162" s="230"/>
      <c r="AC162" s="230">
        <v>294.16000000000076</v>
      </c>
    </row>
    <row r="163" spans="2:29">
      <c r="B163" s="98">
        <v>193</v>
      </c>
      <c r="C163" s="98">
        <v>122.4</v>
      </c>
      <c r="D163" s="98">
        <v>634.20000000000005</v>
      </c>
      <c r="E163" s="98">
        <v>208.1</v>
      </c>
      <c r="F163" s="98">
        <v>213.8</v>
      </c>
      <c r="G163" s="98">
        <v>168.4</v>
      </c>
      <c r="H163" s="98">
        <v>123.2</v>
      </c>
      <c r="I163" s="98">
        <v>150.6</v>
      </c>
      <c r="J163" s="98">
        <v>207.8</v>
      </c>
      <c r="K163" s="208">
        <v>128.82000000000039</v>
      </c>
      <c r="L163" s="208">
        <v>138.82000000000039</v>
      </c>
      <c r="M163" s="208">
        <v>194.94000000000054</v>
      </c>
      <c r="N163" s="98"/>
      <c r="O163" s="98"/>
      <c r="P163" s="98"/>
      <c r="Q163" s="208">
        <v>119.68000000000011</v>
      </c>
      <c r="R163" s="98">
        <v>172.37999999999985</v>
      </c>
      <c r="S163" s="98">
        <v>158.40000000000049</v>
      </c>
      <c r="T163" s="98">
        <v>246.12000000000015</v>
      </c>
      <c r="U163" s="98">
        <v>119.68000000000011</v>
      </c>
      <c r="V163" s="98">
        <v>502.10000000000008</v>
      </c>
      <c r="W163" s="98">
        <v>561.39999999999804</v>
      </c>
      <c r="X163" s="98"/>
      <c r="Y163" s="98"/>
      <c r="Z163" s="98"/>
      <c r="AA163" s="230"/>
      <c r="AB163" s="230"/>
      <c r="AC163" s="230">
        <v>293.64000000000078</v>
      </c>
    </row>
    <row r="164" spans="2:29">
      <c r="B164" s="98">
        <v>194</v>
      </c>
      <c r="C164" s="98">
        <v>122.2</v>
      </c>
      <c r="D164" s="98">
        <v>633.9</v>
      </c>
      <c r="E164" s="98">
        <v>208</v>
      </c>
      <c r="F164" s="98">
        <v>213.7</v>
      </c>
      <c r="G164" s="98">
        <v>168.2</v>
      </c>
      <c r="H164" s="98">
        <v>123</v>
      </c>
      <c r="I164" s="98">
        <v>150.4</v>
      </c>
      <c r="J164" s="98">
        <v>207.7</v>
      </c>
      <c r="K164" s="209">
        <v>128.5600000000004</v>
      </c>
      <c r="L164" s="209">
        <v>138.5600000000004</v>
      </c>
      <c r="M164" s="209">
        <v>194.52000000000055</v>
      </c>
      <c r="N164" s="98"/>
      <c r="O164" s="98"/>
      <c r="P164" s="98"/>
      <c r="Q164" s="208">
        <v>119.44000000000011</v>
      </c>
      <c r="R164" s="98">
        <v>172.03999999999985</v>
      </c>
      <c r="S164" s="98">
        <v>158.2000000000005</v>
      </c>
      <c r="T164" s="98">
        <v>245.96000000000015</v>
      </c>
      <c r="U164" s="98">
        <v>119.44000000000011</v>
      </c>
      <c r="V164" s="98">
        <v>501.80000000000007</v>
      </c>
      <c r="W164" s="98">
        <v>561.199999999998</v>
      </c>
      <c r="X164" s="98"/>
      <c r="Y164" s="98"/>
      <c r="Z164" s="98"/>
      <c r="AA164" s="230"/>
      <c r="AB164" s="230"/>
      <c r="AC164" s="230">
        <v>293.1200000000008</v>
      </c>
    </row>
    <row r="165" spans="2:29">
      <c r="B165" s="98">
        <v>195</v>
      </c>
      <c r="C165" s="98">
        <v>122</v>
      </c>
      <c r="D165" s="98">
        <v>633.6</v>
      </c>
      <c r="E165" s="98">
        <v>207.8</v>
      </c>
      <c r="F165" s="98">
        <v>213.6</v>
      </c>
      <c r="G165" s="98">
        <v>168</v>
      </c>
      <c r="H165" s="98">
        <v>122.8</v>
      </c>
      <c r="I165" s="98">
        <v>150.1</v>
      </c>
      <c r="J165" s="98">
        <v>207.6</v>
      </c>
      <c r="K165" s="208">
        <v>128.30000000000041</v>
      </c>
      <c r="L165" s="208">
        <v>138.30000000000041</v>
      </c>
      <c r="M165" s="208">
        <v>194.10000000000056</v>
      </c>
      <c r="N165" s="98"/>
      <c r="O165" s="98"/>
      <c r="P165" s="98"/>
      <c r="Q165" s="208">
        <v>119.20000000000012</v>
      </c>
      <c r="R165" s="98">
        <v>171.69999999999985</v>
      </c>
      <c r="S165" s="98">
        <v>158.00000000000051</v>
      </c>
      <c r="T165" s="98">
        <v>245.80000000000015</v>
      </c>
      <c r="U165" s="98">
        <v>119.20000000000012</v>
      </c>
      <c r="V165" s="98">
        <v>501.50000000000006</v>
      </c>
      <c r="W165" s="98">
        <v>560.99999999999795</v>
      </c>
      <c r="X165" s="98"/>
      <c r="Y165" s="98"/>
      <c r="Z165" s="98"/>
      <c r="AA165" s="230"/>
      <c r="AB165" s="230"/>
      <c r="AC165" s="230">
        <v>292.60000000000082</v>
      </c>
    </row>
    <row r="166" spans="2:29">
      <c r="B166" s="98">
        <v>196</v>
      </c>
      <c r="C166" s="98">
        <v>121.8</v>
      </c>
      <c r="D166" s="98">
        <v>633.29999999999995</v>
      </c>
      <c r="E166" s="98">
        <v>207.6</v>
      </c>
      <c r="F166" s="98">
        <v>213.5</v>
      </c>
      <c r="G166" s="98">
        <v>167.8</v>
      </c>
      <c r="H166" s="98">
        <v>122.6</v>
      </c>
      <c r="I166" s="98">
        <v>149.9</v>
      </c>
      <c r="J166" s="98">
        <v>207.5</v>
      </c>
      <c r="K166" s="209">
        <v>128.04000000000042</v>
      </c>
      <c r="L166" s="209">
        <v>138.04000000000042</v>
      </c>
      <c r="M166" s="209">
        <v>193.68000000000058</v>
      </c>
      <c r="N166" s="98"/>
      <c r="O166" s="98"/>
      <c r="P166" s="98"/>
      <c r="Q166" s="208">
        <v>118.96000000000012</v>
      </c>
      <c r="R166" s="98">
        <v>171.35999999999984</v>
      </c>
      <c r="S166" s="98">
        <v>157.80000000000052</v>
      </c>
      <c r="T166" s="98">
        <v>245.64000000000016</v>
      </c>
      <c r="U166" s="98">
        <v>118.96000000000012</v>
      </c>
      <c r="V166" s="98">
        <v>501.20000000000005</v>
      </c>
      <c r="W166" s="98">
        <v>560.79999999999791</v>
      </c>
      <c r="X166" s="98"/>
      <c r="Y166" s="98"/>
      <c r="Z166" s="98"/>
      <c r="AA166" s="230"/>
      <c r="AB166" s="230"/>
      <c r="AC166" s="230">
        <v>292.08000000000084</v>
      </c>
    </row>
    <row r="167" spans="2:29">
      <c r="B167" s="98">
        <v>197</v>
      </c>
      <c r="C167" s="98">
        <v>121.6</v>
      </c>
      <c r="D167" s="98">
        <v>633</v>
      </c>
      <c r="E167" s="98">
        <v>207.5</v>
      </c>
      <c r="F167" s="98">
        <v>213.4</v>
      </c>
      <c r="G167" s="98">
        <v>167.6</v>
      </c>
      <c r="H167" s="98">
        <v>122.4</v>
      </c>
      <c r="I167" s="98">
        <v>149.69999999999999</v>
      </c>
      <c r="J167" s="98">
        <v>207.4</v>
      </c>
      <c r="K167" s="208">
        <v>127.78000000000041</v>
      </c>
      <c r="L167" s="208">
        <v>137.78000000000043</v>
      </c>
      <c r="M167" s="208">
        <v>193.26000000000059</v>
      </c>
      <c r="N167" s="98"/>
      <c r="O167" s="98"/>
      <c r="P167" s="98"/>
      <c r="Q167" s="208">
        <v>118.72000000000013</v>
      </c>
      <c r="R167" s="98">
        <v>171.01999999999984</v>
      </c>
      <c r="S167" s="98">
        <v>157.60000000000053</v>
      </c>
      <c r="T167" s="98">
        <v>245.48000000000016</v>
      </c>
      <c r="U167" s="98">
        <v>118.72000000000013</v>
      </c>
      <c r="V167" s="98">
        <v>500.90000000000003</v>
      </c>
      <c r="W167" s="98">
        <v>560.59999999999786</v>
      </c>
      <c r="X167" s="98"/>
      <c r="Y167" s="98"/>
      <c r="Z167" s="98"/>
      <c r="AA167" s="230"/>
      <c r="AB167" s="230"/>
      <c r="AC167" s="230">
        <v>291.56000000000085</v>
      </c>
    </row>
    <row r="168" spans="2:29">
      <c r="B168" s="98">
        <v>198</v>
      </c>
      <c r="C168" s="98">
        <v>121.4</v>
      </c>
      <c r="D168" s="98">
        <v>632.6</v>
      </c>
      <c r="E168" s="98">
        <v>207.3</v>
      </c>
      <c r="F168" s="98">
        <v>213.2</v>
      </c>
      <c r="G168" s="98">
        <v>167.4</v>
      </c>
      <c r="H168" s="98">
        <v>122.2</v>
      </c>
      <c r="I168" s="98">
        <v>149.4</v>
      </c>
      <c r="J168" s="98">
        <v>207.2</v>
      </c>
      <c r="K168" s="209">
        <v>127.52000000000041</v>
      </c>
      <c r="L168" s="209">
        <v>137.52000000000044</v>
      </c>
      <c r="M168" s="209">
        <v>192.8400000000006</v>
      </c>
      <c r="N168" s="98"/>
      <c r="O168" s="98"/>
      <c r="P168" s="98"/>
      <c r="Q168" s="208">
        <v>118.48000000000013</v>
      </c>
      <c r="R168" s="98">
        <v>170.67999999999984</v>
      </c>
      <c r="S168" s="98">
        <v>157.40000000000055</v>
      </c>
      <c r="T168" s="98">
        <v>245.32000000000016</v>
      </c>
      <c r="U168" s="98">
        <v>118.48000000000013</v>
      </c>
      <c r="V168" s="98">
        <v>500.6</v>
      </c>
      <c r="W168" s="98">
        <v>560.39999999999782</v>
      </c>
      <c r="X168" s="98"/>
      <c r="Y168" s="98"/>
      <c r="Z168" s="98"/>
      <c r="AA168" s="230"/>
      <c r="AB168" s="230"/>
      <c r="AC168" s="230">
        <v>291.04000000000087</v>
      </c>
    </row>
    <row r="169" spans="2:29">
      <c r="B169" s="98">
        <v>199</v>
      </c>
      <c r="C169" s="98">
        <v>121.2</v>
      </c>
      <c r="D169" s="98">
        <v>632.29999999999995</v>
      </c>
      <c r="E169" s="98">
        <v>207.2</v>
      </c>
      <c r="F169" s="98">
        <v>213.1</v>
      </c>
      <c r="G169" s="98">
        <v>167.2</v>
      </c>
      <c r="H169" s="98">
        <v>122</v>
      </c>
      <c r="I169" s="98">
        <v>149.19999999999999</v>
      </c>
      <c r="J169" s="98">
        <v>207.1</v>
      </c>
      <c r="K169" s="208">
        <v>127.2600000000004</v>
      </c>
      <c r="L169" s="208">
        <v>137.26000000000045</v>
      </c>
      <c r="M169" s="208">
        <v>192.42000000000061</v>
      </c>
      <c r="N169" s="98"/>
      <c r="O169" s="98"/>
      <c r="P169" s="98"/>
      <c r="Q169" s="208">
        <v>118.24000000000014</v>
      </c>
      <c r="R169" s="98">
        <v>170.33999999999983</v>
      </c>
      <c r="S169" s="98">
        <v>157.20000000000056</v>
      </c>
      <c r="T169" s="98">
        <v>245.16000000000017</v>
      </c>
      <c r="U169" s="98">
        <v>118.24000000000014</v>
      </c>
      <c r="V169" s="98">
        <v>500.3</v>
      </c>
      <c r="W169" s="98">
        <v>560.19999999999777</v>
      </c>
      <c r="X169" s="98"/>
      <c r="Y169" s="98"/>
      <c r="Z169" s="98"/>
      <c r="AA169" s="230"/>
      <c r="AB169" s="230"/>
      <c r="AC169" s="230">
        <v>290.52000000000089</v>
      </c>
    </row>
    <row r="170" spans="2:29">
      <c r="B170" s="98">
        <v>200</v>
      </c>
      <c r="C170" s="98">
        <v>121</v>
      </c>
      <c r="D170" s="98">
        <v>632</v>
      </c>
      <c r="E170" s="98">
        <v>207</v>
      </c>
      <c r="F170" s="98">
        <v>213</v>
      </c>
      <c r="G170" s="98">
        <v>167</v>
      </c>
      <c r="H170" s="98">
        <v>121.8</v>
      </c>
      <c r="I170" s="98">
        <v>148.9</v>
      </c>
      <c r="J170" s="98">
        <v>207</v>
      </c>
      <c r="K170" s="209">
        <v>127</v>
      </c>
      <c r="L170" s="209">
        <v>137</v>
      </c>
      <c r="M170" s="209">
        <v>192</v>
      </c>
      <c r="N170" s="98">
        <v>155</v>
      </c>
      <c r="O170" s="98">
        <v>155</v>
      </c>
      <c r="P170" s="98">
        <v>360</v>
      </c>
      <c r="Q170" s="209">
        <v>118</v>
      </c>
      <c r="R170" s="98">
        <v>170</v>
      </c>
      <c r="S170" s="98">
        <v>157</v>
      </c>
      <c r="T170" s="98">
        <v>245</v>
      </c>
      <c r="U170" s="98">
        <v>118</v>
      </c>
      <c r="V170" s="98">
        <v>500</v>
      </c>
      <c r="W170" s="98">
        <v>560</v>
      </c>
      <c r="X170" s="98"/>
      <c r="Y170" s="98"/>
      <c r="Z170" s="98"/>
      <c r="AA170" s="230"/>
      <c r="AB170" s="230">
        <v>640</v>
      </c>
      <c r="AC170" s="230">
        <v>290</v>
      </c>
    </row>
    <row r="171" spans="2:29">
      <c r="B171" s="98">
        <v>201</v>
      </c>
      <c r="C171" s="98">
        <v>120.8</v>
      </c>
      <c r="D171" s="98">
        <v>631.6</v>
      </c>
      <c r="E171" s="98">
        <v>206.8</v>
      </c>
      <c r="F171" s="98">
        <v>212.8</v>
      </c>
      <c r="G171" s="98">
        <v>166.8</v>
      </c>
      <c r="H171" s="98">
        <v>121.6</v>
      </c>
      <c r="I171" s="98">
        <v>148.69999999999999</v>
      </c>
      <c r="J171" s="98">
        <v>206.8</v>
      </c>
      <c r="K171" s="208">
        <v>126.82</v>
      </c>
      <c r="L171" s="208">
        <v>136.80000000000001</v>
      </c>
      <c r="M171" s="208">
        <v>191.58</v>
      </c>
      <c r="N171" s="98"/>
      <c r="O171" s="98"/>
      <c r="P171" s="98"/>
      <c r="Q171" s="208">
        <v>117.8</v>
      </c>
      <c r="R171" s="98">
        <v>169.6</v>
      </c>
      <c r="S171" s="98">
        <v>156.80000000000001</v>
      </c>
      <c r="T171" s="98">
        <v>244.82</v>
      </c>
      <c r="U171" s="98">
        <v>117.8</v>
      </c>
      <c r="V171" s="98">
        <v>499.6</v>
      </c>
      <c r="W171" s="98">
        <v>559.79999999999995</v>
      </c>
      <c r="X171" s="98"/>
      <c r="Y171" s="98"/>
      <c r="Z171" s="98"/>
      <c r="AA171" s="230"/>
      <c r="AB171" s="230"/>
      <c r="AC171" s="230">
        <v>289.52</v>
      </c>
    </row>
    <row r="172" spans="2:29">
      <c r="B172" s="98">
        <v>202</v>
      </c>
      <c r="C172" s="98">
        <v>120.7</v>
      </c>
      <c r="D172" s="98">
        <v>631.29999999999995</v>
      </c>
      <c r="E172" s="98">
        <v>206.7</v>
      </c>
      <c r="F172" s="98">
        <v>212.7</v>
      </c>
      <c r="G172" s="98">
        <v>166.6</v>
      </c>
      <c r="H172" s="98">
        <v>121.4</v>
      </c>
      <c r="I172" s="98">
        <v>148.5</v>
      </c>
      <c r="J172" s="98">
        <v>206.7</v>
      </c>
      <c r="K172" s="209">
        <v>126.63999999999999</v>
      </c>
      <c r="L172" s="209">
        <v>136.60000000000002</v>
      </c>
      <c r="M172" s="209">
        <v>191.16000000000003</v>
      </c>
      <c r="N172" s="98"/>
      <c r="O172" s="98"/>
      <c r="P172" s="98"/>
      <c r="Q172" s="208">
        <v>117.6</v>
      </c>
      <c r="R172" s="98">
        <v>169.2</v>
      </c>
      <c r="S172" s="98">
        <v>156.60000000000002</v>
      </c>
      <c r="T172" s="98">
        <v>244.64</v>
      </c>
      <c r="U172" s="98">
        <v>117.6</v>
      </c>
      <c r="V172" s="98">
        <v>499.20000000000005</v>
      </c>
      <c r="W172" s="98">
        <v>559.59999999999991</v>
      </c>
      <c r="X172" s="98"/>
      <c r="Y172" s="98"/>
      <c r="Z172" s="98"/>
      <c r="AA172" s="230"/>
      <c r="AB172" s="230"/>
      <c r="AC172" s="230">
        <v>289.03999999999996</v>
      </c>
    </row>
    <row r="173" spans="2:29">
      <c r="B173" s="98">
        <v>203</v>
      </c>
      <c r="C173" s="98">
        <v>120.5</v>
      </c>
      <c r="D173" s="98">
        <v>630.9</v>
      </c>
      <c r="E173" s="98">
        <v>206.5</v>
      </c>
      <c r="F173" s="98">
        <v>212.5</v>
      </c>
      <c r="G173" s="98">
        <v>166.4</v>
      </c>
      <c r="H173" s="98">
        <v>121.2</v>
      </c>
      <c r="I173" s="98">
        <v>148.19999999999999</v>
      </c>
      <c r="J173" s="98">
        <v>206.5</v>
      </c>
      <c r="K173" s="208">
        <v>126.45999999999998</v>
      </c>
      <c r="L173" s="208">
        <v>136.40000000000003</v>
      </c>
      <c r="M173" s="208">
        <v>190.74000000000004</v>
      </c>
      <c r="N173" s="98"/>
      <c r="O173" s="98"/>
      <c r="P173" s="98"/>
      <c r="Q173" s="208">
        <v>117.39999999999999</v>
      </c>
      <c r="R173" s="98">
        <v>168.79999999999998</v>
      </c>
      <c r="S173" s="98">
        <v>156.40000000000003</v>
      </c>
      <c r="T173" s="98">
        <v>244.45999999999998</v>
      </c>
      <c r="U173" s="98">
        <v>117.39999999999999</v>
      </c>
      <c r="V173" s="98">
        <v>498.80000000000007</v>
      </c>
      <c r="W173" s="98">
        <v>559.39999999999986</v>
      </c>
      <c r="X173" s="98"/>
      <c r="Y173" s="98"/>
      <c r="Z173" s="98"/>
      <c r="AA173" s="230"/>
      <c r="AB173" s="230"/>
      <c r="AC173" s="230">
        <v>288.55999999999995</v>
      </c>
    </row>
    <row r="174" spans="2:29">
      <c r="B174" s="98">
        <v>204</v>
      </c>
      <c r="C174" s="98">
        <v>120.4</v>
      </c>
      <c r="D174" s="98">
        <v>630.6</v>
      </c>
      <c r="E174" s="98">
        <v>206.4</v>
      </c>
      <c r="F174" s="98">
        <v>212.4</v>
      </c>
      <c r="G174" s="98">
        <v>166.2</v>
      </c>
      <c r="H174" s="98">
        <v>121</v>
      </c>
      <c r="I174" s="98">
        <v>148</v>
      </c>
      <c r="J174" s="98">
        <v>206.4</v>
      </c>
      <c r="K174" s="209">
        <v>126.27999999999997</v>
      </c>
      <c r="L174" s="209">
        <v>136.20000000000005</v>
      </c>
      <c r="M174" s="209">
        <v>190.32000000000005</v>
      </c>
      <c r="N174" s="98"/>
      <c r="O174" s="98"/>
      <c r="P174" s="98"/>
      <c r="Q174" s="208">
        <v>117.19999999999999</v>
      </c>
      <c r="R174" s="98">
        <v>168.39999999999998</v>
      </c>
      <c r="S174" s="98">
        <v>156.20000000000005</v>
      </c>
      <c r="T174" s="98">
        <v>244.27999999999997</v>
      </c>
      <c r="U174" s="98">
        <v>117.19999999999999</v>
      </c>
      <c r="V174" s="98">
        <v>498.40000000000009</v>
      </c>
      <c r="W174" s="98">
        <v>559.19999999999982</v>
      </c>
      <c r="X174" s="98"/>
      <c r="Y174" s="98"/>
      <c r="Z174" s="98"/>
      <c r="AA174" s="230"/>
      <c r="AB174" s="230"/>
      <c r="AC174" s="230">
        <v>288.07999999999993</v>
      </c>
    </row>
    <row r="175" spans="2:29">
      <c r="B175" s="98">
        <v>205</v>
      </c>
      <c r="C175" s="98">
        <v>120.2</v>
      </c>
      <c r="D175" s="98">
        <v>630.20000000000005</v>
      </c>
      <c r="E175" s="98">
        <v>206.2</v>
      </c>
      <c r="F175" s="98">
        <v>212.2</v>
      </c>
      <c r="G175" s="98">
        <v>166</v>
      </c>
      <c r="H175" s="98">
        <v>120.9</v>
      </c>
      <c r="I175" s="98">
        <v>147.80000000000001</v>
      </c>
      <c r="J175" s="98">
        <v>206.2</v>
      </c>
      <c r="K175" s="208">
        <v>126.09999999999997</v>
      </c>
      <c r="L175" s="208">
        <v>136.00000000000006</v>
      </c>
      <c r="M175" s="208">
        <v>189.90000000000006</v>
      </c>
      <c r="N175" s="98"/>
      <c r="O175" s="98"/>
      <c r="P175" s="98"/>
      <c r="Q175" s="208">
        <v>116.99999999999999</v>
      </c>
      <c r="R175" s="98">
        <v>167.99999999999997</v>
      </c>
      <c r="S175" s="98">
        <v>156.00000000000006</v>
      </c>
      <c r="T175" s="98">
        <v>244.09999999999997</v>
      </c>
      <c r="U175" s="98">
        <v>116.99999999999999</v>
      </c>
      <c r="V175" s="98">
        <v>498.00000000000011</v>
      </c>
      <c r="W175" s="98">
        <v>558.99999999999977</v>
      </c>
      <c r="X175" s="98"/>
      <c r="Y175" s="98"/>
      <c r="Z175" s="98"/>
      <c r="AA175" s="230"/>
      <c r="AB175" s="230"/>
      <c r="AC175" s="230">
        <v>287.59999999999991</v>
      </c>
    </row>
    <row r="176" spans="2:29">
      <c r="B176" s="98">
        <v>206</v>
      </c>
      <c r="C176" s="98">
        <v>120</v>
      </c>
      <c r="D176" s="98">
        <v>629.79999999999995</v>
      </c>
      <c r="E176" s="98">
        <v>206</v>
      </c>
      <c r="F176" s="98">
        <v>212</v>
      </c>
      <c r="G176" s="98">
        <v>165.8</v>
      </c>
      <c r="H176" s="98">
        <v>120.7</v>
      </c>
      <c r="I176" s="98">
        <v>147.6</v>
      </c>
      <c r="J176" s="98">
        <v>206</v>
      </c>
      <c r="K176" s="209">
        <v>125.91999999999996</v>
      </c>
      <c r="L176" s="209">
        <v>135.80000000000007</v>
      </c>
      <c r="M176" s="209">
        <v>189.48000000000008</v>
      </c>
      <c r="N176" s="98"/>
      <c r="O176" s="98"/>
      <c r="P176" s="98"/>
      <c r="Q176" s="208">
        <v>116.79999999999998</v>
      </c>
      <c r="R176" s="98">
        <v>167.59999999999997</v>
      </c>
      <c r="S176" s="98">
        <v>155.80000000000007</v>
      </c>
      <c r="T176" s="98">
        <v>243.91999999999996</v>
      </c>
      <c r="U176" s="98">
        <v>116.79999999999998</v>
      </c>
      <c r="V176" s="98">
        <v>497.60000000000014</v>
      </c>
      <c r="W176" s="98">
        <v>558.79999999999973</v>
      </c>
      <c r="X176" s="98"/>
      <c r="Y176" s="98"/>
      <c r="Z176" s="98"/>
      <c r="AA176" s="230"/>
      <c r="AB176" s="230"/>
      <c r="AC176" s="230">
        <v>287.11999999999989</v>
      </c>
    </row>
    <row r="177" spans="2:29">
      <c r="B177" s="98">
        <v>207</v>
      </c>
      <c r="C177" s="98">
        <v>119.9</v>
      </c>
      <c r="D177" s="98">
        <v>629.5</v>
      </c>
      <c r="E177" s="98">
        <v>205.9</v>
      </c>
      <c r="F177" s="98">
        <v>211.9</v>
      </c>
      <c r="G177" s="98">
        <v>165.6</v>
      </c>
      <c r="H177" s="98">
        <v>120.6</v>
      </c>
      <c r="I177" s="98">
        <v>147.5</v>
      </c>
      <c r="J177" s="98">
        <v>205.9</v>
      </c>
      <c r="K177" s="208">
        <v>125.73999999999995</v>
      </c>
      <c r="L177" s="208">
        <v>135.60000000000008</v>
      </c>
      <c r="M177" s="208">
        <v>189.06000000000009</v>
      </c>
      <c r="N177" s="98"/>
      <c r="O177" s="98"/>
      <c r="P177" s="98"/>
      <c r="Q177" s="208">
        <v>116.59999999999998</v>
      </c>
      <c r="R177" s="98">
        <v>167.19999999999996</v>
      </c>
      <c r="S177" s="98">
        <v>155.60000000000008</v>
      </c>
      <c r="T177" s="98">
        <v>243.73999999999995</v>
      </c>
      <c r="U177" s="98">
        <v>116.59999999999998</v>
      </c>
      <c r="V177" s="98">
        <v>497.20000000000016</v>
      </c>
      <c r="W177" s="98">
        <v>558.59999999999968</v>
      </c>
      <c r="X177" s="98"/>
      <c r="Y177" s="98"/>
      <c r="Z177" s="98"/>
      <c r="AA177" s="230"/>
      <c r="AB177" s="230"/>
      <c r="AC177" s="230">
        <v>286.63999999999987</v>
      </c>
    </row>
    <row r="178" spans="2:29">
      <c r="B178" s="98">
        <v>208</v>
      </c>
      <c r="C178" s="98">
        <v>119.7</v>
      </c>
      <c r="D178" s="98">
        <v>629.1</v>
      </c>
      <c r="E178" s="98">
        <v>205.7</v>
      </c>
      <c r="F178" s="98">
        <v>211.7</v>
      </c>
      <c r="G178" s="98">
        <v>165.4</v>
      </c>
      <c r="H178" s="98">
        <v>120.4</v>
      </c>
      <c r="I178" s="98">
        <v>147.30000000000001</v>
      </c>
      <c r="J178" s="98">
        <v>205.7</v>
      </c>
      <c r="K178" s="209">
        <v>125.55999999999995</v>
      </c>
      <c r="L178" s="209">
        <v>135.40000000000009</v>
      </c>
      <c r="M178" s="209">
        <v>188.6400000000001</v>
      </c>
      <c r="N178" s="98"/>
      <c r="O178" s="98"/>
      <c r="P178" s="98"/>
      <c r="Q178" s="208">
        <v>116.39999999999998</v>
      </c>
      <c r="R178" s="98">
        <v>166.79999999999995</v>
      </c>
      <c r="S178" s="98">
        <v>155.40000000000009</v>
      </c>
      <c r="T178" s="98">
        <v>243.55999999999995</v>
      </c>
      <c r="U178" s="98">
        <v>116.39999999999998</v>
      </c>
      <c r="V178" s="98">
        <v>496.80000000000018</v>
      </c>
      <c r="W178" s="98">
        <v>558.39999999999964</v>
      </c>
      <c r="X178" s="98"/>
      <c r="Y178" s="98"/>
      <c r="Z178" s="98"/>
      <c r="AA178" s="230"/>
      <c r="AB178" s="230"/>
      <c r="AC178" s="230">
        <v>286.15999999999985</v>
      </c>
    </row>
    <row r="179" spans="2:29">
      <c r="B179" s="98">
        <v>209</v>
      </c>
      <c r="C179" s="98">
        <v>119.6</v>
      </c>
      <c r="D179" s="98">
        <v>628.79999999999995</v>
      </c>
      <c r="E179" s="98">
        <v>205.6</v>
      </c>
      <c r="F179" s="98">
        <v>211.6</v>
      </c>
      <c r="G179" s="98">
        <v>165.2</v>
      </c>
      <c r="H179" s="98">
        <v>120.3</v>
      </c>
      <c r="I179" s="98">
        <v>147.1</v>
      </c>
      <c r="J179" s="98">
        <v>205.6</v>
      </c>
      <c r="K179" s="208">
        <v>125.37999999999994</v>
      </c>
      <c r="L179" s="208">
        <v>135.2000000000001</v>
      </c>
      <c r="M179" s="208">
        <v>188.22000000000011</v>
      </c>
      <c r="N179" s="98"/>
      <c r="O179" s="98"/>
      <c r="P179" s="98"/>
      <c r="Q179" s="208">
        <v>116.19999999999997</v>
      </c>
      <c r="R179" s="98">
        <v>166.39999999999995</v>
      </c>
      <c r="S179" s="98">
        <v>155.2000000000001</v>
      </c>
      <c r="T179" s="98">
        <v>243.37999999999994</v>
      </c>
      <c r="U179" s="98">
        <v>116.19999999999997</v>
      </c>
      <c r="V179" s="98">
        <v>496.4000000000002</v>
      </c>
      <c r="W179" s="98">
        <v>558.19999999999959</v>
      </c>
      <c r="X179" s="98"/>
      <c r="Y179" s="98"/>
      <c r="Z179" s="98"/>
      <c r="AA179" s="230"/>
      <c r="AB179" s="230"/>
      <c r="AC179" s="230">
        <v>285.67999999999984</v>
      </c>
    </row>
    <row r="180" spans="2:29">
      <c r="B180" s="98">
        <v>210</v>
      </c>
      <c r="C180" s="98">
        <v>119.4</v>
      </c>
      <c r="D180" s="98">
        <v>628.4</v>
      </c>
      <c r="E180" s="98">
        <v>205.4</v>
      </c>
      <c r="F180" s="98">
        <v>211.4</v>
      </c>
      <c r="G180" s="98">
        <v>165</v>
      </c>
      <c r="H180" s="98">
        <v>120.1</v>
      </c>
      <c r="I180" s="98">
        <v>146.9</v>
      </c>
      <c r="J180" s="98">
        <v>205.4</v>
      </c>
      <c r="K180" s="209">
        <v>125.19999999999993</v>
      </c>
      <c r="L180" s="209">
        <v>135.00000000000011</v>
      </c>
      <c r="M180" s="209">
        <v>187.80000000000013</v>
      </c>
      <c r="N180" s="98"/>
      <c r="O180" s="98"/>
      <c r="P180" s="98"/>
      <c r="Q180" s="208">
        <v>115.99999999999997</v>
      </c>
      <c r="R180" s="98">
        <v>165.99999999999994</v>
      </c>
      <c r="S180" s="98">
        <v>155.00000000000011</v>
      </c>
      <c r="T180" s="98">
        <v>243.19999999999993</v>
      </c>
      <c r="U180" s="98">
        <v>115.99999999999997</v>
      </c>
      <c r="V180" s="98">
        <v>496.00000000000023</v>
      </c>
      <c r="W180" s="98">
        <v>557.99999999999955</v>
      </c>
      <c r="X180" s="98"/>
      <c r="Y180" s="98"/>
      <c r="Z180" s="98"/>
      <c r="AA180" s="230"/>
      <c r="AB180" s="230"/>
      <c r="AC180" s="230">
        <v>285.19999999999982</v>
      </c>
    </row>
    <row r="181" spans="2:29">
      <c r="B181" s="98">
        <v>211</v>
      </c>
      <c r="C181" s="98">
        <v>119.2</v>
      </c>
      <c r="D181" s="98">
        <v>628</v>
      </c>
      <c r="E181" s="98">
        <v>205.2</v>
      </c>
      <c r="F181" s="98">
        <v>211.2</v>
      </c>
      <c r="G181" s="98">
        <v>164.8</v>
      </c>
      <c r="H181" s="98">
        <v>120</v>
      </c>
      <c r="I181" s="98">
        <v>146.80000000000001</v>
      </c>
      <c r="J181" s="98">
        <v>205.2</v>
      </c>
      <c r="K181" s="208">
        <v>125.01999999999992</v>
      </c>
      <c r="L181" s="208">
        <v>134.80000000000013</v>
      </c>
      <c r="M181" s="208">
        <v>187.38000000000014</v>
      </c>
      <c r="N181" s="98"/>
      <c r="O181" s="98"/>
      <c r="P181" s="98"/>
      <c r="Q181" s="208">
        <v>115.79999999999997</v>
      </c>
      <c r="R181" s="98">
        <v>165.59999999999994</v>
      </c>
      <c r="S181" s="98">
        <v>154.80000000000013</v>
      </c>
      <c r="T181" s="98">
        <v>243.01999999999992</v>
      </c>
      <c r="U181" s="98">
        <v>115.79999999999997</v>
      </c>
      <c r="V181" s="98">
        <v>495.60000000000025</v>
      </c>
      <c r="W181" s="98">
        <v>557.7999999999995</v>
      </c>
      <c r="X181" s="98"/>
      <c r="Y181" s="98"/>
      <c r="Z181" s="98"/>
      <c r="AA181" s="230"/>
      <c r="AB181" s="230"/>
      <c r="AC181" s="230">
        <v>284.7199999999998</v>
      </c>
    </row>
    <row r="182" spans="2:29">
      <c r="B182" s="98">
        <v>212</v>
      </c>
      <c r="C182" s="98">
        <v>119.1</v>
      </c>
      <c r="D182" s="98">
        <v>627.70000000000005</v>
      </c>
      <c r="E182" s="98">
        <v>205.1</v>
      </c>
      <c r="F182" s="98">
        <v>211.1</v>
      </c>
      <c r="G182" s="98">
        <v>164.6</v>
      </c>
      <c r="H182" s="98">
        <v>119.9</v>
      </c>
      <c r="I182" s="98">
        <v>146.6</v>
      </c>
      <c r="J182" s="98">
        <v>205.1</v>
      </c>
      <c r="K182" s="209">
        <v>124.83999999999992</v>
      </c>
      <c r="L182" s="209">
        <v>134.60000000000014</v>
      </c>
      <c r="M182" s="209">
        <v>186.96000000000015</v>
      </c>
      <c r="N182" s="98"/>
      <c r="O182" s="98"/>
      <c r="P182" s="98"/>
      <c r="Q182" s="208">
        <v>115.59999999999997</v>
      </c>
      <c r="R182" s="98">
        <v>165.19999999999993</v>
      </c>
      <c r="S182" s="98">
        <v>154.60000000000014</v>
      </c>
      <c r="T182" s="98">
        <v>242.83999999999992</v>
      </c>
      <c r="U182" s="98">
        <v>115.59999999999997</v>
      </c>
      <c r="V182" s="98">
        <v>495.20000000000027</v>
      </c>
      <c r="W182" s="98">
        <v>557.59999999999945</v>
      </c>
      <c r="X182" s="98"/>
      <c r="Y182" s="98"/>
      <c r="Z182" s="98"/>
      <c r="AA182" s="230"/>
      <c r="AB182" s="230"/>
      <c r="AC182" s="230">
        <v>284.23999999999978</v>
      </c>
    </row>
    <row r="183" spans="2:29">
      <c r="B183" s="98">
        <v>213</v>
      </c>
      <c r="C183" s="98">
        <v>118.9</v>
      </c>
      <c r="D183" s="98">
        <v>627.29999999999995</v>
      </c>
      <c r="E183" s="98">
        <v>204.9</v>
      </c>
      <c r="F183" s="98">
        <v>210.9</v>
      </c>
      <c r="G183" s="98">
        <v>164.4</v>
      </c>
      <c r="H183" s="98">
        <v>119.7</v>
      </c>
      <c r="I183" s="98">
        <v>146.4</v>
      </c>
      <c r="J183" s="98">
        <v>204.9</v>
      </c>
      <c r="K183" s="208">
        <v>124.65999999999991</v>
      </c>
      <c r="L183" s="208">
        <v>134.40000000000015</v>
      </c>
      <c r="M183" s="208">
        <v>186.54000000000016</v>
      </c>
      <c r="N183" s="98"/>
      <c r="O183" s="98"/>
      <c r="P183" s="98"/>
      <c r="Q183" s="208">
        <v>115.39999999999996</v>
      </c>
      <c r="R183" s="98">
        <v>164.79999999999993</v>
      </c>
      <c r="S183" s="98">
        <v>154.40000000000015</v>
      </c>
      <c r="T183" s="98">
        <v>242.65999999999991</v>
      </c>
      <c r="U183" s="98">
        <v>115.39999999999996</v>
      </c>
      <c r="V183" s="98">
        <v>494.8000000000003</v>
      </c>
      <c r="W183" s="98">
        <v>557.39999999999941</v>
      </c>
      <c r="X183" s="98"/>
      <c r="Y183" s="98"/>
      <c r="Z183" s="98"/>
      <c r="AA183" s="230"/>
      <c r="AB183" s="230"/>
      <c r="AC183" s="230">
        <v>283.75999999999976</v>
      </c>
    </row>
    <row r="184" spans="2:29">
      <c r="B184" s="98">
        <v>214</v>
      </c>
      <c r="C184" s="98">
        <v>118.8</v>
      </c>
      <c r="D184" s="98">
        <v>627</v>
      </c>
      <c r="E184" s="98">
        <v>204.8</v>
      </c>
      <c r="F184" s="98">
        <v>210.8</v>
      </c>
      <c r="G184" s="98">
        <v>164.2</v>
      </c>
      <c r="H184" s="98">
        <v>119.6</v>
      </c>
      <c r="I184" s="98">
        <v>146.19999999999999</v>
      </c>
      <c r="J184" s="98">
        <v>204.8</v>
      </c>
      <c r="K184" s="209">
        <v>124.4799999999999</v>
      </c>
      <c r="L184" s="209">
        <v>134.20000000000016</v>
      </c>
      <c r="M184" s="209">
        <v>186.12000000000018</v>
      </c>
      <c r="N184" s="98"/>
      <c r="O184" s="98"/>
      <c r="P184" s="98"/>
      <c r="Q184" s="208">
        <v>115.19999999999996</v>
      </c>
      <c r="R184" s="98">
        <v>164.39999999999992</v>
      </c>
      <c r="S184" s="98">
        <v>154.20000000000016</v>
      </c>
      <c r="T184" s="98">
        <v>242.4799999999999</v>
      </c>
      <c r="U184" s="98">
        <v>115.19999999999996</v>
      </c>
      <c r="V184" s="98">
        <v>494.40000000000032</v>
      </c>
      <c r="W184" s="98">
        <v>557.19999999999936</v>
      </c>
      <c r="X184" s="98"/>
      <c r="Y184" s="98"/>
      <c r="Z184" s="98"/>
      <c r="AA184" s="230"/>
      <c r="AB184" s="230"/>
      <c r="AC184" s="230">
        <v>283.27999999999975</v>
      </c>
    </row>
    <row r="185" spans="2:29">
      <c r="B185" s="98">
        <v>215</v>
      </c>
      <c r="C185" s="98">
        <v>118.6</v>
      </c>
      <c r="D185" s="98">
        <v>626.6</v>
      </c>
      <c r="E185" s="98">
        <v>204.6</v>
      </c>
      <c r="F185" s="98">
        <v>210.6</v>
      </c>
      <c r="G185" s="98">
        <v>164</v>
      </c>
      <c r="H185" s="98">
        <v>119.4</v>
      </c>
      <c r="I185" s="98">
        <v>146</v>
      </c>
      <c r="J185" s="98">
        <v>204.6</v>
      </c>
      <c r="K185" s="208">
        <v>124.2999999999999</v>
      </c>
      <c r="L185" s="208">
        <v>134.00000000000017</v>
      </c>
      <c r="M185" s="208">
        <v>185.70000000000019</v>
      </c>
      <c r="N185" s="98"/>
      <c r="O185" s="98"/>
      <c r="P185" s="98"/>
      <c r="Q185" s="208">
        <v>114.99999999999996</v>
      </c>
      <c r="R185" s="98">
        <v>163.99999999999991</v>
      </c>
      <c r="S185" s="98">
        <v>154.00000000000017</v>
      </c>
      <c r="T185" s="98">
        <v>242.2999999999999</v>
      </c>
      <c r="U185" s="98">
        <v>114.99999999999996</v>
      </c>
      <c r="V185" s="98">
        <v>494.00000000000034</v>
      </c>
      <c r="W185" s="98">
        <v>556.99999999999932</v>
      </c>
      <c r="X185" s="98"/>
      <c r="Y185" s="98"/>
      <c r="Z185" s="98"/>
      <c r="AA185" s="230"/>
      <c r="AB185" s="230"/>
      <c r="AC185" s="230">
        <v>282.79999999999973</v>
      </c>
    </row>
    <row r="186" spans="2:29">
      <c r="B186" s="98">
        <v>216</v>
      </c>
      <c r="C186" s="98">
        <v>118.4</v>
      </c>
      <c r="D186" s="98">
        <v>626.20000000000005</v>
      </c>
      <c r="E186" s="98">
        <v>204.4</v>
      </c>
      <c r="F186" s="98">
        <v>210.4</v>
      </c>
      <c r="G186" s="98">
        <v>163.80000000000001</v>
      </c>
      <c r="H186" s="98">
        <v>119.3</v>
      </c>
      <c r="I186" s="98">
        <v>145.9</v>
      </c>
      <c r="J186" s="98">
        <v>204.4</v>
      </c>
      <c r="K186" s="209">
        <v>124.11999999999989</v>
      </c>
      <c r="L186" s="209">
        <v>133.80000000000018</v>
      </c>
      <c r="M186" s="209">
        <v>185.2800000000002</v>
      </c>
      <c r="N186" s="98"/>
      <c r="O186" s="98"/>
      <c r="P186" s="98"/>
      <c r="Q186" s="208">
        <v>114.79999999999995</v>
      </c>
      <c r="R186" s="98">
        <v>163.59999999999991</v>
      </c>
      <c r="S186" s="98">
        <v>153.80000000000018</v>
      </c>
      <c r="T186" s="98">
        <v>242.11999999999989</v>
      </c>
      <c r="U186" s="98">
        <v>114.79999999999995</v>
      </c>
      <c r="V186" s="98">
        <v>493.60000000000036</v>
      </c>
      <c r="W186" s="98">
        <v>556.79999999999927</v>
      </c>
      <c r="X186" s="98"/>
      <c r="Y186" s="98"/>
      <c r="Z186" s="98"/>
      <c r="AA186" s="230"/>
      <c r="AB186" s="230"/>
      <c r="AC186" s="230">
        <v>282.31999999999971</v>
      </c>
    </row>
    <row r="187" spans="2:29">
      <c r="B187" s="98">
        <v>217</v>
      </c>
      <c r="C187" s="98">
        <v>118.3</v>
      </c>
      <c r="D187" s="98">
        <v>625.9</v>
      </c>
      <c r="E187" s="98">
        <v>204.3</v>
      </c>
      <c r="F187" s="98">
        <v>210.3</v>
      </c>
      <c r="G187" s="98">
        <v>163.6</v>
      </c>
      <c r="H187" s="98">
        <v>119.1</v>
      </c>
      <c r="I187" s="98">
        <v>145.69999999999999</v>
      </c>
      <c r="J187" s="98">
        <v>204.3</v>
      </c>
      <c r="K187" s="208">
        <v>123.93999999999988</v>
      </c>
      <c r="L187" s="208">
        <v>133.60000000000019</v>
      </c>
      <c r="M187" s="208">
        <v>184.86000000000021</v>
      </c>
      <c r="N187" s="98"/>
      <c r="O187" s="98"/>
      <c r="P187" s="98"/>
      <c r="Q187" s="208">
        <v>114.59999999999995</v>
      </c>
      <c r="R187" s="98">
        <v>163.1999999999999</v>
      </c>
      <c r="S187" s="98">
        <v>153.60000000000019</v>
      </c>
      <c r="T187" s="98">
        <v>241.93999999999988</v>
      </c>
      <c r="U187" s="98">
        <v>114.59999999999995</v>
      </c>
      <c r="V187" s="98">
        <v>493.20000000000039</v>
      </c>
      <c r="W187" s="98">
        <v>556.59999999999923</v>
      </c>
      <c r="X187" s="98"/>
      <c r="Y187" s="98"/>
      <c r="Z187" s="98"/>
      <c r="AA187" s="230"/>
      <c r="AB187" s="230"/>
      <c r="AC187" s="230">
        <v>281.83999999999969</v>
      </c>
    </row>
    <row r="188" spans="2:29">
      <c r="B188" s="98">
        <v>218</v>
      </c>
      <c r="C188" s="98">
        <v>118.1</v>
      </c>
      <c r="D188" s="98">
        <v>625.5</v>
      </c>
      <c r="E188" s="98">
        <v>204.1</v>
      </c>
      <c r="F188" s="98">
        <v>210.1</v>
      </c>
      <c r="G188" s="98">
        <v>163.4</v>
      </c>
      <c r="H188" s="98">
        <v>119</v>
      </c>
      <c r="I188" s="98">
        <v>145.5</v>
      </c>
      <c r="J188" s="98">
        <v>204.1</v>
      </c>
      <c r="K188" s="209">
        <v>123.75999999999988</v>
      </c>
      <c r="L188" s="209">
        <v>133.4000000000002</v>
      </c>
      <c r="M188" s="209">
        <v>184.44000000000023</v>
      </c>
      <c r="N188" s="98"/>
      <c r="O188" s="98"/>
      <c r="P188" s="98"/>
      <c r="Q188" s="208">
        <v>114.39999999999995</v>
      </c>
      <c r="R188" s="98">
        <v>162.7999999999999</v>
      </c>
      <c r="S188" s="98">
        <v>153.4000000000002</v>
      </c>
      <c r="T188" s="98">
        <v>241.75999999999988</v>
      </c>
      <c r="U188" s="98">
        <v>114.39999999999995</v>
      </c>
      <c r="V188" s="98">
        <v>492.80000000000041</v>
      </c>
      <c r="W188" s="98">
        <v>556.39999999999918</v>
      </c>
      <c r="X188" s="98"/>
      <c r="Y188" s="98"/>
      <c r="Z188" s="98"/>
      <c r="AA188" s="230"/>
      <c r="AB188" s="230"/>
      <c r="AC188" s="230">
        <v>281.35999999999967</v>
      </c>
    </row>
    <row r="189" spans="2:29">
      <c r="B189" s="98">
        <v>219</v>
      </c>
      <c r="C189" s="98">
        <v>118</v>
      </c>
      <c r="D189" s="98">
        <v>625.20000000000005</v>
      </c>
      <c r="E189" s="98">
        <v>204</v>
      </c>
      <c r="F189" s="98">
        <v>210</v>
      </c>
      <c r="G189" s="98">
        <v>163.19999999999999</v>
      </c>
      <c r="H189" s="98">
        <v>118.9</v>
      </c>
      <c r="I189" s="98">
        <v>145.30000000000001</v>
      </c>
      <c r="J189" s="98">
        <v>204</v>
      </c>
      <c r="K189" s="208">
        <v>123.57999999999987</v>
      </c>
      <c r="L189" s="208">
        <v>133.20000000000022</v>
      </c>
      <c r="M189" s="208">
        <v>184.02000000000024</v>
      </c>
      <c r="N189" s="98"/>
      <c r="O189" s="98"/>
      <c r="P189" s="98"/>
      <c r="Q189" s="208">
        <v>114.19999999999995</v>
      </c>
      <c r="R189" s="98">
        <v>162.39999999999989</v>
      </c>
      <c r="S189" s="98">
        <v>153.20000000000022</v>
      </c>
      <c r="T189" s="98">
        <v>241.57999999999987</v>
      </c>
      <c r="U189" s="98">
        <v>114.19999999999995</v>
      </c>
      <c r="V189" s="98">
        <v>492.40000000000043</v>
      </c>
      <c r="W189" s="98">
        <v>556.19999999999914</v>
      </c>
      <c r="X189" s="98"/>
      <c r="Y189" s="98"/>
      <c r="Z189" s="98"/>
      <c r="AA189" s="230"/>
      <c r="AB189" s="230"/>
      <c r="AC189" s="230">
        <v>280.87999999999965</v>
      </c>
    </row>
    <row r="190" spans="2:29">
      <c r="B190" s="98">
        <v>220</v>
      </c>
      <c r="C190" s="98">
        <v>117.8</v>
      </c>
      <c r="D190" s="98">
        <v>624.79999999999995</v>
      </c>
      <c r="E190" s="98">
        <v>203.8</v>
      </c>
      <c r="F190" s="98">
        <v>209.8</v>
      </c>
      <c r="G190" s="98">
        <v>163</v>
      </c>
      <c r="H190" s="98">
        <v>118.7</v>
      </c>
      <c r="I190" s="98">
        <v>145.1</v>
      </c>
      <c r="J190" s="98">
        <v>203.8</v>
      </c>
      <c r="K190" s="209">
        <v>123.39999999999986</v>
      </c>
      <c r="L190" s="209">
        <v>133.00000000000023</v>
      </c>
      <c r="M190" s="209">
        <v>183.60000000000025</v>
      </c>
      <c r="N190" s="98"/>
      <c r="O190" s="98"/>
      <c r="P190" s="98"/>
      <c r="Q190" s="208">
        <v>113.99999999999994</v>
      </c>
      <c r="R190" s="98">
        <v>161.99999999999989</v>
      </c>
      <c r="S190" s="98">
        <v>153.00000000000023</v>
      </c>
      <c r="T190" s="98">
        <v>241.39999999999986</v>
      </c>
      <c r="U190" s="98">
        <v>113.99999999999994</v>
      </c>
      <c r="V190" s="98">
        <v>492.00000000000045</v>
      </c>
      <c r="W190" s="98">
        <v>555.99999999999909</v>
      </c>
      <c r="X190" s="98"/>
      <c r="Y190" s="98"/>
      <c r="Z190" s="98"/>
      <c r="AA190" s="230"/>
      <c r="AB190" s="230"/>
      <c r="AC190" s="230">
        <v>280.39999999999964</v>
      </c>
    </row>
    <row r="191" spans="2:29">
      <c r="B191" s="98">
        <v>221</v>
      </c>
      <c r="C191" s="98">
        <v>117.6</v>
      </c>
      <c r="D191" s="98">
        <v>624.4</v>
      </c>
      <c r="E191" s="98">
        <v>203.6</v>
      </c>
      <c r="F191" s="98">
        <v>209.6</v>
      </c>
      <c r="G191" s="98">
        <v>162.80000000000001</v>
      </c>
      <c r="H191" s="98">
        <v>118.6</v>
      </c>
      <c r="I191" s="98">
        <v>145</v>
      </c>
      <c r="J191" s="98">
        <v>203.6</v>
      </c>
      <c r="K191" s="208">
        <v>123.21999999999986</v>
      </c>
      <c r="L191" s="208">
        <v>132.80000000000024</v>
      </c>
      <c r="M191" s="208">
        <v>183.18000000000026</v>
      </c>
      <c r="N191" s="98"/>
      <c r="O191" s="98"/>
      <c r="P191" s="98"/>
      <c r="Q191" s="208">
        <v>113.79999999999994</v>
      </c>
      <c r="R191" s="98">
        <v>161.59999999999988</v>
      </c>
      <c r="S191" s="98">
        <v>152.80000000000024</v>
      </c>
      <c r="T191" s="98">
        <v>241.21999999999986</v>
      </c>
      <c r="U191" s="98">
        <v>113.79999999999994</v>
      </c>
      <c r="V191" s="98">
        <v>491.60000000000048</v>
      </c>
      <c r="W191" s="98">
        <v>555.79999999999905</v>
      </c>
      <c r="X191" s="98"/>
      <c r="Y191" s="98"/>
      <c r="Z191" s="98"/>
      <c r="AA191" s="230"/>
      <c r="AB191" s="230"/>
      <c r="AC191" s="230">
        <v>279.91999999999962</v>
      </c>
    </row>
    <row r="192" spans="2:29">
      <c r="B192" s="98">
        <v>222</v>
      </c>
      <c r="C192" s="98">
        <v>117.5</v>
      </c>
      <c r="D192" s="98">
        <v>624.1</v>
      </c>
      <c r="E192" s="98">
        <v>203.5</v>
      </c>
      <c r="F192" s="98">
        <v>209.5</v>
      </c>
      <c r="G192" s="98">
        <v>162.6</v>
      </c>
      <c r="H192" s="98">
        <v>118.4</v>
      </c>
      <c r="I192" s="98">
        <v>144.80000000000001</v>
      </c>
      <c r="J192" s="98">
        <v>203.5</v>
      </c>
      <c r="K192" s="209">
        <v>123.03999999999985</v>
      </c>
      <c r="L192" s="209">
        <v>132.60000000000025</v>
      </c>
      <c r="M192" s="209">
        <v>182.76000000000028</v>
      </c>
      <c r="N192" s="98"/>
      <c r="O192" s="98"/>
      <c r="P192" s="98"/>
      <c r="Q192" s="208">
        <v>113.59999999999994</v>
      </c>
      <c r="R192" s="98">
        <v>161.19999999999987</v>
      </c>
      <c r="S192" s="98">
        <v>152.60000000000025</v>
      </c>
      <c r="T192" s="98">
        <v>241.03999999999985</v>
      </c>
      <c r="U192" s="98">
        <v>113.59999999999994</v>
      </c>
      <c r="V192" s="98">
        <v>491.2000000000005</v>
      </c>
      <c r="W192" s="98">
        <v>555.599999999999</v>
      </c>
      <c r="X192" s="98"/>
      <c r="Y192" s="98"/>
      <c r="Z192" s="98"/>
      <c r="AA192" s="230"/>
      <c r="AB192" s="230"/>
      <c r="AC192" s="230">
        <v>279.4399999999996</v>
      </c>
    </row>
    <row r="193" spans="2:29">
      <c r="B193" s="98">
        <v>223</v>
      </c>
      <c r="C193" s="98">
        <v>117.3</v>
      </c>
      <c r="D193" s="98">
        <v>623.70000000000005</v>
      </c>
      <c r="E193" s="98">
        <v>203.3</v>
      </c>
      <c r="F193" s="98">
        <v>209.3</v>
      </c>
      <c r="G193" s="98">
        <v>162.4</v>
      </c>
      <c r="H193" s="98">
        <v>118.3</v>
      </c>
      <c r="I193" s="98">
        <v>144.6</v>
      </c>
      <c r="J193" s="98">
        <v>203.3</v>
      </c>
      <c r="K193" s="208">
        <v>122.85999999999984</v>
      </c>
      <c r="L193" s="208">
        <v>132.40000000000026</v>
      </c>
      <c r="M193" s="208">
        <v>182.34000000000029</v>
      </c>
      <c r="N193" s="98"/>
      <c r="O193" s="98"/>
      <c r="P193" s="98"/>
      <c r="Q193" s="208">
        <v>113.39999999999993</v>
      </c>
      <c r="R193" s="98">
        <v>160.79999999999987</v>
      </c>
      <c r="S193" s="98">
        <v>152.40000000000026</v>
      </c>
      <c r="T193" s="98">
        <v>240.85999999999984</v>
      </c>
      <c r="U193" s="98">
        <v>113.39999999999993</v>
      </c>
      <c r="V193" s="98">
        <v>490.80000000000052</v>
      </c>
      <c r="W193" s="98">
        <v>555.39999999999895</v>
      </c>
      <c r="X193" s="98"/>
      <c r="Y193" s="98"/>
      <c r="Z193" s="98"/>
      <c r="AA193" s="230"/>
      <c r="AB193" s="230"/>
      <c r="AC193" s="230">
        <v>278.95999999999958</v>
      </c>
    </row>
    <row r="194" spans="2:29">
      <c r="B194" s="98">
        <v>224</v>
      </c>
      <c r="C194" s="98">
        <v>117.2</v>
      </c>
      <c r="D194" s="98">
        <v>623.4</v>
      </c>
      <c r="E194" s="98">
        <v>203.2</v>
      </c>
      <c r="F194" s="98">
        <v>209.2</v>
      </c>
      <c r="G194" s="98">
        <v>162.19999999999999</v>
      </c>
      <c r="H194" s="98">
        <v>118.1</v>
      </c>
      <c r="I194" s="98">
        <v>144.4</v>
      </c>
      <c r="J194" s="98">
        <v>203.2</v>
      </c>
      <c r="K194" s="209">
        <v>122.67999999999984</v>
      </c>
      <c r="L194" s="209">
        <v>132.20000000000027</v>
      </c>
      <c r="M194" s="209">
        <v>181.9200000000003</v>
      </c>
      <c r="N194" s="98"/>
      <c r="O194" s="98"/>
      <c r="P194" s="98"/>
      <c r="Q194" s="208">
        <v>113.19999999999993</v>
      </c>
      <c r="R194" s="98">
        <v>160.39999999999986</v>
      </c>
      <c r="S194" s="98">
        <v>152.20000000000027</v>
      </c>
      <c r="T194" s="98">
        <v>240.67999999999984</v>
      </c>
      <c r="U194" s="98">
        <v>113.19999999999993</v>
      </c>
      <c r="V194" s="98">
        <v>490.40000000000055</v>
      </c>
      <c r="W194" s="98">
        <v>555.19999999999891</v>
      </c>
      <c r="X194" s="98"/>
      <c r="Y194" s="98"/>
      <c r="Z194" s="98"/>
      <c r="AA194" s="230"/>
      <c r="AB194" s="230"/>
      <c r="AC194" s="230">
        <v>278.47999999999956</v>
      </c>
    </row>
    <row r="195" spans="2:29">
      <c r="B195" s="98">
        <v>225</v>
      </c>
      <c r="C195" s="98">
        <v>117</v>
      </c>
      <c r="D195" s="98">
        <v>623</v>
      </c>
      <c r="E195" s="98">
        <v>203</v>
      </c>
      <c r="F195" s="98">
        <v>209</v>
      </c>
      <c r="G195" s="98">
        <v>162</v>
      </c>
      <c r="H195" s="98">
        <v>118</v>
      </c>
      <c r="I195" s="98">
        <v>144.19999999999999</v>
      </c>
      <c r="J195" s="98">
        <v>203</v>
      </c>
      <c r="K195" s="208">
        <v>122.49999999999983</v>
      </c>
      <c r="L195" s="208">
        <v>132.00000000000028</v>
      </c>
      <c r="M195" s="208">
        <v>181.50000000000031</v>
      </c>
      <c r="N195" s="98"/>
      <c r="O195" s="98"/>
      <c r="P195" s="98"/>
      <c r="Q195" s="208">
        <v>112.99999999999993</v>
      </c>
      <c r="R195" s="98">
        <v>159.99999999999986</v>
      </c>
      <c r="S195" s="98">
        <v>152.00000000000028</v>
      </c>
      <c r="T195" s="98">
        <v>240.49999999999983</v>
      </c>
      <c r="U195" s="98">
        <v>112.99999999999993</v>
      </c>
      <c r="V195" s="98">
        <v>490.00000000000057</v>
      </c>
      <c r="W195" s="98">
        <v>554.99999999999886</v>
      </c>
      <c r="X195" s="98"/>
      <c r="Y195" s="98"/>
      <c r="Z195" s="98"/>
      <c r="AA195" s="230"/>
      <c r="AB195" s="230"/>
      <c r="AC195" s="230">
        <v>277.99999999999955</v>
      </c>
    </row>
    <row r="196" spans="2:29">
      <c r="B196" s="98">
        <v>226</v>
      </c>
      <c r="C196" s="98">
        <v>116.9</v>
      </c>
      <c r="D196" s="98">
        <v>622.6</v>
      </c>
      <c r="E196" s="98">
        <v>202.8</v>
      </c>
      <c r="F196" s="98">
        <v>208.8</v>
      </c>
      <c r="G196" s="98">
        <v>161.80000000000001</v>
      </c>
      <c r="H196" s="98">
        <v>117.9</v>
      </c>
      <c r="I196" s="98">
        <v>144.1</v>
      </c>
      <c r="J196" s="98">
        <v>202.8</v>
      </c>
      <c r="K196" s="209">
        <v>122.31999999999982</v>
      </c>
      <c r="L196" s="209">
        <v>131.8000000000003</v>
      </c>
      <c r="M196" s="209">
        <v>181.08000000000033</v>
      </c>
      <c r="N196" s="98"/>
      <c r="O196" s="98"/>
      <c r="P196" s="98"/>
      <c r="Q196" s="208">
        <v>112.79999999999993</v>
      </c>
      <c r="R196" s="98">
        <v>159.59999999999985</v>
      </c>
      <c r="S196" s="98">
        <v>151.8000000000003</v>
      </c>
      <c r="T196" s="98">
        <v>240.31999999999982</v>
      </c>
      <c r="U196" s="98">
        <v>112.79999999999993</v>
      </c>
      <c r="V196" s="98">
        <v>489.60000000000059</v>
      </c>
      <c r="W196" s="98">
        <v>554.79999999999882</v>
      </c>
      <c r="X196" s="98"/>
      <c r="Y196" s="98"/>
      <c r="Z196" s="98"/>
      <c r="AA196" s="230"/>
      <c r="AB196" s="230"/>
      <c r="AC196" s="230">
        <v>277.51999999999953</v>
      </c>
    </row>
    <row r="197" spans="2:29">
      <c r="B197" s="98">
        <v>227</v>
      </c>
      <c r="C197" s="98">
        <v>116.8</v>
      </c>
      <c r="D197" s="98">
        <v>622.29999999999995</v>
      </c>
      <c r="E197" s="98">
        <v>202.5</v>
      </c>
      <c r="F197" s="98">
        <v>208.6</v>
      </c>
      <c r="G197" s="98">
        <v>161.6</v>
      </c>
      <c r="H197" s="98">
        <v>117.7</v>
      </c>
      <c r="I197" s="98">
        <v>143.9</v>
      </c>
      <c r="J197" s="98">
        <v>202.6</v>
      </c>
      <c r="K197" s="208">
        <v>122.13999999999982</v>
      </c>
      <c r="L197" s="208">
        <v>131.60000000000031</v>
      </c>
      <c r="M197" s="208">
        <v>180.66000000000034</v>
      </c>
      <c r="N197" s="98"/>
      <c r="O197" s="98"/>
      <c r="P197" s="98"/>
      <c r="Q197" s="208">
        <v>112.59999999999992</v>
      </c>
      <c r="R197" s="98">
        <v>159.19999999999985</v>
      </c>
      <c r="S197" s="98">
        <v>151.60000000000031</v>
      </c>
      <c r="T197" s="98">
        <v>240.13999999999982</v>
      </c>
      <c r="U197" s="98">
        <v>112.59999999999992</v>
      </c>
      <c r="V197" s="98">
        <v>489.20000000000061</v>
      </c>
      <c r="W197" s="98">
        <v>554.59999999999877</v>
      </c>
      <c r="X197" s="98"/>
      <c r="Y197" s="98"/>
      <c r="Z197" s="98"/>
      <c r="AA197" s="230"/>
      <c r="AB197" s="230"/>
      <c r="AC197" s="230">
        <v>277.03999999999951</v>
      </c>
    </row>
    <row r="198" spans="2:29">
      <c r="B198" s="98">
        <v>228</v>
      </c>
      <c r="C198" s="98">
        <v>116.6</v>
      </c>
      <c r="D198" s="98">
        <v>621.9</v>
      </c>
      <c r="E198" s="98">
        <v>202.3</v>
      </c>
      <c r="F198" s="98">
        <v>208.4</v>
      </c>
      <c r="G198" s="98">
        <v>161.4</v>
      </c>
      <c r="H198" s="98">
        <v>117.6</v>
      </c>
      <c r="I198" s="98">
        <v>143.69999999999999</v>
      </c>
      <c r="J198" s="98">
        <v>202.4</v>
      </c>
      <c r="K198" s="209">
        <v>121.95999999999981</v>
      </c>
      <c r="L198" s="209">
        <v>131.40000000000032</v>
      </c>
      <c r="M198" s="209">
        <v>180.24000000000035</v>
      </c>
      <c r="N198" s="98"/>
      <c r="O198" s="98"/>
      <c r="P198" s="98"/>
      <c r="Q198" s="208">
        <v>112.39999999999992</v>
      </c>
      <c r="R198" s="98">
        <v>158.79999999999984</v>
      </c>
      <c r="S198" s="98">
        <v>151.40000000000032</v>
      </c>
      <c r="T198" s="98">
        <v>239.95999999999981</v>
      </c>
      <c r="U198" s="98">
        <v>112.39999999999992</v>
      </c>
      <c r="V198" s="98">
        <v>488.80000000000064</v>
      </c>
      <c r="W198" s="98">
        <v>554.39999999999873</v>
      </c>
      <c r="X198" s="98"/>
      <c r="Y198" s="98"/>
      <c r="Z198" s="98"/>
      <c r="AA198" s="230"/>
      <c r="AB198" s="230"/>
      <c r="AC198" s="230">
        <v>276.55999999999949</v>
      </c>
    </row>
    <row r="199" spans="2:29">
      <c r="B199" s="98">
        <v>229</v>
      </c>
      <c r="C199" s="98">
        <v>116.5</v>
      </c>
      <c r="D199" s="98">
        <v>621.6</v>
      </c>
      <c r="E199" s="98">
        <v>202</v>
      </c>
      <c r="F199" s="98">
        <v>208.2</v>
      </c>
      <c r="G199" s="98">
        <v>161.19999999999999</v>
      </c>
      <c r="H199" s="98">
        <v>117.4</v>
      </c>
      <c r="I199" s="98">
        <v>143.5</v>
      </c>
      <c r="J199" s="98">
        <v>202.2</v>
      </c>
      <c r="K199" s="208">
        <v>121.7799999999998</v>
      </c>
      <c r="L199" s="208">
        <v>131.20000000000033</v>
      </c>
      <c r="M199" s="208">
        <v>179.82000000000036</v>
      </c>
      <c r="N199" s="98"/>
      <c r="O199" s="98"/>
      <c r="P199" s="98"/>
      <c r="Q199" s="208">
        <v>112.19999999999992</v>
      </c>
      <c r="R199" s="98">
        <v>158.39999999999984</v>
      </c>
      <c r="S199" s="98">
        <v>151.20000000000033</v>
      </c>
      <c r="T199" s="98">
        <v>239.7799999999998</v>
      </c>
      <c r="U199" s="98">
        <v>112.19999999999992</v>
      </c>
      <c r="V199" s="98">
        <v>488.40000000000066</v>
      </c>
      <c r="W199" s="98">
        <v>554.19999999999868</v>
      </c>
      <c r="X199" s="98"/>
      <c r="Y199" s="98"/>
      <c r="Z199" s="98"/>
      <c r="AA199" s="230"/>
      <c r="AB199" s="230"/>
      <c r="AC199" s="230">
        <v>276.07999999999947</v>
      </c>
    </row>
    <row r="200" spans="2:29">
      <c r="B200" s="98">
        <v>230</v>
      </c>
      <c r="C200" s="98">
        <v>116.4</v>
      </c>
      <c r="D200" s="98">
        <v>621.20000000000005</v>
      </c>
      <c r="E200" s="98">
        <v>201.8</v>
      </c>
      <c r="F200" s="98">
        <v>208</v>
      </c>
      <c r="G200" s="98">
        <v>161</v>
      </c>
      <c r="H200" s="98">
        <v>117.3</v>
      </c>
      <c r="I200" s="98">
        <v>143.4</v>
      </c>
      <c r="J200" s="98">
        <v>202</v>
      </c>
      <c r="K200" s="209">
        <v>121.5999999999998</v>
      </c>
      <c r="L200" s="209">
        <v>131.00000000000034</v>
      </c>
      <c r="M200" s="209">
        <v>179.40000000000038</v>
      </c>
      <c r="N200" s="98"/>
      <c r="O200" s="98"/>
      <c r="P200" s="98"/>
      <c r="Q200" s="208">
        <v>111.99999999999991</v>
      </c>
      <c r="R200" s="98">
        <v>157.99999999999983</v>
      </c>
      <c r="S200" s="98">
        <v>151.00000000000034</v>
      </c>
      <c r="T200" s="98">
        <v>239.5999999999998</v>
      </c>
      <c r="U200" s="98">
        <v>111.99999999999991</v>
      </c>
      <c r="V200" s="98">
        <v>488.00000000000068</v>
      </c>
      <c r="W200" s="98">
        <v>553.99999999999864</v>
      </c>
      <c r="X200" s="98"/>
      <c r="Y200" s="98"/>
      <c r="Z200" s="98"/>
      <c r="AA200" s="230"/>
      <c r="AB200" s="230"/>
      <c r="AC200" s="230">
        <v>275.59999999999945</v>
      </c>
    </row>
    <row r="201" spans="2:29">
      <c r="B201" s="98">
        <v>231</v>
      </c>
      <c r="C201" s="98">
        <v>116.3</v>
      </c>
      <c r="D201" s="98">
        <v>620.79999999999995</v>
      </c>
      <c r="E201" s="98">
        <v>201.6</v>
      </c>
      <c r="F201" s="98">
        <v>207.8</v>
      </c>
      <c r="G201" s="98">
        <v>160.80000000000001</v>
      </c>
      <c r="H201" s="98">
        <v>117.1</v>
      </c>
      <c r="I201" s="98">
        <v>143.19999999999999</v>
      </c>
      <c r="J201" s="98">
        <v>201.8</v>
      </c>
      <c r="K201" s="208">
        <v>121.41999999999979</v>
      </c>
      <c r="L201" s="208">
        <v>130.80000000000035</v>
      </c>
      <c r="M201" s="208">
        <v>178.98000000000039</v>
      </c>
      <c r="N201" s="98"/>
      <c r="O201" s="98"/>
      <c r="P201" s="98"/>
      <c r="Q201" s="208">
        <v>111.79999999999991</v>
      </c>
      <c r="R201" s="98">
        <v>157.59999999999982</v>
      </c>
      <c r="S201" s="98">
        <v>150.80000000000035</v>
      </c>
      <c r="T201" s="98">
        <v>239.41999999999979</v>
      </c>
      <c r="U201" s="98">
        <v>111.79999999999991</v>
      </c>
      <c r="V201" s="98">
        <v>487.6000000000007</v>
      </c>
      <c r="W201" s="98">
        <v>553.79999999999859</v>
      </c>
      <c r="X201" s="98"/>
      <c r="Y201" s="98"/>
      <c r="Z201" s="98"/>
      <c r="AA201" s="230"/>
      <c r="AB201" s="230"/>
      <c r="AC201" s="230">
        <v>275.11999999999944</v>
      </c>
    </row>
    <row r="202" spans="2:29">
      <c r="B202" s="98">
        <v>232</v>
      </c>
      <c r="C202" s="98">
        <v>116.2</v>
      </c>
      <c r="D202" s="98">
        <v>620.5</v>
      </c>
      <c r="E202" s="98">
        <v>201.3</v>
      </c>
      <c r="F202" s="98">
        <v>207.6</v>
      </c>
      <c r="G202" s="98">
        <v>160.6</v>
      </c>
      <c r="H202" s="98">
        <v>117</v>
      </c>
      <c r="I202" s="98">
        <v>143</v>
      </c>
      <c r="J202" s="98">
        <v>201.6</v>
      </c>
      <c r="K202" s="209">
        <v>121.23999999999978</v>
      </c>
      <c r="L202" s="209">
        <v>130.60000000000036</v>
      </c>
      <c r="M202" s="209">
        <v>178.5600000000004</v>
      </c>
      <c r="N202" s="98"/>
      <c r="O202" s="98"/>
      <c r="P202" s="98"/>
      <c r="Q202" s="208">
        <v>111.59999999999991</v>
      </c>
      <c r="R202" s="98">
        <v>157.19999999999982</v>
      </c>
      <c r="S202" s="98">
        <v>150.60000000000036</v>
      </c>
      <c r="T202" s="98">
        <v>239.23999999999978</v>
      </c>
      <c r="U202" s="98">
        <v>111.59999999999991</v>
      </c>
      <c r="V202" s="98">
        <v>487.20000000000073</v>
      </c>
      <c r="W202" s="98">
        <v>553.59999999999854</v>
      </c>
      <c r="X202" s="98"/>
      <c r="Y202" s="98"/>
      <c r="Z202" s="98"/>
      <c r="AA202" s="230"/>
      <c r="AB202" s="230"/>
      <c r="AC202" s="230">
        <v>274.63999999999942</v>
      </c>
    </row>
    <row r="203" spans="2:29">
      <c r="B203" s="98">
        <v>233</v>
      </c>
      <c r="C203" s="98">
        <v>116</v>
      </c>
      <c r="D203" s="98">
        <v>620.1</v>
      </c>
      <c r="E203" s="98">
        <v>201.1</v>
      </c>
      <c r="F203" s="98">
        <v>207.4</v>
      </c>
      <c r="G203" s="98">
        <v>160.4</v>
      </c>
      <c r="H203" s="98">
        <v>116.9</v>
      </c>
      <c r="I203" s="98">
        <v>142.80000000000001</v>
      </c>
      <c r="J203" s="98">
        <v>201.4</v>
      </c>
      <c r="K203" s="208">
        <v>121.05999999999977</v>
      </c>
      <c r="L203" s="208">
        <v>130.40000000000038</v>
      </c>
      <c r="M203" s="208">
        <v>178.14000000000041</v>
      </c>
      <c r="N203" s="98"/>
      <c r="O203" s="98"/>
      <c r="P203" s="98"/>
      <c r="Q203" s="208">
        <v>111.39999999999991</v>
      </c>
      <c r="R203" s="98">
        <v>156.79999999999981</v>
      </c>
      <c r="S203" s="98">
        <v>150.40000000000038</v>
      </c>
      <c r="T203" s="98">
        <v>239.05999999999977</v>
      </c>
      <c r="U203" s="98">
        <v>111.39999999999991</v>
      </c>
      <c r="V203" s="98">
        <v>486.80000000000075</v>
      </c>
      <c r="W203" s="98">
        <v>553.3999999999985</v>
      </c>
      <c r="X203" s="98"/>
      <c r="Y203" s="98"/>
      <c r="Z203" s="98"/>
      <c r="AA203" s="230"/>
      <c r="AB203" s="230"/>
      <c r="AC203" s="230">
        <v>274.1599999999994</v>
      </c>
    </row>
    <row r="204" spans="2:29">
      <c r="B204" s="98">
        <v>234</v>
      </c>
      <c r="C204" s="98">
        <v>115.9</v>
      </c>
      <c r="D204" s="98">
        <v>619.79999999999995</v>
      </c>
      <c r="E204" s="98">
        <v>200.8</v>
      </c>
      <c r="F204" s="98">
        <v>207.2</v>
      </c>
      <c r="G204" s="98">
        <v>160.19999999999999</v>
      </c>
      <c r="H204" s="98">
        <v>116.7</v>
      </c>
      <c r="I204" s="98">
        <v>142.6</v>
      </c>
      <c r="J204" s="98">
        <v>201.2</v>
      </c>
      <c r="K204" s="209">
        <v>120.87999999999977</v>
      </c>
      <c r="L204" s="209">
        <v>130.20000000000039</v>
      </c>
      <c r="M204" s="209">
        <v>177.72000000000043</v>
      </c>
      <c r="N204" s="98"/>
      <c r="O204" s="98"/>
      <c r="P204" s="98"/>
      <c r="Q204" s="208">
        <v>111.1999999999999</v>
      </c>
      <c r="R204" s="98">
        <v>156.39999999999981</v>
      </c>
      <c r="S204" s="98">
        <v>150.20000000000039</v>
      </c>
      <c r="T204" s="98">
        <v>238.87999999999977</v>
      </c>
      <c r="U204" s="98">
        <v>111.1999999999999</v>
      </c>
      <c r="V204" s="98">
        <v>486.40000000000077</v>
      </c>
      <c r="W204" s="98">
        <v>553.19999999999845</v>
      </c>
      <c r="X204" s="98"/>
      <c r="Y204" s="98"/>
      <c r="Z204" s="98"/>
      <c r="AA204" s="230"/>
      <c r="AB204" s="230"/>
      <c r="AC204" s="230">
        <v>273.67999999999938</v>
      </c>
    </row>
    <row r="205" spans="2:29">
      <c r="B205" s="98">
        <v>235</v>
      </c>
      <c r="C205" s="98">
        <v>115.8</v>
      </c>
      <c r="D205" s="98">
        <v>619.4</v>
      </c>
      <c r="E205" s="98">
        <v>200.6</v>
      </c>
      <c r="F205" s="98">
        <v>207</v>
      </c>
      <c r="G205" s="98">
        <v>160</v>
      </c>
      <c r="H205" s="98">
        <v>116.6</v>
      </c>
      <c r="I205" s="98">
        <v>142.5</v>
      </c>
      <c r="J205" s="98">
        <v>201</v>
      </c>
      <c r="K205" s="208">
        <v>120.69999999999976</v>
      </c>
      <c r="L205" s="208">
        <v>130.0000000000004</v>
      </c>
      <c r="M205" s="208">
        <v>177.30000000000044</v>
      </c>
      <c r="N205" s="98"/>
      <c r="O205" s="98"/>
      <c r="P205" s="98"/>
      <c r="Q205" s="208">
        <v>110.9999999999999</v>
      </c>
      <c r="R205" s="98">
        <v>155.9999999999998</v>
      </c>
      <c r="S205" s="98">
        <v>150.0000000000004</v>
      </c>
      <c r="T205" s="98">
        <v>238.69999999999976</v>
      </c>
      <c r="U205" s="98">
        <v>110.9999999999999</v>
      </c>
      <c r="V205" s="98">
        <v>486.0000000000008</v>
      </c>
      <c r="W205" s="98">
        <v>552.99999999999841</v>
      </c>
      <c r="X205" s="98"/>
      <c r="Y205" s="98"/>
      <c r="Z205" s="98"/>
      <c r="AA205" s="230"/>
      <c r="AB205" s="230"/>
      <c r="AC205" s="230">
        <v>273.19999999999936</v>
      </c>
    </row>
    <row r="206" spans="2:29">
      <c r="B206" s="98">
        <v>236</v>
      </c>
      <c r="C206" s="98">
        <v>115.7</v>
      </c>
      <c r="D206" s="98">
        <v>619</v>
      </c>
      <c r="E206" s="98">
        <v>200.4</v>
      </c>
      <c r="F206" s="98">
        <v>206.8</v>
      </c>
      <c r="G206" s="98">
        <v>159.80000000000001</v>
      </c>
      <c r="H206" s="98">
        <v>116.4</v>
      </c>
      <c r="I206" s="98">
        <v>142.30000000000001</v>
      </c>
      <c r="J206" s="98">
        <v>200.8</v>
      </c>
      <c r="K206" s="209">
        <v>120.51999999999975</v>
      </c>
      <c r="L206" s="209">
        <v>129.80000000000041</v>
      </c>
      <c r="M206" s="209">
        <v>176.88000000000045</v>
      </c>
      <c r="N206" s="98"/>
      <c r="O206" s="98"/>
      <c r="P206" s="98"/>
      <c r="Q206" s="208">
        <v>110.7999999999999</v>
      </c>
      <c r="R206" s="98">
        <v>155.5999999999998</v>
      </c>
      <c r="S206" s="98">
        <v>149.80000000000041</v>
      </c>
      <c r="T206" s="98">
        <v>238.51999999999975</v>
      </c>
      <c r="U206" s="98">
        <v>110.7999999999999</v>
      </c>
      <c r="V206" s="98">
        <v>485.60000000000082</v>
      </c>
      <c r="W206" s="98">
        <v>552.79999999999836</v>
      </c>
      <c r="X206" s="98"/>
      <c r="Y206" s="98"/>
      <c r="Z206" s="98"/>
      <c r="AA206" s="230"/>
      <c r="AB206" s="230"/>
      <c r="AC206" s="230">
        <v>272.71999999999935</v>
      </c>
    </row>
    <row r="207" spans="2:29">
      <c r="B207" s="98">
        <v>237</v>
      </c>
      <c r="C207" s="98">
        <v>115.6</v>
      </c>
      <c r="D207" s="98">
        <v>618.70000000000005</v>
      </c>
      <c r="E207" s="98">
        <v>200.1</v>
      </c>
      <c r="F207" s="98">
        <v>206.6</v>
      </c>
      <c r="G207" s="98">
        <v>159.6</v>
      </c>
      <c r="H207" s="98">
        <v>116.3</v>
      </c>
      <c r="I207" s="98">
        <v>142.1</v>
      </c>
      <c r="J207" s="98">
        <v>200.6</v>
      </c>
      <c r="K207" s="208">
        <v>120.33999999999975</v>
      </c>
      <c r="L207" s="208">
        <v>129.60000000000042</v>
      </c>
      <c r="M207" s="208">
        <v>176.46000000000046</v>
      </c>
      <c r="N207" s="98"/>
      <c r="O207" s="98"/>
      <c r="P207" s="98"/>
      <c r="Q207" s="208">
        <v>110.59999999999989</v>
      </c>
      <c r="R207" s="98">
        <v>155.19999999999979</v>
      </c>
      <c r="S207" s="98">
        <v>149.60000000000042</v>
      </c>
      <c r="T207" s="98">
        <v>238.33999999999975</v>
      </c>
      <c r="U207" s="98">
        <v>110.59999999999989</v>
      </c>
      <c r="V207" s="98">
        <v>485.20000000000084</v>
      </c>
      <c r="W207" s="98">
        <v>552.59999999999832</v>
      </c>
      <c r="X207" s="98"/>
      <c r="Y207" s="98"/>
      <c r="Z207" s="98"/>
      <c r="AA207" s="230"/>
      <c r="AB207" s="230"/>
      <c r="AC207" s="230">
        <v>272.23999999999933</v>
      </c>
    </row>
    <row r="208" spans="2:29">
      <c r="B208" s="98">
        <v>238</v>
      </c>
      <c r="C208" s="98">
        <v>115.4</v>
      </c>
      <c r="D208" s="98">
        <v>618.29999999999995</v>
      </c>
      <c r="E208" s="98">
        <v>199.9</v>
      </c>
      <c r="F208" s="98">
        <v>206.4</v>
      </c>
      <c r="G208" s="98">
        <v>159.4</v>
      </c>
      <c r="H208" s="98">
        <v>116.1</v>
      </c>
      <c r="I208" s="98">
        <v>141.9</v>
      </c>
      <c r="J208" s="98">
        <v>200.4</v>
      </c>
      <c r="K208" s="209">
        <v>120.15999999999974</v>
      </c>
      <c r="L208" s="209">
        <v>129.40000000000043</v>
      </c>
      <c r="M208" s="209">
        <v>176.04000000000048</v>
      </c>
      <c r="N208" s="98"/>
      <c r="O208" s="98"/>
      <c r="P208" s="98"/>
      <c r="Q208" s="208">
        <v>110.39999999999989</v>
      </c>
      <c r="R208" s="98">
        <v>154.79999999999978</v>
      </c>
      <c r="S208" s="98">
        <v>149.40000000000043</v>
      </c>
      <c r="T208" s="98">
        <v>238.15999999999974</v>
      </c>
      <c r="U208" s="98">
        <v>110.39999999999989</v>
      </c>
      <c r="V208" s="98">
        <v>484.80000000000086</v>
      </c>
      <c r="W208" s="98">
        <v>552.39999999999827</v>
      </c>
      <c r="X208" s="98"/>
      <c r="Y208" s="98"/>
      <c r="Z208" s="98"/>
      <c r="AA208" s="230"/>
      <c r="AB208" s="230"/>
      <c r="AC208" s="230">
        <v>271.75999999999931</v>
      </c>
    </row>
    <row r="209" spans="2:29">
      <c r="B209" s="98">
        <v>239</v>
      </c>
      <c r="C209" s="98">
        <v>115.3</v>
      </c>
      <c r="D209" s="98">
        <v>618</v>
      </c>
      <c r="E209" s="98">
        <v>199.6</v>
      </c>
      <c r="F209" s="98">
        <v>206.2</v>
      </c>
      <c r="G209" s="98">
        <v>159.19999999999999</v>
      </c>
      <c r="H209" s="98">
        <v>116</v>
      </c>
      <c r="I209" s="98">
        <v>141.80000000000001</v>
      </c>
      <c r="J209" s="98">
        <v>200.2</v>
      </c>
      <c r="K209" s="208">
        <v>119.97999999999973</v>
      </c>
      <c r="L209" s="208">
        <v>129.20000000000044</v>
      </c>
      <c r="M209" s="208">
        <v>175.62000000000049</v>
      </c>
      <c r="N209" s="98"/>
      <c r="O209" s="98"/>
      <c r="P209" s="98"/>
      <c r="Q209" s="208">
        <v>110.19999999999989</v>
      </c>
      <c r="R209" s="98">
        <v>154.39999999999978</v>
      </c>
      <c r="S209" s="98">
        <v>149.20000000000044</v>
      </c>
      <c r="T209" s="98">
        <v>237.97999999999973</v>
      </c>
      <c r="U209" s="98">
        <v>110.19999999999989</v>
      </c>
      <c r="V209" s="98">
        <v>484.40000000000089</v>
      </c>
      <c r="W209" s="98">
        <v>552.19999999999823</v>
      </c>
      <c r="X209" s="98"/>
      <c r="Y209" s="98"/>
      <c r="Z209" s="98"/>
      <c r="AA209" s="230"/>
      <c r="AB209" s="230"/>
      <c r="AC209" s="230">
        <v>271.27999999999929</v>
      </c>
    </row>
    <row r="210" spans="2:29">
      <c r="B210" s="98">
        <v>240</v>
      </c>
      <c r="C210" s="98">
        <v>115.2</v>
      </c>
      <c r="D210" s="98">
        <v>617.6</v>
      </c>
      <c r="E210" s="98">
        <v>199.4</v>
      </c>
      <c r="F210" s="98">
        <v>206</v>
      </c>
      <c r="G210" s="98">
        <v>159</v>
      </c>
      <c r="H210" s="98">
        <v>115.9</v>
      </c>
      <c r="I210" s="98">
        <v>141.6</v>
      </c>
      <c r="J210" s="98">
        <v>200</v>
      </c>
      <c r="K210" s="209">
        <v>119.79999999999973</v>
      </c>
      <c r="L210" s="209">
        <v>129.00000000000045</v>
      </c>
      <c r="M210" s="209">
        <v>175.2000000000005</v>
      </c>
      <c r="N210" s="98"/>
      <c r="O210" s="98"/>
      <c r="P210" s="98"/>
      <c r="Q210" s="208">
        <v>109.99999999999989</v>
      </c>
      <c r="R210" s="98">
        <v>153.99999999999977</v>
      </c>
      <c r="S210" s="98">
        <v>149.00000000000045</v>
      </c>
      <c r="T210" s="98">
        <v>237.79999999999973</v>
      </c>
      <c r="U210" s="98">
        <v>109.99999999999989</v>
      </c>
      <c r="V210" s="98">
        <v>484.00000000000091</v>
      </c>
      <c r="W210" s="98">
        <v>551.99999999999818</v>
      </c>
      <c r="X210" s="98"/>
      <c r="Y210" s="98"/>
      <c r="Z210" s="98"/>
      <c r="AA210" s="230"/>
      <c r="AB210" s="230"/>
      <c r="AC210" s="230">
        <v>270.79999999999927</v>
      </c>
    </row>
    <row r="211" spans="2:29">
      <c r="B211" s="98">
        <v>241</v>
      </c>
      <c r="C211" s="98">
        <v>115.1</v>
      </c>
      <c r="D211" s="98">
        <v>617.20000000000005</v>
      </c>
      <c r="E211" s="98">
        <v>199.2</v>
      </c>
      <c r="F211" s="98">
        <v>205.8</v>
      </c>
      <c r="G211" s="98">
        <v>158.80000000000001</v>
      </c>
      <c r="H211" s="98">
        <v>115.7</v>
      </c>
      <c r="I211" s="98">
        <v>141.4</v>
      </c>
      <c r="J211" s="98">
        <v>199.8</v>
      </c>
      <c r="K211" s="208">
        <v>119.61999999999972</v>
      </c>
      <c r="L211" s="208">
        <v>128.80000000000047</v>
      </c>
      <c r="M211" s="208">
        <v>174.78000000000051</v>
      </c>
      <c r="N211" s="98"/>
      <c r="O211" s="98"/>
      <c r="P211" s="98"/>
      <c r="Q211" s="208">
        <v>109.79999999999988</v>
      </c>
      <c r="R211" s="98">
        <v>153.59999999999977</v>
      </c>
      <c r="S211" s="98">
        <v>148.80000000000047</v>
      </c>
      <c r="T211" s="98">
        <v>237.61999999999972</v>
      </c>
      <c r="U211" s="98">
        <v>109.79999999999988</v>
      </c>
      <c r="V211" s="98">
        <v>483.60000000000093</v>
      </c>
      <c r="W211" s="98">
        <v>551.79999999999814</v>
      </c>
      <c r="X211" s="98"/>
      <c r="Y211" s="98"/>
      <c r="Z211" s="98"/>
      <c r="AA211" s="230"/>
      <c r="AB211" s="230"/>
      <c r="AC211" s="230">
        <v>270.31999999999925</v>
      </c>
    </row>
    <row r="212" spans="2:29">
      <c r="B212" s="98">
        <v>242</v>
      </c>
      <c r="C212" s="98">
        <v>115</v>
      </c>
      <c r="D212" s="98">
        <v>616.9</v>
      </c>
      <c r="E212" s="98">
        <v>198.9</v>
      </c>
      <c r="F212" s="98">
        <v>205.6</v>
      </c>
      <c r="G212" s="98">
        <v>158.6</v>
      </c>
      <c r="H212" s="98">
        <v>115.6</v>
      </c>
      <c r="I212" s="98">
        <v>141.19999999999999</v>
      </c>
      <c r="J212" s="98">
        <v>199.6</v>
      </c>
      <c r="K212" s="209">
        <v>119.43999999999971</v>
      </c>
      <c r="L212" s="209">
        <v>128.60000000000048</v>
      </c>
      <c r="M212" s="209">
        <v>174.36000000000053</v>
      </c>
      <c r="N212" s="98"/>
      <c r="O212" s="98"/>
      <c r="P212" s="98"/>
      <c r="Q212" s="208">
        <v>109.59999999999988</v>
      </c>
      <c r="R212" s="98">
        <v>153.19999999999976</v>
      </c>
      <c r="S212" s="98">
        <v>148.60000000000048</v>
      </c>
      <c r="T212" s="98">
        <v>237.43999999999971</v>
      </c>
      <c r="U212" s="98">
        <v>109.59999999999988</v>
      </c>
      <c r="V212" s="98">
        <v>483.20000000000095</v>
      </c>
      <c r="W212" s="98">
        <v>551.59999999999809</v>
      </c>
      <c r="X212" s="98"/>
      <c r="Y212" s="98"/>
      <c r="Z212" s="98"/>
      <c r="AA212" s="230"/>
      <c r="AB212" s="230"/>
      <c r="AC212" s="230">
        <v>269.83999999999924</v>
      </c>
    </row>
    <row r="213" spans="2:29">
      <c r="B213" s="98">
        <v>243</v>
      </c>
      <c r="C213" s="98">
        <v>114.8</v>
      </c>
      <c r="D213" s="98">
        <v>616.5</v>
      </c>
      <c r="E213" s="98">
        <v>198.7</v>
      </c>
      <c r="F213" s="98">
        <v>205.4</v>
      </c>
      <c r="G213" s="98">
        <v>158.4</v>
      </c>
      <c r="H213" s="98">
        <v>115.4</v>
      </c>
      <c r="I213" s="98">
        <v>141</v>
      </c>
      <c r="J213" s="98">
        <v>199.4</v>
      </c>
      <c r="K213" s="208">
        <v>119.25999999999971</v>
      </c>
      <c r="L213" s="208">
        <v>128.40000000000049</v>
      </c>
      <c r="M213" s="208">
        <v>173.94000000000054</v>
      </c>
      <c r="N213" s="98"/>
      <c r="O213" s="98"/>
      <c r="P213" s="98"/>
      <c r="Q213" s="208">
        <v>109.39999999999988</v>
      </c>
      <c r="R213" s="98">
        <v>152.79999999999976</v>
      </c>
      <c r="S213" s="98">
        <v>148.40000000000049</v>
      </c>
      <c r="T213" s="98">
        <v>237.25999999999971</v>
      </c>
      <c r="U213" s="98">
        <v>109.39999999999988</v>
      </c>
      <c r="V213" s="98">
        <v>482.80000000000098</v>
      </c>
      <c r="W213" s="98">
        <v>551.39999999999804</v>
      </c>
      <c r="X213" s="98"/>
      <c r="Y213" s="98"/>
      <c r="Z213" s="98"/>
      <c r="AA213" s="230"/>
      <c r="AB213" s="230"/>
      <c r="AC213" s="230">
        <v>269.35999999999922</v>
      </c>
    </row>
    <row r="214" spans="2:29">
      <c r="B214" s="98">
        <v>244</v>
      </c>
      <c r="C214" s="98">
        <v>114.7</v>
      </c>
      <c r="D214" s="98">
        <v>616.20000000000005</v>
      </c>
      <c r="E214" s="98">
        <v>198.4</v>
      </c>
      <c r="F214" s="98">
        <v>205.2</v>
      </c>
      <c r="G214" s="98">
        <v>158.19999999999999</v>
      </c>
      <c r="H214" s="98">
        <v>115.3</v>
      </c>
      <c r="I214" s="98">
        <v>140.9</v>
      </c>
      <c r="J214" s="98">
        <v>199.2</v>
      </c>
      <c r="K214" s="209">
        <v>119.0799999999997</v>
      </c>
      <c r="L214" s="209">
        <v>128.2000000000005</v>
      </c>
      <c r="M214" s="209">
        <v>173.52000000000055</v>
      </c>
      <c r="N214" s="98"/>
      <c r="O214" s="98"/>
      <c r="P214" s="98"/>
      <c r="Q214" s="208">
        <v>109.19999999999987</v>
      </c>
      <c r="R214" s="98">
        <v>152.39999999999975</v>
      </c>
      <c r="S214" s="98">
        <v>148.2000000000005</v>
      </c>
      <c r="T214" s="98">
        <v>237.0799999999997</v>
      </c>
      <c r="U214" s="98">
        <v>109.19999999999987</v>
      </c>
      <c r="V214" s="98">
        <v>482.400000000001</v>
      </c>
      <c r="W214" s="98">
        <v>551.199999999998</v>
      </c>
      <c r="X214" s="98"/>
      <c r="Y214" s="98"/>
      <c r="Z214" s="98"/>
      <c r="AA214" s="230"/>
      <c r="AB214" s="230"/>
      <c r="AC214" s="230">
        <v>268.8799999999992</v>
      </c>
    </row>
    <row r="215" spans="2:29">
      <c r="B215" s="98">
        <v>245</v>
      </c>
      <c r="C215" s="98">
        <v>114.6</v>
      </c>
      <c r="D215" s="98">
        <v>615.79999999999995</v>
      </c>
      <c r="E215" s="98">
        <v>198.2</v>
      </c>
      <c r="F215" s="98">
        <v>205</v>
      </c>
      <c r="G215" s="98">
        <v>158</v>
      </c>
      <c r="H215" s="98">
        <v>115.1</v>
      </c>
      <c r="I215" s="98">
        <v>140.69999999999999</v>
      </c>
      <c r="J215" s="98">
        <v>199</v>
      </c>
      <c r="K215" s="208">
        <v>118.89999999999969</v>
      </c>
      <c r="L215" s="208">
        <v>128.00000000000051</v>
      </c>
      <c r="M215" s="208">
        <v>173.10000000000056</v>
      </c>
      <c r="N215" s="98"/>
      <c r="O215" s="98"/>
      <c r="P215" s="98"/>
      <c r="Q215" s="208">
        <v>108.99999999999987</v>
      </c>
      <c r="R215" s="98">
        <v>151.99999999999974</v>
      </c>
      <c r="S215" s="98">
        <v>148.00000000000051</v>
      </c>
      <c r="T215" s="98">
        <v>236.89999999999969</v>
      </c>
      <c r="U215" s="98">
        <v>108.99999999999987</v>
      </c>
      <c r="V215" s="98">
        <v>482.00000000000102</v>
      </c>
      <c r="W215" s="98">
        <v>550.99999999999795</v>
      </c>
      <c r="X215" s="98"/>
      <c r="Y215" s="98"/>
      <c r="Z215" s="98"/>
      <c r="AA215" s="230"/>
      <c r="AB215" s="230"/>
      <c r="AC215" s="230">
        <v>268.39999999999918</v>
      </c>
    </row>
    <row r="216" spans="2:29">
      <c r="B216" s="98">
        <v>246</v>
      </c>
      <c r="C216" s="98">
        <v>114.5</v>
      </c>
      <c r="D216" s="98">
        <v>615.4</v>
      </c>
      <c r="E216" s="98">
        <v>198</v>
      </c>
      <c r="F216" s="98">
        <v>204.8</v>
      </c>
      <c r="G216" s="98">
        <v>157.80000000000001</v>
      </c>
      <c r="H216" s="98">
        <v>115</v>
      </c>
      <c r="I216" s="98">
        <v>140.5</v>
      </c>
      <c r="J216" s="98">
        <v>198.8</v>
      </c>
      <c r="K216" s="209">
        <v>118.71999999999969</v>
      </c>
      <c r="L216" s="209">
        <v>127.80000000000051</v>
      </c>
      <c r="M216" s="209">
        <v>172.68000000000058</v>
      </c>
      <c r="N216" s="98"/>
      <c r="O216" s="98"/>
      <c r="P216" s="98"/>
      <c r="Q216" s="208">
        <v>108.79999999999987</v>
      </c>
      <c r="R216" s="98">
        <v>151.59999999999974</v>
      </c>
      <c r="S216" s="98">
        <v>147.80000000000052</v>
      </c>
      <c r="T216" s="98">
        <v>236.71999999999969</v>
      </c>
      <c r="U216" s="98">
        <v>108.79999999999987</v>
      </c>
      <c r="V216" s="98">
        <v>481.60000000000105</v>
      </c>
      <c r="W216" s="98">
        <v>550.79999999999791</v>
      </c>
      <c r="X216" s="98"/>
      <c r="Y216" s="98"/>
      <c r="Z216" s="98"/>
      <c r="AA216" s="230"/>
      <c r="AB216" s="230"/>
      <c r="AC216" s="230">
        <v>267.91999999999916</v>
      </c>
    </row>
    <row r="217" spans="2:29">
      <c r="B217" s="98">
        <v>247</v>
      </c>
      <c r="C217" s="98">
        <v>114.4</v>
      </c>
      <c r="D217" s="98">
        <v>615.1</v>
      </c>
      <c r="E217" s="98">
        <v>197.7</v>
      </c>
      <c r="F217" s="98">
        <v>204.6</v>
      </c>
      <c r="G217" s="98">
        <v>157.6</v>
      </c>
      <c r="H217" s="98">
        <v>114.9</v>
      </c>
      <c r="I217" s="98">
        <v>140.30000000000001</v>
      </c>
      <c r="J217" s="98">
        <v>198.6</v>
      </c>
      <c r="K217" s="208">
        <v>118.53999999999968</v>
      </c>
      <c r="L217" s="208">
        <v>127.60000000000051</v>
      </c>
      <c r="M217" s="208">
        <v>172.26000000000059</v>
      </c>
      <c r="N217" s="98"/>
      <c r="O217" s="98"/>
      <c r="P217" s="98"/>
      <c r="Q217" s="208">
        <v>108.59999999999987</v>
      </c>
      <c r="R217" s="98">
        <v>151.19999999999973</v>
      </c>
      <c r="S217" s="98">
        <v>147.60000000000053</v>
      </c>
      <c r="T217" s="98">
        <v>236.53999999999968</v>
      </c>
      <c r="U217" s="98">
        <v>108.59999999999987</v>
      </c>
      <c r="V217" s="98">
        <v>481.20000000000107</v>
      </c>
      <c r="W217" s="98">
        <v>550.59999999999786</v>
      </c>
      <c r="X217" s="98"/>
      <c r="Y217" s="98"/>
      <c r="Z217" s="98"/>
      <c r="AA217" s="230"/>
      <c r="AB217" s="230"/>
      <c r="AC217" s="230">
        <v>267.43999999999915</v>
      </c>
    </row>
    <row r="218" spans="2:29">
      <c r="B218" s="98">
        <v>248</v>
      </c>
      <c r="C218" s="98">
        <v>114.2</v>
      </c>
      <c r="D218" s="98">
        <v>614.70000000000005</v>
      </c>
      <c r="E218" s="98">
        <v>197.5</v>
      </c>
      <c r="F218" s="98">
        <v>204.4</v>
      </c>
      <c r="G218" s="98">
        <v>157.4</v>
      </c>
      <c r="H218" s="98">
        <v>114.7</v>
      </c>
      <c r="I218" s="98">
        <v>140.1</v>
      </c>
      <c r="J218" s="98">
        <v>198.4</v>
      </c>
      <c r="K218" s="209">
        <v>118.35999999999967</v>
      </c>
      <c r="L218" s="209">
        <v>127.4000000000005</v>
      </c>
      <c r="M218" s="209">
        <v>171.8400000000006</v>
      </c>
      <c r="N218" s="98"/>
      <c r="O218" s="98"/>
      <c r="P218" s="98"/>
      <c r="Q218" s="208">
        <v>108.39999999999986</v>
      </c>
      <c r="R218" s="98">
        <v>150.79999999999973</v>
      </c>
      <c r="S218" s="98">
        <v>147.40000000000055</v>
      </c>
      <c r="T218" s="98">
        <v>236.35999999999967</v>
      </c>
      <c r="U218" s="98">
        <v>108.39999999999986</v>
      </c>
      <c r="V218" s="98">
        <v>480.80000000000109</v>
      </c>
      <c r="W218" s="98">
        <v>550.39999999999782</v>
      </c>
      <c r="X218" s="98"/>
      <c r="Y218" s="98"/>
      <c r="Z218" s="98"/>
      <c r="AA218" s="230"/>
      <c r="AB218" s="230"/>
      <c r="AC218" s="230">
        <v>266.95999999999913</v>
      </c>
    </row>
    <row r="219" spans="2:29">
      <c r="B219" s="98">
        <v>249</v>
      </c>
      <c r="C219" s="98">
        <v>114.1</v>
      </c>
      <c r="D219" s="98">
        <v>614.4</v>
      </c>
      <c r="E219" s="98">
        <v>197.2</v>
      </c>
      <c r="F219" s="98">
        <v>204.2</v>
      </c>
      <c r="G219" s="98">
        <v>157.19999999999999</v>
      </c>
      <c r="H219" s="98">
        <v>114.6</v>
      </c>
      <c r="I219" s="98">
        <v>140</v>
      </c>
      <c r="J219" s="98">
        <v>198.2</v>
      </c>
      <c r="K219" s="208">
        <v>118.17999999999967</v>
      </c>
      <c r="L219" s="208">
        <v>127.2000000000005</v>
      </c>
      <c r="M219" s="208">
        <v>171.42000000000061</v>
      </c>
      <c r="N219" s="98"/>
      <c r="O219" s="98"/>
      <c r="P219" s="98"/>
      <c r="Q219" s="208">
        <v>108.19999999999986</v>
      </c>
      <c r="R219" s="98">
        <v>150.39999999999972</v>
      </c>
      <c r="S219" s="98">
        <v>147.20000000000056</v>
      </c>
      <c r="T219" s="98">
        <v>236.17999999999967</v>
      </c>
      <c r="U219" s="98">
        <v>108.19999999999986</v>
      </c>
      <c r="V219" s="98">
        <v>480.40000000000111</v>
      </c>
      <c r="W219" s="98">
        <v>550.19999999999777</v>
      </c>
      <c r="X219" s="98"/>
      <c r="Y219" s="98"/>
      <c r="Z219" s="98"/>
      <c r="AA219" s="230"/>
      <c r="AB219" s="230"/>
      <c r="AC219" s="230">
        <v>266.47999999999911</v>
      </c>
    </row>
    <row r="220" spans="2:29">
      <c r="B220" s="98">
        <v>250</v>
      </c>
      <c r="C220" s="98">
        <v>114</v>
      </c>
      <c r="D220" s="98">
        <v>614</v>
      </c>
      <c r="E220" s="98">
        <v>197</v>
      </c>
      <c r="F220" s="98">
        <v>204</v>
      </c>
      <c r="G220" s="98">
        <v>157</v>
      </c>
      <c r="H220" s="98">
        <v>114.4</v>
      </c>
      <c r="I220" s="98">
        <v>139.80000000000001</v>
      </c>
      <c r="J220" s="98">
        <v>198</v>
      </c>
      <c r="K220" s="209">
        <v>118</v>
      </c>
      <c r="L220" s="209">
        <v>127</v>
      </c>
      <c r="M220" s="209">
        <v>171</v>
      </c>
      <c r="N220" s="98">
        <v>145</v>
      </c>
      <c r="O220" s="98">
        <v>145</v>
      </c>
      <c r="P220" s="98"/>
      <c r="Q220" s="209">
        <v>108</v>
      </c>
      <c r="R220" s="98">
        <v>150</v>
      </c>
      <c r="S220" s="98">
        <v>147</v>
      </c>
      <c r="T220" s="98">
        <v>236</v>
      </c>
      <c r="U220" s="98">
        <v>108</v>
      </c>
      <c r="V220" s="98">
        <v>480</v>
      </c>
      <c r="W220" s="98">
        <v>550</v>
      </c>
      <c r="X220" s="98"/>
      <c r="Y220" s="98"/>
      <c r="Z220" s="98"/>
      <c r="AA220" s="230"/>
      <c r="AB220" s="230">
        <v>602</v>
      </c>
      <c r="AC220" s="230">
        <v>266</v>
      </c>
    </row>
    <row r="221" spans="2:29">
      <c r="B221" s="98">
        <v>251</v>
      </c>
      <c r="C221" s="98">
        <v>113.9</v>
      </c>
      <c r="D221" s="98">
        <v>613.6</v>
      </c>
      <c r="E221" s="98">
        <v>196.7</v>
      </c>
      <c r="F221" s="98">
        <v>203.8</v>
      </c>
      <c r="G221" s="98">
        <v>156.80000000000001</v>
      </c>
      <c r="H221" s="98">
        <v>114.3</v>
      </c>
      <c r="I221" s="98">
        <v>139.6</v>
      </c>
      <c r="J221" s="98">
        <v>197.8</v>
      </c>
      <c r="K221" s="208">
        <v>117.84</v>
      </c>
      <c r="L221" s="208">
        <v>126.84</v>
      </c>
      <c r="M221" s="208">
        <v>170.66</v>
      </c>
      <c r="N221" s="98"/>
      <c r="O221" s="98"/>
      <c r="P221" s="98"/>
      <c r="Q221" s="208">
        <v>107.84</v>
      </c>
      <c r="R221" s="98">
        <v>149.63999999999999</v>
      </c>
      <c r="S221" s="98">
        <v>146.78</v>
      </c>
      <c r="T221" s="98">
        <v>235.12</v>
      </c>
      <c r="U221" s="98">
        <v>107.84</v>
      </c>
      <c r="V221" s="98">
        <v>479.6</v>
      </c>
      <c r="W221" s="98">
        <v>549.79999999999995</v>
      </c>
      <c r="X221" s="98"/>
      <c r="Y221" s="98"/>
      <c r="Z221" s="98"/>
      <c r="AA221" s="230"/>
      <c r="AB221" s="230"/>
      <c r="AC221" s="230">
        <v>265.58</v>
      </c>
    </row>
    <row r="222" spans="2:29">
      <c r="B222" s="98">
        <v>252</v>
      </c>
      <c r="C222" s="98">
        <v>113.8</v>
      </c>
      <c r="D222" s="98">
        <v>613.20000000000005</v>
      </c>
      <c r="E222" s="98">
        <v>196.4</v>
      </c>
      <c r="F222" s="98">
        <v>203.6</v>
      </c>
      <c r="G222" s="98">
        <v>156.6</v>
      </c>
      <c r="H222" s="98">
        <v>114.1</v>
      </c>
      <c r="I222" s="98">
        <v>139.4</v>
      </c>
      <c r="J222" s="98">
        <v>197.7</v>
      </c>
      <c r="K222" s="209">
        <v>117.68</v>
      </c>
      <c r="L222" s="209">
        <v>126.68</v>
      </c>
      <c r="M222" s="209">
        <v>170.32</v>
      </c>
      <c r="N222" s="98"/>
      <c r="O222" s="98"/>
      <c r="P222" s="98"/>
      <c r="Q222" s="208">
        <v>107.68</v>
      </c>
      <c r="R222" s="98">
        <v>149.27999999999997</v>
      </c>
      <c r="S222" s="98">
        <v>146.56</v>
      </c>
      <c r="T222" s="98">
        <v>234.24</v>
      </c>
      <c r="U222" s="98">
        <v>107.68</v>
      </c>
      <c r="V222" s="98">
        <v>479.20000000000005</v>
      </c>
      <c r="W222" s="98">
        <v>549.59999999999991</v>
      </c>
      <c r="X222" s="98"/>
      <c r="Y222" s="98"/>
      <c r="Z222" s="98"/>
      <c r="AA222" s="230"/>
      <c r="AB222" s="230"/>
      <c r="AC222" s="230">
        <v>265.15999999999997</v>
      </c>
    </row>
    <row r="223" spans="2:29">
      <c r="B223" s="98">
        <v>253</v>
      </c>
      <c r="C223" s="98">
        <v>113.7</v>
      </c>
      <c r="D223" s="98">
        <v>612.79999999999995</v>
      </c>
      <c r="E223" s="98">
        <v>196.2</v>
      </c>
      <c r="F223" s="98">
        <v>203.4</v>
      </c>
      <c r="G223" s="98">
        <v>156.4</v>
      </c>
      <c r="H223" s="98">
        <v>114</v>
      </c>
      <c r="I223" s="98">
        <v>139.30000000000001</v>
      </c>
      <c r="J223" s="98">
        <v>197.5</v>
      </c>
      <c r="K223" s="208">
        <v>117.52000000000001</v>
      </c>
      <c r="L223" s="208">
        <v>126.52000000000001</v>
      </c>
      <c r="M223" s="208">
        <v>169.98</v>
      </c>
      <c r="N223" s="98"/>
      <c r="O223" s="98"/>
      <c r="P223" s="98"/>
      <c r="Q223" s="208">
        <v>107.52000000000001</v>
      </c>
      <c r="R223" s="98">
        <v>148.91999999999996</v>
      </c>
      <c r="S223" s="98">
        <v>146.34</v>
      </c>
      <c r="T223" s="98">
        <v>233.36</v>
      </c>
      <c r="U223" s="98">
        <v>107.52000000000001</v>
      </c>
      <c r="V223" s="98">
        <v>478.80000000000007</v>
      </c>
      <c r="W223" s="98">
        <v>549.39999999999986</v>
      </c>
      <c r="X223" s="98"/>
      <c r="Y223" s="98"/>
      <c r="Z223" s="98"/>
      <c r="AA223" s="230"/>
      <c r="AB223" s="230"/>
      <c r="AC223" s="230">
        <v>264.73999999999995</v>
      </c>
    </row>
    <row r="224" spans="2:29">
      <c r="B224" s="98">
        <v>254</v>
      </c>
      <c r="C224" s="98">
        <v>113.6</v>
      </c>
      <c r="D224" s="98">
        <v>612.4</v>
      </c>
      <c r="E224" s="98">
        <v>195.9</v>
      </c>
      <c r="F224" s="98">
        <v>203.2</v>
      </c>
      <c r="G224" s="98">
        <v>156.19999999999999</v>
      </c>
      <c r="H224" s="98">
        <v>113.9</v>
      </c>
      <c r="I224" s="98">
        <v>139.1</v>
      </c>
      <c r="J224" s="98">
        <v>197.4</v>
      </c>
      <c r="K224" s="209">
        <v>117.36000000000001</v>
      </c>
      <c r="L224" s="209">
        <v>126.36000000000001</v>
      </c>
      <c r="M224" s="209">
        <v>169.64</v>
      </c>
      <c r="N224" s="98"/>
      <c r="O224" s="98"/>
      <c r="P224" s="98"/>
      <c r="Q224" s="208">
        <v>107.36000000000001</v>
      </c>
      <c r="R224" s="98">
        <v>148.55999999999995</v>
      </c>
      <c r="S224" s="98">
        <v>146.12</v>
      </c>
      <c r="T224" s="98">
        <v>232.48000000000002</v>
      </c>
      <c r="U224" s="98">
        <v>107.36000000000001</v>
      </c>
      <c r="V224" s="98">
        <v>478.40000000000009</v>
      </c>
      <c r="W224" s="98">
        <v>549.19999999999982</v>
      </c>
      <c r="X224" s="98"/>
      <c r="Y224" s="98"/>
      <c r="Z224" s="98"/>
      <c r="AA224" s="230"/>
      <c r="AB224" s="230"/>
      <c r="AC224" s="230">
        <v>264.31999999999994</v>
      </c>
    </row>
    <row r="225" spans="2:29">
      <c r="B225" s="98">
        <v>255</v>
      </c>
      <c r="C225" s="98">
        <v>113.5</v>
      </c>
      <c r="D225" s="98">
        <v>612</v>
      </c>
      <c r="E225" s="98">
        <v>195.6</v>
      </c>
      <c r="F225" s="98">
        <v>203</v>
      </c>
      <c r="G225" s="98">
        <v>156</v>
      </c>
      <c r="H225" s="98">
        <v>113.7</v>
      </c>
      <c r="I225" s="98">
        <v>138.9</v>
      </c>
      <c r="J225" s="98">
        <v>197.2</v>
      </c>
      <c r="K225" s="208">
        <v>117.20000000000002</v>
      </c>
      <c r="L225" s="208">
        <v>126.20000000000002</v>
      </c>
      <c r="M225" s="208">
        <v>169.29999999999998</v>
      </c>
      <c r="N225" s="98"/>
      <c r="O225" s="98"/>
      <c r="P225" s="98"/>
      <c r="Q225" s="208">
        <v>107.20000000000002</v>
      </c>
      <c r="R225" s="98">
        <v>148.19999999999993</v>
      </c>
      <c r="S225" s="98">
        <v>145.9</v>
      </c>
      <c r="T225" s="98">
        <v>231.60000000000002</v>
      </c>
      <c r="U225" s="98">
        <v>107.20000000000002</v>
      </c>
      <c r="V225" s="98">
        <v>478.00000000000011</v>
      </c>
      <c r="W225" s="98">
        <v>548.99999999999977</v>
      </c>
      <c r="X225" s="98"/>
      <c r="Y225" s="98"/>
      <c r="Z225" s="98"/>
      <c r="AA225" s="230"/>
      <c r="AB225" s="230"/>
      <c r="AC225" s="230">
        <v>263.89999999999992</v>
      </c>
    </row>
    <row r="226" spans="2:29">
      <c r="B226" s="98">
        <v>256</v>
      </c>
      <c r="C226" s="98">
        <v>113.4</v>
      </c>
      <c r="D226" s="98">
        <v>611.6</v>
      </c>
      <c r="E226" s="98">
        <v>195.3</v>
      </c>
      <c r="F226" s="98">
        <v>202.8</v>
      </c>
      <c r="G226" s="98">
        <v>155.80000000000001</v>
      </c>
      <c r="H226" s="98">
        <v>113.6</v>
      </c>
      <c r="I226" s="98">
        <v>138.69999999999999</v>
      </c>
      <c r="J226" s="98">
        <v>197</v>
      </c>
      <c r="K226" s="209">
        <v>117.04000000000002</v>
      </c>
      <c r="L226" s="209">
        <v>126.04000000000002</v>
      </c>
      <c r="M226" s="209">
        <v>168.95999999999998</v>
      </c>
      <c r="N226" s="98"/>
      <c r="O226" s="98"/>
      <c r="P226" s="98"/>
      <c r="Q226" s="208">
        <v>107.04000000000002</v>
      </c>
      <c r="R226" s="98">
        <v>147.83999999999992</v>
      </c>
      <c r="S226" s="98">
        <v>145.68</v>
      </c>
      <c r="T226" s="98">
        <v>230.72000000000003</v>
      </c>
      <c r="U226" s="98">
        <v>107.04000000000002</v>
      </c>
      <c r="V226" s="98">
        <v>477.60000000000014</v>
      </c>
      <c r="W226" s="98">
        <v>548.79999999999973</v>
      </c>
      <c r="X226" s="98"/>
      <c r="Y226" s="98"/>
      <c r="Z226" s="98"/>
      <c r="AA226" s="230"/>
      <c r="AB226" s="230"/>
      <c r="AC226" s="230">
        <v>263.4799999999999</v>
      </c>
    </row>
    <row r="227" spans="2:29">
      <c r="B227" s="98">
        <v>257</v>
      </c>
      <c r="C227" s="98">
        <v>113.3</v>
      </c>
      <c r="D227" s="98">
        <v>611.20000000000005</v>
      </c>
      <c r="E227" s="98">
        <v>195</v>
      </c>
      <c r="F227" s="98">
        <v>202.6</v>
      </c>
      <c r="G227" s="98">
        <v>155.6</v>
      </c>
      <c r="H227" s="98">
        <v>113.4</v>
      </c>
      <c r="I227" s="98">
        <v>138.5</v>
      </c>
      <c r="J227" s="98">
        <v>196.9</v>
      </c>
      <c r="K227" s="208">
        <v>116.88000000000002</v>
      </c>
      <c r="L227" s="208">
        <v>125.88000000000002</v>
      </c>
      <c r="M227" s="208">
        <v>168.61999999999998</v>
      </c>
      <c r="N227" s="98"/>
      <c r="O227" s="98"/>
      <c r="P227" s="98"/>
      <c r="Q227" s="208">
        <v>106.88000000000002</v>
      </c>
      <c r="R227" s="98">
        <v>147.4799999999999</v>
      </c>
      <c r="S227" s="98">
        <v>145.46</v>
      </c>
      <c r="T227" s="98">
        <v>229.84000000000003</v>
      </c>
      <c r="U227" s="98">
        <v>106.88000000000002</v>
      </c>
      <c r="V227" s="98">
        <v>477.20000000000016</v>
      </c>
      <c r="W227" s="98">
        <v>548.59999999999968</v>
      </c>
      <c r="X227" s="98"/>
      <c r="Y227" s="98"/>
      <c r="Z227" s="98"/>
      <c r="AA227" s="230"/>
      <c r="AB227" s="230"/>
      <c r="AC227" s="230">
        <v>263.05999999999989</v>
      </c>
    </row>
    <row r="228" spans="2:29">
      <c r="B228" s="98">
        <v>258</v>
      </c>
      <c r="C228" s="98">
        <v>113.2</v>
      </c>
      <c r="D228" s="98">
        <v>610.79999999999995</v>
      </c>
      <c r="E228" s="98">
        <v>194.8</v>
      </c>
      <c r="F228" s="98">
        <v>202.4</v>
      </c>
      <c r="G228" s="98">
        <v>155.4</v>
      </c>
      <c r="H228" s="98">
        <v>113.3</v>
      </c>
      <c r="I228" s="98">
        <v>138.4</v>
      </c>
      <c r="J228" s="98">
        <v>196.7</v>
      </c>
      <c r="K228" s="209">
        <v>116.72000000000003</v>
      </c>
      <c r="L228" s="209">
        <v>125.72000000000003</v>
      </c>
      <c r="M228" s="209">
        <v>168.27999999999997</v>
      </c>
      <c r="N228" s="98"/>
      <c r="O228" s="98"/>
      <c r="P228" s="98"/>
      <c r="Q228" s="208">
        <v>106.72000000000003</v>
      </c>
      <c r="R228" s="98">
        <v>147.11999999999989</v>
      </c>
      <c r="S228" s="98">
        <v>145.24</v>
      </c>
      <c r="T228" s="98">
        <v>228.96000000000004</v>
      </c>
      <c r="U228" s="98">
        <v>106.72000000000003</v>
      </c>
      <c r="V228" s="98">
        <v>476.80000000000018</v>
      </c>
      <c r="W228" s="98">
        <v>548.39999999999964</v>
      </c>
      <c r="X228" s="98"/>
      <c r="Y228" s="98"/>
      <c r="Z228" s="98"/>
      <c r="AA228" s="230"/>
      <c r="AB228" s="230"/>
      <c r="AC228" s="230">
        <v>262.63999999999987</v>
      </c>
    </row>
    <row r="229" spans="2:29">
      <c r="B229" s="98">
        <v>259</v>
      </c>
      <c r="C229" s="98">
        <v>113.1</v>
      </c>
      <c r="D229" s="98">
        <v>610.4</v>
      </c>
      <c r="E229" s="98">
        <v>194.5</v>
      </c>
      <c r="F229" s="98">
        <v>202.2</v>
      </c>
      <c r="G229" s="98">
        <v>155.19999999999999</v>
      </c>
      <c r="H229" s="98">
        <v>113.1</v>
      </c>
      <c r="I229" s="98">
        <v>138.19999999999999</v>
      </c>
      <c r="J229" s="98">
        <v>196.6</v>
      </c>
      <c r="K229" s="208">
        <v>116.56000000000003</v>
      </c>
      <c r="L229" s="208">
        <v>125.56000000000003</v>
      </c>
      <c r="M229" s="208">
        <v>167.93999999999997</v>
      </c>
      <c r="N229" s="98"/>
      <c r="O229" s="98"/>
      <c r="P229" s="98"/>
      <c r="Q229" s="208">
        <v>106.56000000000003</v>
      </c>
      <c r="R229" s="98">
        <v>146.75999999999988</v>
      </c>
      <c r="S229" s="98">
        <v>145.02000000000001</v>
      </c>
      <c r="T229" s="98">
        <v>228.08000000000004</v>
      </c>
      <c r="U229" s="98">
        <v>106.56000000000003</v>
      </c>
      <c r="V229" s="98">
        <v>476.4000000000002</v>
      </c>
      <c r="W229" s="98">
        <v>548.19999999999959</v>
      </c>
      <c r="X229" s="98"/>
      <c r="Y229" s="98"/>
      <c r="Z229" s="98"/>
      <c r="AA229" s="230"/>
      <c r="AB229" s="230"/>
      <c r="AC229" s="230">
        <v>262.21999999999986</v>
      </c>
    </row>
    <row r="230" spans="2:29">
      <c r="B230" s="98">
        <v>260</v>
      </c>
      <c r="C230" s="98">
        <v>113</v>
      </c>
      <c r="D230" s="98">
        <v>610</v>
      </c>
      <c r="E230" s="98">
        <v>194.2</v>
      </c>
      <c r="F230" s="98">
        <v>202</v>
      </c>
      <c r="G230" s="98">
        <v>155</v>
      </c>
      <c r="H230" s="98">
        <v>113</v>
      </c>
      <c r="I230" s="98">
        <v>138</v>
      </c>
      <c r="J230" s="98">
        <v>196.4</v>
      </c>
      <c r="K230" s="209">
        <v>116.40000000000003</v>
      </c>
      <c r="L230" s="209">
        <v>125.40000000000003</v>
      </c>
      <c r="M230" s="209">
        <v>167.59999999999997</v>
      </c>
      <c r="N230" s="98"/>
      <c r="O230" s="98"/>
      <c r="P230" s="98"/>
      <c r="Q230" s="208">
        <v>106.40000000000003</v>
      </c>
      <c r="R230" s="98">
        <v>146.39999999999986</v>
      </c>
      <c r="S230" s="98">
        <v>144.80000000000001</v>
      </c>
      <c r="T230" s="98">
        <v>227.20000000000005</v>
      </c>
      <c r="U230" s="98">
        <v>106.40000000000003</v>
      </c>
      <c r="V230" s="98">
        <v>476.00000000000023</v>
      </c>
      <c r="W230" s="98">
        <v>547.99999999999955</v>
      </c>
      <c r="X230" s="98"/>
      <c r="Y230" s="98"/>
      <c r="Z230" s="98"/>
      <c r="AA230" s="230"/>
      <c r="AB230" s="230"/>
      <c r="AC230" s="230">
        <v>261.79999999999984</v>
      </c>
    </row>
    <row r="231" spans="2:29">
      <c r="B231" s="98">
        <v>261</v>
      </c>
      <c r="C231" s="98">
        <v>112.9</v>
      </c>
      <c r="D231" s="98">
        <v>609.70000000000005</v>
      </c>
      <c r="E231" s="98">
        <v>193.9</v>
      </c>
      <c r="F231" s="98">
        <v>201.8</v>
      </c>
      <c r="G231" s="98">
        <v>154.80000000000001</v>
      </c>
      <c r="H231" s="98">
        <v>112.9</v>
      </c>
      <c r="I231" s="98">
        <v>137.9</v>
      </c>
      <c r="J231" s="98">
        <v>196.2</v>
      </c>
      <c r="K231" s="208">
        <v>116.24000000000004</v>
      </c>
      <c r="L231" s="208">
        <v>125.24000000000004</v>
      </c>
      <c r="M231" s="208">
        <v>167.25999999999996</v>
      </c>
      <c r="N231" s="98"/>
      <c r="O231" s="98"/>
      <c r="P231" s="98"/>
      <c r="Q231" s="208">
        <v>106.24000000000004</v>
      </c>
      <c r="R231" s="98">
        <v>146.03999999999985</v>
      </c>
      <c r="S231" s="98">
        <v>144.58000000000001</v>
      </c>
      <c r="T231" s="98">
        <v>226.32000000000005</v>
      </c>
      <c r="U231" s="98">
        <v>106.24000000000004</v>
      </c>
      <c r="V231" s="98">
        <v>475.60000000000025</v>
      </c>
      <c r="W231" s="98">
        <v>547.7999999999995</v>
      </c>
      <c r="X231" s="98"/>
      <c r="Y231" s="98"/>
      <c r="Z231" s="98"/>
      <c r="AA231" s="230"/>
      <c r="AB231" s="230"/>
      <c r="AC231" s="230">
        <v>261.37999999999982</v>
      </c>
    </row>
    <row r="232" spans="2:29">
      <c r="B232" s="98">
        <v>262</v>
      </c>
      <c r="C232" s="98">
        <v>112.7</v>
      </c>
      <c r="D232" s="98">
        <v>609.29999999999995</v>
      </c>
      <c r="E232" s="98">
        <v>193.6</v>
      </c>
      <c r="F232" s="98">
        <v>201.6</v>
      </c>
      <c r="G232" s="98">
        <v>154.5</v>
      </c>
      <c r="H232" s="98">
        <v>112.8</v>
      </c>
      <c r="I232" s="98">
        <v>137.69999999999999</v>
      </c>
      <c r="J232" s="98">
        <v>196.1</v>
      </c>
      <c r="K232" s="209">
        <v>116.08000000000004</v>
      </c>
      <c r="L232" s="209">
        <v>125.08000000000004</v>
      </c>
      <c r="M232" s="209">
        <v>166.91999999999996</v>
      </c>
      <c r="N232" s="98"/>
      <c r="O232" s="98"/>
      <c r="P232" s="98"/>
      <c r="Q232" s="208">
        <v>106.08000000000004</v>
      </c>
      <c r="R232" s="98">
        <v>145.67999999999984</v>
      </c>
      <c r="S232" s="98">
        <v>144.36000000000001</v>
      </c>
      <c r="T232" s="98">
        <v>225.44000000000005</v>
      </c>
      <c r="U232" s="98">
        <v>106.08000000000004</v>
      </c>
      <c r="V232" s="98">
        <v>475.20000000000027</v>
      </c>
      <c r="W232" s="98">
        <v>547.59999999999945</v>
      </c>
      <c r="X232" s="98"/>
      <c r="Y232" s="98"/>
      <c r="Z232" s="98"/>
      <c r="AA232" s="230"/>
      <c r="AB232" s="230"/>
      <c r="AC232" s="230">
        <v>260.95999999999981</v>
      </c>
    </row>
    <row r="233" spans="2:29">
      <c r="B233" s="98">
        <v>263</v>
      </c>
      <c r="C233" s="98">
        <v>112.6</v>
      </c>
      <c r="D233" s="98">
        <v>609</v>
      </c>
      <c r="E233" s="98">
        <v>193.4</v>
      </c>
      <c r="F233" s="98">
        <v>201.4</v>
      </c>
      <c r="G233" s="98">
        <v>154.19999999999999</v>
      </c>
      <c r="H233" s="98">
        <v>112.7</v>
      </c>
      <c r="I233" s="98">
        <v>137.6</v>
      </c>
      <c r="J233" s="98">
        <v>195.9</v>
      </c>
      <c r="K233" s="208">
        <v>115.92000000000004</v>
      </c>
      <c r="L233" s="208">
        <v>124.92000000000004</v>
      </c>
      <c r="M233" s="208">
        <v>166.57999999999996</v>
      </c>
      <c r="N233" s="98"/>
      <c r="O233" s="98"/>
      <c r="P233" s="98"/>
      <c r="Q233" s="208">
        <v>105.92000000000004</v>
      </c>
      <c r="R233" s="98">
        <v>145.31999999999982</v>
      </c>
      <c r="S233" s="98">
        <v>144.14000000000001</v>
      </c>
      <c r="T233" s="98">
        <v>224.56000000000006</v>
      </c>
      <c r="U233" s="98">
        <v>105.92000000000004</v>
      </c>
      <c r="V233" s="98">
        <v>474.8000000000003</v>
      </c>
      <c r="W233" s="98">
        <v>547.39999999999941</v>
      </c>
      <c r="X233" s="98"/>
      <c r="Y233" s="98"/>
      <c r="Z233" s="98"/>
      <c r="AA233" s="230"/>
      <c r="AB233" s="230"/>
      <c r="AC233" s="230">
        <v>260.53999999999979</v>
      </c>
    </row>
    <row r="234" spans="2:29">
      <c r="B234" s="98">
        <v>264</v>
      </c>
      <c r="C234" s="98">
        <v>112.5</v>
      </c>
      <c r="D234" s="98">
        <v>608.70000000000005</v>
      </c>
      <c r="E234" s="98">
        <v>193.1</v>
      </c>
      <c r="F234" s="98">
        <v>201.2</v>
      </c>
      <c r="G234" s="98">
        <v>154</v>
      </c>
      <c r="H234" s="98">
        <v>112.6</v>
      </c>
      <c r="I234" s="98">
        <v>137.4</v>
      </c>
      <c r="J234" s="98">
        <v>195.8</v>
      </c>
      <c r="K234" s="209">
        <v>115.76000000000005</v>
      </c>
      <c r="L234" s="209">
        <v>124.76000000000005</v>
      </c>
      <c r="M234" s="209">
        <v>166.23999999999995</v>
      </c>
      <c r="N234" s="98"/>
      <c r="O234" s="98"/>
      <c r="P234" s="98"/>
      <c r="Q234" s="208">
        <v>105.76000000000005</v>
      </c>
      <c r="R234" s="98">
        <v>144.95999999999981</v>
      </c>
      <c r="S234" s="98">
        <v>143.92000000000002</v>
      </c>
      <c r="T234" s="98">
        <v>223.68000000000006</v>
      </c>
      <c r="U234" s="98">
        <v>105.76000000000005</v>
      </c>
      <c r="V234" s="98">
        <v>474.40000000000032</v>
      </c>
      <c r="W234" s="98">
        <v>547.19999999999936</v>
      </c>
      <c r="X234" s="98"/>
      <c r="Y234" s="98"/>
      <c r="Z234" s="98"/>
      <c r="AA234" s="230"/>
      <c r="AB234" s="230"/>
      <c r="AC234" s="230">
        <v>260.11999999999978</v>
      </c>
    </row>
    <row r="235" spans="2:29">
      <c r="B235" s="98">
        <v>265</v>
      </c>
      <c r="C235" s="98">
        <v>112.3</v>
      </c>
      <c r="D235" s="98">
        <v>608.29999999999995</v>
      </c>
      <c r="E235" s="98">
        <v>192.8</v>
      </c>
      <c r="F235" s="98">
        <v>201</v>
      </c>
      <c r="G235" s="98">
        <v>153.80000000000001</v>
      </c>
      <c r="H235" s="98">
        <v>112.5</v>
      </c>
      <c r="I235" s="98">
        <v>137.30000000000001</v>
      </c>
      <c r="J235" s="98">
        <v>195.6</v>
      </c>
      <c r="K235" s="208">
        <v>115.60000000000005</v>
      </c>
      <c r="L235" s="208">
        <v>124.60000000000005</v>
      </c>
      <c r="M235" s="208">
        <v>165.89999999999995</v>
      </c>
      <c r="N235" s="98"/>
      <c r="O235" s="98"/>
      <c r="P235" s="98"/>
      <c r="Q235" s="208">
        <v>105.60000000000005</v>
      </c>
      <c r="R235" s="98">
        <v>144.5999999999998</v>
      </c>
      <c r="S235" s="98">
        <v>143.70000000000002</v>
      </c>
      <c r="T235" s="98">
        <v>222.80000000000007</v>
      </c>
      <c r="U235" s="98">
        <v>105.60000000000005</v>
      </c>
      <c r="V235" s="98">
        <v>474.00000000000034</v>
      </c>
      <c r="W235" s="98">
        <v>546.99999999999932</v>
      </c>
      <c r="X235" s="98"/>
      <c r="Y235" s="98"/>
      <c r="Z235" s="98"/>
      <c r="AA235" s="230"/>
      <c r="AB235" s="230"/>
      <c r="AC235" s="230">
        <v>259.69999999999976</v>
      </c>
    </row>
    <row r="236" spans="2:29">
      <c r="B236" s="98">
        <v>266</v>
      </c>
      <c r="C236" s="98">
        <v>112.2</v>
      </c>
      <c r="D236" s="98">
        <v>608</v>
      </c>
      <c r="E236" s="98">
        <v>192.5</v>
      </c>
      <c r="F236" s="98">
        <v>200.8</v>
      </c>
      <c r="G236" s="98">
        <v>153.5</v>
      </c>
      <c r="H236" s="98">
        <v>112.4</v>
      </c>
      <c r="I236" s="98">
        <v>137.1</v>
      </c>
      <c r="J236" s="98">
        <v>195.4</v>
      </c>
      <c r="K236" s="209">
        <v>115.44000000000005</v>
      </c>
      <c r="L236" s="209">
        <v>124.44000000000005</v>
      </c>
      <c r="M236" s="209">
        <v>165.55999999999995</v>
      </c>
      <c r="N236" s="98"/>
      <c r="O236" s="98"/>
      <c r="P236" s="98"/>
      <c r="Q236" s="208">
        <v>105.44000000000005</v>
      </c>
      <c r="R236" s="98">
        <v>144.23999999999978</v>
      </c>
      <c r="S236" s="98">
        <v>143.48000000000002</v>
      </c>
      <c r="T236" s="98">
        <v>221.92000000000007</v>
      </c>
      <c r="U236" s="98">
        <v>105.44000000000005</v>
      </c>
      <c r="V236" s="98">
        <v>473.60000000000036</v>
      </c>
      <c r="W236" s="98">
        <v>546.79999999999927</v>
      </c>
      <c r="X236" s="98"/>
      <c r="Y236" s="98"/>
      <c r="Z236" s="98"/>
      <c r="AA236" s="230"/>
      <c r="AB236" s="230"/>
      <c r="AC236" s="230">
        <v>259.27999999999975</v>
      </c>
    </row>
    <row r="237" spans="2:29">
      <c r="B237" s="98">
        <v>267</v>
      </c>
      <c r="C237" s="98">
        <v>112.1</v>
      </c>
      <c r="D237" s="98">
        <v>607.70000000000005</v>
      </c>
      <c r="E237" s="98">
        <v>192.2</v>
      </c>
      <c r="F237" s="98">
        <v>200.6</v>
      </c>
      <c r="G237" s="98">
        <v>153.19999999999999</v>
      </c>
      <c r="H237" s="98">
        <v>112.2</v>
      </c>
      <c r="I237" s="98">
        <v>137</v>
      </c>
      <c r="J237" s="98">
        <v>195.3</v>
      </c>
      <c r="K237" s="208">
        <v>115.28000000000006</v>
      </c>
      <c r="L237" s="208">
        <v>124.28000000000006</v>
      </c>
      <c r="M237" s="208">
        <v>165.21999999999994</v>
      </c>
      <c r="N237" s="98"/>
      <c r="O237" s="98"/>
      <c r="P237" s="98"/>
      <c r="Q237" s="208">
        <v>105.28000000000006</v>
      </c>
      <c r="R237" s="98">
        <v>143.87999999999977</v>
      </c>
      <c r="S237" s="98">
        <v>143.26000000000002</v>
      </c>
      <c r="T237" s="98">
        <v>221.04000000000008</v>
      </c>
      <c r="U237" s="98">
        <v>105.28000000000006</v>
      </c>
      <c r="V237" s="98">
        <v>473.20000000000039</v>
      </c>
      <c r="W237" s="98">
        <v>546.59999999999923</v>
      </c>
      <c r="X237" s="98"/>
      <c r="Y237" s="98"/>
      <c r="Z237" s="98"/>
      <c r="AA237" s="230"/>
      <c r="AB237" s="230"/>
      <c r="AC237" s="230">
        <v>258.85999999999973</v>
      </c>
    </row>
    <row r="238" spans="2:29">
      <c r="B238" s="98">
        <v>268</v>
      </c>
      <c r="C238" s="98">
        <v>111.9</v>
      </c>
      <c r="D238" s="98">
        <v>607.29999999999995</v>
      </c>
      <c r="E238" s="98">
        <v>192</v>
      </c>
      <c r="F238" s="98">
        <v>200.4</v>
      </c>
      <c r="G238" s="98">
        <v>153</v>
      </c>
      <c r="H238" s="98">
        <v>112.1</v>
      </c>
      <c r="I238" s="98">
        <v>136.9</v>
      </c>
      <c r="J238" s="98">
        <v>195.1</v>
      </c>
      <c r="K238" s="209">
        <v>115.12000000000006</v>
      </c>
      <c r="L238" s="209">
        <v>124.12000000000006</v>
      </c>
      <c r="M238" s="209">
        <v>164.87999999999994</v>
      </c>
      <c r="N238" s="98"/>
      <c r="O238" s="98"/>
      <c r="P238" s="98"/>
      <c r="Q238" s="208">
        <v>105.12000000000006</v>
      </c>
      <c r="R238" s="98">
        <v>143.51999999999975</v>
      </c>
      <c r="S238" s="98">
        <v>143.04000000000002</v>
      </c>
      <c r="T238" s="98">
        <v>220.16000000000008</v>
      </c>
      <c r="U238" s="98">
        <v>105.12000000000006</v>
      </c>
      <c r="V238" s="98">
        <v>472.80000000000041</v>
      </c>
      <c r="W238" s="98">
        <v>546.39999999999918</v>
      </c>
      <c r="X238" s="98"/>
      <c r="Y238" s="98"/>
      <c r="Z238" s="98"/>
      <c r="AA238" s="230"/>
      <c r="AB238" s="230"/>
      <c r="AC238" s="230">
        <v>258.43999999999971</v>
      </c>
    </row>
    <row r="239" spans="2:29">
      <c r="B239" s="98">
        <v>269</v>
      </c>
      <c r="C239" s="98">
        <v>111.8</v>
      </c>
      <c r="D239" s="98">
        <v>607</v>
      </c>
      <c r="E239" s="98">
        <v>191.7</v>
      </c>
      <c r="F239" s="98">
        <v>200.2</v>
      </c>
      <c r="G239" s="98">
        <v>152.80000000000001</v>
      </c>
      <c r="H239" s="98">
        <v>112</v>
      </c>
      <c r="I239" s="98">
        <v>136.69999999999999</v>
      </c>
      <c r="J239" s="98">
        <v>195</v>
      </c>
      <c r="K239" s="208">
        <v>114.96000000000006</v>
      </c>
      <c r="L239" s="208">
        <v>123.96000000000006</v>
      </c>
      <c r="M239" s="208">
        <v>164.53999999999994</v>
      </c>
      <c r="N239" s="98"/>
      <c r="O239" s="98"/>
      <c r="P239" s="98"/>
      <c r="Q239" s="208">
        <v>104.96000000000006</v>
      </c>
      <c r="R239" s="98">
        <v>143.15999999999974</v>
      </c>
      <c r="S239" s="98">
        <v>142.82000000000002</v>
      </c>
      <c r="T239" s="98">
        <v>219.28000000000009</v>
      </c>
      <c r="U239" s="98">
        <v>104.96000000000006</v>
      </c>
      <c r="V239" s="98">
        <v>472.40000000000043</v>
      </c>
      <c r="W239" s="98">
        <v>546.19999999999914</v>
      </c>
      <c r="X239" s="98"/>
      <c r="Y239" s="98"/>
      <c r="Z239" s="98"/>
      <c r="AA239" s="230"/>
      <c r="AB239" s="230"/>
      <c r="AC239" s="230">
        <v>258.0199999999997</v>
      </c>
    </row>
    <row r="240" spans="2:29">
      <c r="B240" s="98">
        <v>270</v>
      </c>
      <c r="C240" s="98">
        <v>111.7</v>
      </c>
      <c r="D240" s="98">
        <v>606.70000000000005</v>
      </c>
      <c r="E240" s="98">
        <v>191.4</v>
      </c>
      <c r="F240" s="98">
        <v>200</v>
      </c>
      <c r="G240" s="98">
        <v>152.5</v>
      </c>
      <c r="H240" s="98">
        <v>111.9</v>
      </c>
      <c r="I240" s="98">
        <v>136.6</v>
      </c>
      <c r="J240" s="98">
        <v>194.8</v>
      </c>
      <c r="K240" s="209">
        <v>114.80000000000007</v>
      </c>
      <c r="L240" s="209">
        <v>123.80000000000007</v>
      </c>
      <c r="M240" s="209">
        <v>164.19999999999993</v>
      </c>
      <c r="N240" s="98"/>
      <c r="O240" s="98"/>
      <c r="P240" s="98"/>
      <c r="Q240" s="208">
        <v>104.80000000000007</v>
      </c>
      <c r="R240" s="98">
        <v>142.79999999999973</v>
      </c>
      <c r="S240" s="98">
        <v>142.60000000000002</v>
      </c>
      <c r="T240" s="98">
        <v>218.40000000000009</v>
      </c>
      <c r="U240" s="98">
        <v>104.80000000000007</v>
      </c>
      <c r="V240" s="98">
        <v>472.00000000000045</v>
      </c>
      <c r="W240" s="98">
        <v>545.99999999999909</v>
      </c>
      <c r="X240" s="98"/>
      <c r="Y240" s="98"/>
      <c r="Z240" s="98"/>
      <c r="AA240" s="230"/>
      <c r="AB240" s="230"/>
      <c r="AC240" s="230">
        <v>257.59999999999968</v>
      </c>
    </row>
    <row r="241" spans="2:29">
      <c r="B241" s="98">
        <v>271</v>
      </c>
      <c r="C241" s="98">
        <v>111.5</v>
      </c>
      <c r="D241" s="98">
        <v>606.29999999999995</v>
      </c>
      <c r="E241" s="98">
        <v>191.1</v>
      </c>
      <c r="F241" s="98">
        <v>199.8</v>
      </c>
      <c r="G241" s="98">
        <v>152.19999999999999</v>
      </c>
      <c r="H241" s="98">
        <v>111.8</v>
      </c>
      <c r="I241" s="98">
        <v>136.4</v>
      </c>
      <c r="J241" s="98">
        <v>194.6</v>
      </c>
      <c r="K241" s="208">
        <v>114.64000000000007</v>
      </c>
      <c r="L241" s="208">
        <v>123.64000000000007</v>
      </c>
      <c r="M241" s="208">
        <v>163.85999999999993</v>
      </c>
      <c r="N241" s="98"/>
      <c r="O241" s="98"/>
      <c r="P241" s="98"/>
      <c r="Q241" s="208">
        <v>104.64000000000007</v>
      </c>
      <c r="R241" s="98">
        <v>142.43999999999971</v>
      </c>
      <c r="S241" s="98">
        <v>142.38000000000002</v>
      </c>
      <c r="T241" s="98">
        <v>217.5200000000001</v>
      </c>
      <c r="U241" s="98">
        <v>104.64000000000007</v>
      </c>
      <c r="V241" s="98">
        <v>471.60000000000048</v>
      </c>
      <c r="W241" s="98">
        <v>545.79999999999905</v>
      </c>
      <c r="X241" s="98"/>
      <c r="Y241" s="98"/>
      <c r="Z241" s="98"/>
      <c r="AA241" s="230"/>
      <c r="AB241" s="230"/>
      <c r="AC241" s="230">
        <v>257.17999999999967</v>
      </c>
    </row>
    <row r="242" spans="2:29">
      <c r="B242" s="98">
        <v>272</v>
      </c>
      <c r="C242" s="98">
        <v>111.4</v>
      </c>
      <c r="D242" s="98">
        <v>606</v>
      </c>
      <c r="E242" s="98">
        <v>190.8</v>
      </c>
      <c r="F242" s="98">
        <v>199.6</v>
      </c>
      <c r="G242" s="98">
        <v>152</v>
      </c>
      <c r="H242" s="98">
        <v>111.7</v>
      </c>
      <c r="I242" s="98">
        <v>136.30000000000001</v>
      </c>
      <c r="J242" s="98">
        <v>194.5</v>
      </c>
      <c r="K242" s="209">
        <v>114.48000000000008</v>
      </c>
      <c r="L242" s="209">
        <v>123.48000000000008</v>
      </c>
      <c r="M242" s="209">
        <v>163.51999999999992</v>
      </c>
      <c r="N242" s="98"/>
      <c r="O242" s="98"/>
      <c r="P242" s="98"/>
      <c r="Q242" s="208">
        <v>104.48000000000008</v>
      </c>
      <c r="R242" s="98">
        <v>142.0799999999997</v>
      </c>
      <c r="S242" s="98">
        <v>142.16000000000003</v>
      </c>
      <c r="T242" s="98">
        <v>216.6400000000001</v>
      </c>
      <c r="U242" s="98">
        <v>104.48000000000008</v>
      </c>
      <c r="V242" s="98">
        <v>471.2000000000005</v>
      </c>
      <c r="W242" s="98">
        <v>545.599999999999</v>
      </c>
      <c r="X242" s="98"/>
      <c r="Y242" s="98"/>
      <c r="Z242" s="98"/>
      <c r="AA242" s="230"/>
      <c r="AB242" s="230"/>
      <c r="AC242" s="230">
        <v>256.75999999999965</v>
      </c>
    </row>
    <row r="243" spans="2:29">
      <c r="B243" s="98">
        <v>273</v>
      </c>
      <c r="C243" s="98">
        <v>111.3</v>
      </c>
      <c r="D243" s="98">
        <v>605.70000000000005</v>
      </c>
      <c r="E243" s="98">
        <v>190.6</v>
      </c>
      <c r="F243" s="98">
        <v>199.4</v>
      </c>
      <c r="G243" s="98">
        <v>151.80000000000001</v>
      </c>
      <c r="H243" s="98">
        <v>111.6</v>
      </c>
      <c r="I243" s="98">
        <v>136.1</v>
      </c>
      <c r="J243" s="98">
        <v>194.3</v>
      </c>
      <c r="K243" s="208">
        <v>114.32000000000008</v>
      </c>
      <c r="L243" s="208">
        <v>123.32000000000008</v>
      </c>
      <c r="M243" s="208">
        <v>163.17999999999992</v>
      </c>
      <c r="N243" s="98"/>
      <c r="O243" s="98"/>
      <c r="P243" s="98"/>
      <c r="Q243" s="208">
        <v>104.32000000000008</v>
      </c>
      <c r="R243" s="98">
        <v>141.71999999999969</v>
      </c>
      <c r="S243" s="98">
        <v>141.94000000000003</v>
      </c>
      <c r="T243" s="98">
        <v>215.7600000000001</v>
      </c>
      <c r="U243" s="98">
        <v>104.32000000000008</v>
      </c>
      <c r="V243" s="98">
        <v>470.80000000000052</v>
      </c>
      <c r="W243" s="98">
        <v>545.39999999999895</v>
      </c>
      <c r="X243" s="98"/>
      <c r="Y243" s="98"/>
      <c r="Z243" s="98"/>
      <c r="AA243" s="230"/>
      <c r="AB243" s="230"/>
      <c r="AC243" s="230">
        <v>256.33999999999963</v>
      </c>
    </row>
    <row r="244" spans="2:29">
      <c r="B244" s="98">
        <v>274</v>
      </c>
      <c r="C244" s="98">
        <v>111.1</v>
      </c>
      <c r="D244" s="98">
        <v>605.29999999999995</v>
      </c>
      <c r="E244" s="98">
        <v>190.3</v>
      </c>
      <c r="F244" s="98">
        <v>199.2</v>
      </c>
      <c r="G244" s="98">
        <v>151.5</v>
      </c>
      <c r="H244" s="98">
        <v>111.5</v>
      </c>
      <c r="I244" s="98">
        <v>136</v>
      </c>
      <c r="J244" s="98">
        <v>194.2</v>
      </c>
      <c r="K244" s="209">
        <v>114.16000000000008</v>
      </c>
      <c r="L244" s="209">
        <v>123.16000000000008</v>
      </c>
      <c r="M244" s="209">
        <v>162.83999999999992</v>
      </c>
      <c r="N244" s="98"/>
      <c r="O244" s="98"/>
      <c r="P244" s="98"/>
      <c r="Q244" s="208">
        <v>104.16000000000008</v>
      </c>
      <c r="R244" s="98">
        <v>141.35999999999967</v>
      </c>
      <c r="S244" s="98">
        <v>141.72000000000003</v>
      </c>
      <c r="T244" s="98">
        <v>214.88000000000011</v>
      </c>
      <c r="U244" s="98">
        <v>104.16000000000008</v>
      </c>
      <c r="V244" s="98">
        <v>470.40000000000055</v>
      </c>
      <c r="W244" s="98">
        <v>545.19999999999891</v>
      </c>
      <c r="X244" s="98"/>
      <c r="Y244" s="98"/>
      <c r="Z244" s="98"/>
      <c r="AA244" s="230"/>
      <c r="AB244" s="230"/>
      <c r="AC244" s="230">
        <v>255.91999999999965</v>
      </c>
    </row>
    <row r="245" spans="2:29">
      <c r="B245" s="98">
        <v>275</v>
      </c>
      <c r="C245" s="98">
        <v>111</v>
      </c>
      <c r="D245" s="98">
        <v>605</v>
      </c>
      <c r="E245" s="98">
        <v>190</v>
      </c>
      <c r="F245" s="98">
        <v>199</v>
      </c>
      <c r="G245" s="98">
        <v>151.19999999999999</v>
      </c>
      <c r="H245" s="98">
        <v>111.4</v>
      </c>
      <c r="I245" s="98">
        <v>135.9</v>
      </c>
      <c r="J245" s="98">
        <v>194</v>
      </c>
      <c r="K245" s="208">
        <v>114.00000000000009</v>
      </c>
      <c r="L245" s="208">
        <v>123.00000000000009</v>
      </c>
      <c r="M245" s="208">
        <v>162.49999999999991</v>
      </c>
      <c r="N245" s="98"/>
      <c r="O245" s="98"/>
      <c r="P245" s="98"/>
      <c r="Q245" s="208">
        <v>104.00000000000009</v>
      </c>
      <c r="R245" s="98">
        <v>140.99999999999966</v>
      </c>
      <c r="S245" s="98">
        <v>141.50000000000003</v>
      </c>
      <c r="T245" s="98">
        <v>214.00000000000011</v>
      </c>
      <c r="U245" s="98">
        <v>104.00000000000009</v>
      </c>
      <c r="V245" s="98">
        <v>470.00000000000057</v>
      </c>
      <c r="W245" s="98">
        <v>544.99999999999886</v>
      </c>
      <c r="X245" s="98"/>
      <c r="Y245" s="98"/>
      <c r="Z245" s="98"/>
      <c r="AA245" s="230"/>
      <c r="AB245" s="230"/>
      <c r="AC245" s="230">
        <v>255.49999999999966</v>
      </c>
    </row>
    <row r="246" spans="2:29">
      <c r="B246" s="98">
        <v>276</v>
      </c>
      <c r="C246" s="98">
        <v>110.9</v>
      </c>
      <c r="D246" s="98">
        <v>604.6</v>
      </c>
      <c r="E246" s="98">
        <v>189.7</v>
      </c>
      <c r="F246" s="98">
        <v>198.8</v>
      </c>
      <c r="G246" s="98">
        <v>151</v>
      </c>
      <c r="H246" s="98">
        <v>111.3</v>
      </c>
      <c r="I246" s="98">
        <v>135.69999999999999</v>
      </c>
      <c r="J246" s="98">
        <v>193.8</v>
      </c>
      <c r="K246" s="209">
        <v>113.84000000000009</v>
      </c>
      <c r="L246" s="209">
        <v>122.84000000000009</v>
      </c>
      <c r="M246" s="209">
        <v>162.15999999999991</v>
      </c>
      <c r="N246" s="98"/>
      <c r="O246" s="98"/>
      <c r="P246" s="98"/>
      <c r="Q246" s="208">
        <v>103.84000000000009</v>
      </c>
      <c r="R246" s="98">
        <v>140.63999999999965</v>
      </c>
      <c r="S246" s="98">
        <v>141.28000000000003</v>
      </c>
      <c r="T246" s="98">
        <v>213.12000000000012</v>
      </c>
      <c r="U246" s="98">
        <v>103.84000000000009</v>
      </c>
      <c r="V246" s="98">
        <v>469.60000000000059</v>
      </c>
      <c r="W246" s="98">
        <v>544.79999999999882</v>
      </c>
      <c r="X246" s="98"/>
      <c r="Y246" s="98"/>
      <c r="Z246" s="98"/>
      <c r="AA246" s="230"/>
      <c r="AB246" s="230"/>
      <c r="AC246" s="230">
        <v>255.07999999999967</v>
      </c>
    </row>
    <row r="247" spans="2:29">
      <c r="B247" s="98">
        <v>277</v>
      </c>
      <c r="C247" s="98">
        <v>110.8</v>
      </c>
      <c r="D247" s="98">
        <v>604.20000000000005</v>
      </c>
      <c r="E247" s="98">
        <v>189.4</v>
      </c>
      <c r="F247" s="98">
        <v>198.6</v>
      </c>
      <c r="G247" s="98">
        <v>150.80000000000001</v>
      </c>
      <c r="H247" s="98">
        <v>111.2</v>
      </c>
      <c r="I247" s="98">
        <v>135.6</v>
      </c>
      <c r="J247" s="98">
        <v>193.5</v>
      </c>
      <c r="K247" s="208">
        <v>113.68000000000009</v>
      </c>
      <c r="L247" s="208">
        <v>122.68000000000009</v>
      </c>
      <c r="M247" s="208">
        <v>161.81999999999991</v>
      </c>
      <c r="N247" s="98"/>
      <c r="O247" s="98"/>
      <c r="P247" s="98"/>
      <c r="Q247" s="208">
        <v>103.68000000000009</v>
      </c>
      <c r="R247" s="98">
        <v>140.27999999999963</v>
      </c>
      <c r="S247" s="98">
        <v>141.06000000000003</v>
      </c>
      <c r="T247" s="98">
        <v>212.24000000000012</v>
      </c>
      <c r="U247" s="98">
        <v>103.68000000000009</v>
      </c>
      <c r="V247" s="98">
        <v>469.20000000000061</v>
      </c>
      <c r="W247" s="98">
        <v>544.59999999999877</v>
      </c>
      <c r="X247" s="98"/>
      <c r="Y247" s="98"/>
      <c r="Z247" s="98"/>
      <c r="AA247" s="230"/>
      <c r="AB247" s="230"/>
      <c r="AC247" s="230">
        <v>254.65999999999968</v>
      </c>
    </row>
    <row r="248" spans="2:29">
      <c r="B248" s="98">
        <v>278</v>
      </c>
      <c r="C248" s="98">
        <v>110.6</v>
      </c>
      <c r="D248" s="98">
        <v>603.79999999999995</v>
      </c>
      <c r="E248" s="98">
        <v>189.2</v>
      </c>
      <c r="F248" s="98">
        <v>198.4</v>
      </c>
      <c r="G248" s="98">
        <v>150.5</v>
      </c>
      <c r="H248" s="98">
        <v>111.1</v>
      </c>
      <c r="I248" s="98">
        <v>135.4</v>
      </c>
      <c r="J248" s="98">
        <v>193.3</v>
      </c>
      <c r="K248" s="209">
        <v>113.5200000000001</v>
      </c>
      <c r="L248" s="209">
        <v>122.5200000000001</v>
      </c>
      <c r="M248" s="209">
        <v>161.4799999999999</v>
      </c>
      <c r="N248" s="98"/>
      <c r="O248" s="98"/>
      <c r="P248" s="98"/>
      <c r="Q248" s="208">
        <v>103.5200000000001</v>
      </c>
      <c r="R248" s="98">
        <v>139.91999999999962</v>
      </c>
      <c r="S248" s="98">
        <v>140.84000000000003</v>
      </c>
      <c r="T248" s="98">
        <v>211.36000000000013</v>
      </c>
      <c r="U248" s="98">
        <v>103.5200000000001</v>
      </c>
      <c r="V248" s="98">
        <v>468.80000000000064</v>
      </c>
      <c r="W248" s="98">
        <v>544.39999999999873</v>
      </c>
      <c r="X248" s="98"/>
      <c r="Y248" s="98"/>
      <c r="Z248" s="98"/>
      <c r="AA248" s="230"/>
      <c r="AB248" s="230"/>
      <c r="AC248" s="230">
        <v>254.2399999999997</v>
      </c>
    </row>
    <row r="249" spans="2:29">
      <c r="B249" s="98">
        <v>279</v>
      </c>
      <c r="C249" s="98">
        <v>110.5</v>
      </c>
      <c r="D249" s="98">
        <v>603.4</v>
      </c>
      <c r="E249" s="98">
        <v>188.9</v>
      </c>
      <c r="F249" s="98">
        <v>198.2</v>
      </c>
      <c r="G249" s="98">
        <v>150.19999999999999</v>
      </c>
      <c r="H249" s="98">
        <v>111</v>
      </c>
      <c r="I249" s="98">
        <v>135.30000000000001</v>
      </c>
      <c r="J249" s="98">
        <v>193</v>
      </c>
      <c r="K249" s="208">
        <v>113.3600000000001</v>
      </c>
      <c r="L249" s="208">
        <v>122.3600000000001</v>
      </c>
      <c r="M249" s="208">
        <v>161.1399999999999</v>
      </c>
      <c r="N249" s="98"/>
      <c r="O249" s="98"/>
      <c r="P249" s="98"/>
      <c r="Q249" s="208">
        <v>103.3600000000001</v>
      </c>
      <c r="R249" s="98">
        <v>139.5599999999996</v>
      </c>
      <c r="S249" s="98">
        <v>140.62000000000003</v>
      </c>
      <c r="T249" s="98">
        <v>210.48000000000013</v>
      </c>
      <c r="U249" s="98">
        <v>103.3600000000001</v>
      </c>
      <c r="V249" s="98">
        <v>468.40000000000066</v>
      </c>
      <c r="W249" s="98">
        <v>544.19999999999868</v>
      </c>
      <c r="X249" s="98"/>
      <c r="Y249" s="98"/>
      <c r="Z249" s="98"/>
      <c r="AA249" s="230"/>
      <c r="AB249" s="230"/>
      <c r="AC249" s="230">
        <v>253.81999999999971</v>
      </c>
    </row>
    <row r="250" spans="2:29">
      <c r="B250" s="98">
        <v>280</v>
      </c>
      <c r="C250" s="98">
        <v>110.4</v>
      </c>
      <c r="D250" s="98">
        <v>603</v>
      </c>
      <c r="E250" s="98">
        <v>188.6</v>
      </c>
      <c r="F250" s="98">
        <v>198</v>
      </c>
      <c r="G250" s="98">
        <v>150</v>
      </c>
      <c r="H250" s="98">
        <v>110.9</v>
      </c>
      <c r="I250" s="98">
        <v>135.1</v>
      </c>
      <c r="J250" s="98">
        <v>192.8</v>
      </c>
      <c r="K250" s="209">
        <v>113.2000000000001</v>
      </c>
      <c r="L250" s="209">
        <v>122.2000000000001</v>
      </c>
      <c r="M250" s="209">
        <v>160.7999999999999</v>
      </c>
      <c r="N250" s="98"/>
      <c r="O250" s="98"/>
      <c r="P250" s="98"/>
      <c r="Q250" s="208">
        <v>103.2000000000001</v>
      </c>
      <c r="R250" s="98">
        <v>139.19999999999959</v>
      </c>
      <c r="S250" s="98">
        <v>140.40000000000003</v>
      </c>
      <c r="T250" s="98">
        <v>209.60000000000014</v>
      </c>
      <c r="U250" s="98">
        <v>103.2000000000001</v>
      </c>
      <c r="V250" s="98">
        <v>468.00000000000068</v>
      </c>
      <c r="W250" s="98">
        <v>543.99999999999864</v>
      </c>
      <c r="X250" s="98"/>
      <c r="Y250" s="98"/>
      <c r="Z250" s="98"/>
      <c r="AA250" s="230"/>
      <c r="AB250" s="230"/>
      <c r="AC250" s="230">
        <v>253.39999999999972</v>
      </c>
    </row>
    <row r="251" spans="2:29">
      <c r="B251" s="98">
        <v>281</v>
      </c>
      <c r="C251" s="98">
        <v>110.3</v>
      </c>
      <c r="D251" s="98">
        <v>602.6</v>
      </c>
      <c r="E251" s="98">
        <v>188.3</v>
      </c>
      <c r="F251" s="98">
        <v>197.8</v>
      </c>
      <c r="G251" s="98">
        <v>149.80000000000001</v>
      </c>
      <c r="H251" s="98">
        <v>110.8</v>
      </c>
      <c r="I251" s="98">
        <v>135</v>
      </c>
      <c r="J251" s="98">
        <v>192.6</v>
      </c>
      <c r="K251" s="208">
        <v>113.04000000000011</v>
      </c>
      <c r="L251" s="208">
        <v>122.04000000000011</v>
      </c>
      <c r="M251" s="208">
        <v>160.45999999999989</v>
      </c>
      <c r="N251" s="98"/>
      <c r="O251" s="98"/>
      <c r="P251" s="98"/>
      <c r="Q251" s="208">
        <v>103.04000000000011</v>
      </c>
      <c r="R251" s="98">
        <v>138.83999999999958</v>
      </c>
      <c r="S251" s="98">
        <v>140.18000000000004</v>
      </c>
      <c r="T251" s="98">
        <v>208.72000000000014</v>
      </c>
      <c r="U251" s="98">
        <v>103.04000000000011</v>
      </c>
      <c r="V251" s="98">
        <v>467.6000000000007</v>
      </c>
      <c r="W251" s="98">
        <v>543.79999999999859</v>
      </c>
      <c r="X251" s="98"/>
      <c r="Y251" s="98"/>
      <c r="Z251" s="98"/>
      <c r="AA251" s="230"/>
      <c r="AB251" s="230"/>
      <c r="AC251" s="230">
        <v>252.97999999999973</v>
      </c>
    </row>
    <row r="252" spans="2:29">
      <c r="B252" s="98">
        <v>282</v>
      </c>
      <c r="C252" s="98">
        <v>110.2</v>
      </c>
      <c r="D252" s="98">
        <v>602.20000000000005</v>
      </c>
      <c r="E252" s="98">
        <v>188</v>
      </c>
      <c r="F252" s="98">
        <v>197.6</v>
      </c>
      <c r="G252" s="98">
        <v>149.5</v>
      </c>
      <c r="H252" s="98">
        <v>110.6</v>
      </c>
      <c r="I252" s="98">
        <v>134.9</v>
      </c>
      <c r="J252" s="98">
        <v>192.3</v>
      </c>
      <c r="K252" s="209">
        <v>112.88000000000011</v>
      </c>
      <c r="L252" s="209">
        <v>121.88000000000011</v>
      </c>
      <c r="M252" s="209">
        <v>160.11999999999989</v>
      </c>
      <c r="N252" s="98"/>
      <c r="O252" s="98"/>
      <c r="P252" s="98"/>
      <c r="Q252" s="208">
        <v>102.88000000000011</v>
      </c>
      <c r="R252" s="98">
        <v>138.47999999999956</v>
      </c>
      <c r="S252" s="98">
        <v>139.96000000000004</v>
      </c>
      <c r="T252" s="98">
        <v>207.84000000000015</v>
      </c>
      <c r="U252" s="98">
        <v>102.88000000000011</v>
      </c>
      <c r="V252" s="98">
        <v>467.20000000000073</v>
      </c>
      <c r="W252" s="98">
        <v>543.59999999999854</v>
      </c>
      <c r="X252" s="98"/>
      <c r="Y252" s="98"/>
      <c r="Z252" s="98"/>
      <c r="AA252" s="230"/>
      <c r="AB252" s="230"/>
      <c r="AC252" s="230">
        <v>252.55999999999975</v>
      </c>
    </row>
    <row r="253" spans="2:29">
      <c r="B253" s="98">
        <v>283</v>
      </c>
      <c r="C253" s="98">
        <v>110</v>
      </c>
      <c r="D253" s="98">
        <v>601.79999999999995</v>
      </c>
      <c r="E253" s="98">
        <v>187.8</v>
      </c>
      <c r="F253" s="98">
        <v>197.4</v>
      </c>
      <c r="G253" s="98">
        <v>149.19999999999999</v>
      </c>
      <c r="H253" s="98">
        <v>110.5</v>
      </c>
      <c r="I253" s="98">
        <v>134.69999999999999</v>
      </c>
      <c r="J253" s="98">
        <v>192.1</v>
      </c>
      <c r="K253" s="208">
        <v>112.72000000000011</v>
      </c>
      <c r="L253" s="208">
        <v>121.72000000000011</v>
      </c>
      <c r="M253" s="208">
        <v>159.77999999999989</v>
      </c>
      <c r="N253" s="98"/>
      <c r="O253" s="98"/>
      <c r="P253" s="98"/>
      <c r="Q253" s="208">
        <v>102.72000000000011</v>
      </c>
      <c r="R253" s="98">
        <v>138.11999999999955</v>
      </c>
      <c r="S253" s="98">
        <v>139.74000000000004</v>
      </c>
      <c r="T253" s="98">
        <v>206.96000000000015</v>
      </c>
      <c r="U253" s="98">
        <v>102.72000000000011</v>
      </c>
      <c r="V253" s="98">
        <v>466.80000000000075</v>
      </c>
      <c r="W253" s="98">
        <v>543.3999999999985</v>
      </c>
      <c r="X253" s="98"/>
      <c r="Y253" s="98"/>
      <c r="Z253" s="98"/>
      <c r="AA253" s="230"/>
      <c r="AB253" s="230"/>
      <c r="AC253" s="230">
        <v>252.13999999999976</v>
      </c>
    </row>
    <row r="254" spans="2:29">
      <c r="B254" s="98">
        <v>284</v>
      </c>
      <c r="C254" s="98">
        <v>109.9</v>
      </c>
      <c r="D254" s="98">
        <v>601.4</v>
      </c>
      <c r="E254" s="98">
        <v>187.5</v>
      </c>
      <c r="F254" s="98">
        <v>197.2</v>
      </c>
      <c r="G254" s="98">
        <v>149</v>
      </c>
      <c r="H254" s="98">
        <v>110.4</v>
      </c>
      <c r="I254" s="98">
        <v>134.6</v>
      </c>
      <c r="J254" s="98">
        <v>191.8</v>
      </c>
      <c r="K254" s="209">
        <v>112.56000000000012</v>
      </c>
      <c r="L254" s="209">
        <v>121.56000000000012</v>
      </c>
      <c r="M254" s="209">
        <v>159.43999999999988</v>
      </c>
      <c r="N254" s="98"/>
      <c r="O254" s="98"/>
      <c r="P254" s="98"/>
      <c r="Q254" s="208">
        <v>102.56000000000012</v>
      </c>
      <c r="R254" s="98">
        <v>137.75999999999954</v>
      </c>
      <c r="S254" s="98">
        <v>139.52000000000004</v>
      </c>
      <c r="T254" s="98">
        <v>206.08000000000015</v>
      </c>
      <c r="U254" s="98">
        <v>102.56000000000012</v>
      </c>
      <c r="V254" s="98">
        <v>466.40000000000077</v>
      </c>
      <c r="W254" s="98">
        <v>543.19999999999845</v>
      </c>
      <c r="X254" s="98"/>
      <c r="Y254" s="98"/>
      <c r="Z254" s="98"/>
      <c r="AA254" s="230"/>
      <c r="AB254" s="230"/>
      <c r="AC254" s="230">
        <v>251.71999999999977</v>
      </c>
    </row>
    <row r="255" spans="2:29">
      <c r="B255" s="98">
        <v>285</v>
      </c>
      <c r="C255" s="98">
        <v>109.8</v>
      </c>
      <c r="D255" s="98">
        <v>601</v>
      </c>
      <c r="E255" s="98">
        <v>187.2</v>
      </c>
      <c r="F255" s="98">
        <v>197</v>
      </c>
      <c r="G255" s="98">
        <v>148.80000000000001</v>
      </c>
      <c r="H255" s="98">
        <v>110.3</v>
      </c>
      <c r="I255" s="98">
        <v>134.4</v>
      </c>
      <c r="J255" s="98">
        <v>191.6</v>
      </c>
      <c r="K255" s="208">
        <v>112.40000000000012</v>
      </c>
      <c r="L255" s="208">
        <v>121.40000000000012</v>
      </c>
      <c r="M255" s="208">
        <v>159.09999999999988</v>
      </c>
      <c r="N255" s="98"/>
      <c r="O255" s="98"/>
      <c r="P255" s="98"/>
      <c r="Q255" s="208">
        <v>102.40000000000012</v>
      </c>
      <c r="R255" s="98">
        <v>137.39999999999952</v>
      </c>
      <c r="S255" s="98">
        <v>139.30000000000004</v>
      </c>
      <c r="T255" s="98">
        <v>205.20000000000016</v>
      </c>
      <c r="U255" s="98">
        <v>102.40000000000012</v>
      </c>
      <c r="V255" s="98">
        <v>466.0000000000008</v>
      </c>
      <c r="W255" s="98">
        <v>542.99999999999841</v>
      </c>
      <c r="X255" s="98"/>
      <c r="Y255" s="98"/>
      <c r="Z255" s="98"/>
      <c r="AA255" s="230"/>
      <c r="AB255" s="230"/>
      <c r="AC255" s="230">
        <v>251.29999999999978</v>
      </c>
    </row>
    <row r="256" spans="2:29">
      <c r="B256" s="98">
        <v>286</v>
      </c>
      <c r="C256" s="98">
        <v>109.7</v>
      </c>
      <c r="D256" s="98">
        <v>600.6</v>
      </c>
      <c r="E256" s="98">
        <v>186.9</v>
      </c>
      <c r="F256" s="98">
        <v>196.8</v>
      </c>
      <c r="G256" s="98">
        <v>148.5</v>
      </c>
      <c r="H256" s="98">
        <v>110.2</v>
      </c>
      <c r="I256" s="98">
        <v>134.30000000000001</v>
      </c>
      <c r="J256" s="98">
        <v>191.4</v>
      </c>
      <c r="K256" s="209">
        <v>112.24000000000012</v>
      </c>
      <c r="L256" s="209">
        <v>121.24000000000012</v>
      </c>
      <c r="M256" s="209">
        <v>158.75999999999988</v>
      </c>
      <c r="N256" s="98"/>
      <c r="O256" s="98"/>
      <c r="P256" s="98"/>
      <c r="Q256" s="208">
        <v>102.24000000000012</v>
      </c>
      <c r="R256" s="98">
        <v>137.03999999999951</v>
      </c>
      <c r="S256" s="98">
        <v>139.08000000000004</v>
      </c>
      <c r="T256" s="98">
        <v>204.32000000000016</v>
      </c>
      <c r="U256" s="98">
        <v>102.24000000000012</v>
      </c>
      <c r="V256" s="98">
        <v>465.60000000000082</v>
      </c>
      <c r="W256" s="98">
        <v>542.79999999999836</v>
      </c>
      <c r="X256" s="98"/>
      <c r="Y256" s="98"/>
      <c r="Z256" s="98"/>
      <c r="AA256" s="230"/>
      <c r="AB256" s="230"/>
      <c r="AC256" s="230">
        <v>250.8799999999998</v>
      </c>
    </row>
    <row r="257" spans="2:29">
      <c r="B257" s="98">
        <v>287</v>
      </c>
      <c r="C257" s="98">
        <v>109.6</v>
      </c>
      <c r="D257" s="98">
        <v>600.20000000000005</v>
      </c>
      <c r="E257" s="98">
        <v>186.6</v>
      </c>
      <c r="F257" s="98">
        <v>196.6</v>
      </c>
      <c r="G257" s="98">
        <v>148.19999999999999</v>
      </c>
      <c r="H257" s="98">
        <v>110.1</v>
      </c>
      <c r="I257" s="98">
        <v>134.1</v>
      </c>
      <c r="J257" s="98">
        <v>191.1</v>
      </c>
      <c r="K257" s="208">
        <v>112.08000000000013</v>
      </c>
      <c r="L257" s="208">
        <v>121.08000000000013</v>
      </c>
      <c r="M257" s="208">
        <v>158.41999999999987</v>
      </c>
      <c r="N257" s="98"/>
      <c r="O257" s="98"/>
      <c r="P257" s="98"/>
      <c r="Q257" s="208">
        <v>102.08000000000013</v>
      </c>
      <c r="R257" s="98">
        <v>136.6799999999995</v>
      </c>
      <c r="S257" s="98">
        <v>138.86000000000004</v>
      </c>
      <c r="T257" s="98">
        <v>203.44000000000017</v>
      </c>
      <c r="U257" s="98">
        <v>102.08000000000013</v>
      </c>
      <c r="V257" s="98">
        <v>465.20000000000084</v>
      </c>
      <c r="W257" s="98">
        <v>542.59999999999832</v>
      </c>
      <c r="X257" s="98"/>
      <c r="Y257" s="98"/>
      <c r="Z257" s="98"/>
      <c r="AA257" s="230"/>
      <c r="AB257" s="230"/>
      <c r="AC257" s="230">
        <v>250.45999999999981</v>
      </c>
    </row>
    <row r="258" spans="2:29">
      <c r="B258" s="98">
        <v>288</v>
      </c>
      <c r="C258" s="98">
        <v>109.4</v>
      </c>
      <c r="D258" s="98">
        <v>599.79999999999995</v>
      </c>
      <c r="E258" s="98">
        <v>186.4</v>
      </c>
      <c r="F258" s="98">
        <v>196.4</v>
      </c>
      <c r="G258" s="98">
        <v>148</v>
      </c>
      <c r="H258" s="98">
        <v>110</v>
      </c>
      <c r="I258" s="98">
        <v>134</v>
      </c>
      <c r="J258" s="98">
        <v>190.9</v>
      </c>
      <c r="K258" s="209">
        <v>111.92000000000013</v>
      </c>
      <c r="L258" s="209">
        <v>120.92000000000013</v>
      </c>
      <c r="M258" s="209">
        <v>158.07999999999987</v>
      </c>
      <c r="N258" s="98"/>
      <c r="O258" s="98"/>
      <c r="P258" s="98"/>
      <c r="Q258" s="208">
        <v>101.92000000000013</v>
      </c>
      <c r="R258" s="98">
        <v>136.31999999999948</v>
      </c>
      <c r="S258" s="98">
        <v>138.64000000000004</v>
      </c>
      <c r="T258" s="98">
        <v>202.56000000000017</v>
      </c>
      <c r="U258" s="98">
        <v>101.92000000000013</v>
      </c>
      <c r="V258" s="98">
        <v>464.80000000000086</v>
      </c>
      <c r="W258" s="98">
        <v>542.39999999999827</v>
      </c>
      <c r="X258" s="98"/>
      <c r="Y258" s="98"/>
      <c r="Z258" s="98"/>
      <c r="AA258" s="230"/>
      <c r="AB258" s="230"/>
      <c r="AC258" s="230">
        <v>250.03999999999982</v>
      </c>
    </row>
    <row r="259" spans="2:29">
      <c r="B259" s="98">
        <v>289</v>
      </c>
      <c r="C259" s="98">
        <v>109.3</v>
      </c>
      <c r="D259" s="98">
        <v>599.4</v>
      </c>
      <c r="E259" s="98">
        <v>186.1</v>
      </c>
      <c r="F259" s="98">
        <v>196.2</v>
      </c>
      <c r="G259" s="98">
        <v>147.80000000000001</v>
      </c>
      <c r="H259" s="98">
        <v>109.9</v>
      </c>
      <c r="I259" s="98">
        <v>133.9</v>
      </c>
      <c r="J259" s="98">
        <v>190.6</v>
      </c>
      <c r="K259" s="208">
        <v>111.76000000000013</v>
      </c>
      <c r="L259" s="208">
        <v>120.76000000000013</v>
      </c>
      <c r="M259" s="208">
        <v>157.73999999999987</v>
      </c>
      <c r="N259" s="98"/>
      <c r="O259" s="98"/>
      <c r="P259" s="98"/>
      <c r="Q259" s="208">
        <v>101.76000000000013</v>
      </c>
      <c r="R259" s="98">
        <v>135.95999999999947</v>
      </c>
      <c r="S259" s="98">
        <v>138.42000000000004</v>
      </c>
      <c r="T259" s="98">
        <v>201.68000000000018</v>
      </c>
      <c r="U259" s="98">
        <v>101.76000000000013</v>
      </c>
      <c r="V259" s="98">
        <v>464.40000000000089</v>
      </c>
      <c r="W259" s="98">
        <v>542.19999999999823</v>
      </c>
      <c r="X259" s="98"/>
      <c r="Y259" s="98"/>
      <c r="Z259" s="98"/>
      <c r="AA259" s="230"/>
      <c r="AB259" s="230"/>
      <c r="AC259" s="230">
        <v>249.61999999999983</v>
      </c>
    </row>
    <row r="260" spans="2:29">
      <c r="B260" s="98">
        <v>290</v>
      </c>
      <c r="C260" s="98">
        <v>109.2</v>
      </c>
      <c r="D260" s="98">
        <v>599</v>
      </c>
      <c r="E260" s="98">
        <v>185.8</v>
      </c>
      <c r="F260" s="98">
        <v>196</v>
      </c>
      <c r="G260" s="98">
        <v>147.5</v>
      </c>
      <c r="H260" s="98">
        <v>109.8</v>
      </c>
      <c r="I260" s="98">
        <v>133.69999999999999</v>
      </c>
      <c r="J260" s="98">
        <v>190.4</v>
      </c>
      <c r="K260" s="209">
        <v>111.60000000000014</v>
      </c>
      <c r="L260" s="209">
        <v>120.60000000000014</v>
      </c>
      <c r="M260" s="209">
        <v>157.39999999999986</v>
      </c>
      <c r="N260" s="98"/>
      <c r="O260" s="98"/>
      <c r="P260" s="98"/>
      <c r="Q260" s="208">
        <v>101.60000000000014</v>
      </c>
      <c r="R260" s="98">
        <v>135.59999999999945</v>
      </c>
      <c r="S260" s="98">
        <v>138.20000000000005</v>
      </c>
      <c r="T260" s="98">
        <v>200.80000000000018</v>
      </c>
      <c r="U260" s="98">
        <v>101.60000000000014</v>
      </c>
      <c r="V260" s="98">
        <v>464.00000000000091</v>
      </c>
      <c r="W260" s="98">
        <v>541.99999999999818</v>
      </c>
      <c r="X260" s="98"/>
      <c r="Y260" s="98"/>
      <c r="Z260" s="98"/>
      <c r="AA260" s="230"/>
      <c r="AB260" s="230"/>
      <c r="AC260" s="230">
        <v>249.19999999999985</v>
      </c>
    </row>
    <row r="261" spans="2:29">
      <c r="B261" s="98">
        <v>291</v>
      </c>
      <c r="C261" s="98">
        <v>109.1</v>
      </c>
      <c r="D261" s="98">
        <v>598.6</v>
      </c>
      <c r="E261" s="98">
        <v>185.5</v>
      </c>
      <c r="F261" s="98">
        <v>195.8</v>
      </c>
      <c r="G261" s="98">
        <v>147.19999999999999</v>
      </c>
      <c r="H261" s="98">
        <v>109.7</v>
      </c>
      <c r="I261" s="98">
        <v>133.6</v>
      </c>
      <c r="J261" s="98">
        <v>190.2</v>
      </c>
      <c r="K261" s="208">
        <v>111.44000000000014</v>
      </c>
      <c r="L261" s="208">
        <v>120.44000000000014</v>
      </c>
      <c r="M261" s="208">
        <v>157.05999999999986</v>
      </c>
      <c r="N261" s="98"/>
      <c r="O261" s="98"/>
      <c r="P261" s="98"/>
      <c r="Q261" s="208">
        <v>101.44000000000014</v>
      </c>
      <c r="R261" s="98">
        <v>135.23999999999944</v>
      </c>
      <c r="S261" s="98">
        <v>137.98000000000005</v>
      </c>
      <c r="T261" s="98">
        <v>199.92000000000019</v>
      </c>
      <c r="U261" s="98">
        <v>101.44000000000014</v>
      </c>
      <c r="V261" s="98">
        <v>463.60000000000093</v>
      </c>
      <c r="W261" s="98">
        <v>541.79999999999814</v>
      </c>
      <c r="X261" s="98"/>
      <c r="Y261" s="98"/>
      <c r="Z261" s="98"/>
      <c r="AA261" s="230"/>
      <c r="AB261" s="230"/>
      <c r="AC261" s="230">
        <v>248.77999999999986</v>
      </c>
    </row>
    <row r="262" spans="2:29">
      <c r="B262" s="98">
        <v>292</v>
      </c>
      <c r="C262" s="98">
        <v>109</v>
      </c>
      <c r="D262" s="98">
        <v>598.20000000000005</v>
      </c>
      <c r="E262" s="98">
        <v>185.2</v>
      </c>
      <c r="F262" s="98">
        <v>195.6</v>
      </c>
      <c r="G262" s="98">
        <v>147</v>
      </c>
      <c r="H262" s="98">
        <v>109.6</v>
      </c>
      <c r="I262" s="98">
        <v>133.4</v>
      </c>
      <c r="J262" s="98">
        <v>189.9</v>
      </c>
      <c r="K262" s="209">
        <v>111.28000000000014</v>
      </c>
      <c r="L262" s="209">
        <v>120.28000000000014</v>
      </c>
      <c r="M262" s="209">
        <v>156.71999999999986</v>
      </c>
      <c r="N262" s="98"/>
      <c r="O262" s="98"/>
      <c r="P262" s="98"/>
      <c r="Q262" s="208">
        <v>101.28000000000014</v>
      </c>
      <c r="R262" s="98">
        <v>134.87999999999943</v>
      </c>
      <c r="S262" s="98">
        <v>137.76000000000005</v>
      </c>
      <c r="T262" s="98">
        <v>199.04000000000019</v>
      </c>
      <c r="U262" s="98">
        <v>101.28000000000014</v>
      </c>
      <c r="V262" s="98">
        <v>463.20000000000095</v>
      </c>
      <c r="W262" s="98">
        <v>541.59999999999809</v>
      </c>
      <c r="X262" s="98"/>
      <c r="Y262" s="98"/>
      <c r="Z262" s="98"/>
      <c r="AA262" s="230"/>
      <c r="AB262" s="230"/>
      <c r="AC262" s="230">
        <v>248.35999999999987</v>
      </c>
    </row>
    <row r="263" spans="2:29">
      <c r="B263" s="98">
        <v>293</v>
      </c>
      <c r="C263" s="98">
        <v>108.8</v>
      </c>
      <c r="D263" s="98">
        <v>597.79999999999995</v>
      </c>
      <c r="E263" s="98">
        <v>185</v>
      </c>
      <c r="F263" s="98">
        <v>195.4</v>
      </c>
      <c r="G263" s="98">
        <v>146.80000000000001</v>
      </c>
      <c r="H263" s="98">
        <v>109.5</v>
      </c>
      <c r="I263" s="98">
        <v>133.30000000000001</v>
      </c>
      <c r="J263" s="98">
        <v>189.7</v>
      </c>
      <c r="K263" s="208">
        <v>111.12000000000015</v>
      </c>
      <c r="L263" s="208">
        <v>120.12000000000015</v>
      </c>
      <c r="M263" s="208">
        <v>156.37999999999985</v>
      </c>
      <c r="N263" s="98"/>
      <c r="O263" s="98"/>
      <c r="P263" s="98"/>
      <c r="Q263" s="208">
        <v>101.12000000000015</v>
      </c>
      <c r="R263" s="98">
        <v>134.51999999999941</v>
      </c>
      <c r="S263" s="98">
        <v>137.54000000000005</v>
      </c>
      <c r="T263" s="98">
        <v>198.1600000000002</v>
      </c>
      <c r="U263" s="98">
        <v>101.12000000000015</v>
      </c>
      <c r="V263" s="98">
        <v>462.80000000000098</v>
      </c>
      <c r="W263" s="98">
        <v>541.39999999999804</v>
      </c>
      <c r="X263" s="98"/>
      <c r="Y263" s="98"/>
      <c r="Z263" s="98"/>
      <c r="AA263" s="230"/>
      <c r="AB263" s="230"/>
      <c r="AC263" s="230">
        <v>247.93999999999988</v>
      </c>
    </row>
    <row r="264" spans="2:29">
      <c r="B264" s="98">
        <v>294</v>
      </c>
      <c r="C264" s="98">
        <v>108.7</v>
      </c>
      <c r="D264" s="98">
        <v>597.4</v>
      </c>
      <c r="E264" s="98">
        <v>184.7</v>
      </c>
      <c r="F264" s="98">
        <v>195.2</v>
      </c>
      <c r="G264" s="98">
        <v>146.5</v>
      </c>
      <c r="H264" s="98">
        <v>109.4</v>
      </c>
      <c r="I264" s="98">
        <v>133.1</v>
      </c>
      <c r="J264" s="98">
        <v>189.4</v>
      </c>
      <c r="K264" s="209">
        <v>110.96000000000015</v>
      </c>
      <c r="L264" s="209">
        <v>119.96000000000015</v>
      </c>
      <c r="M264" s="209">
        <v>156.03999999999985</v>
      </c>
      <c r="N264" s="98"/>
      <c r="O264" s="98"/>
      <c r="P264" s="98"/>
      <c r="Q264" s="208">
        <v>100.96000000000015</v>
      </c>
      <c r="R264" s="98">
        <v>134.1599999999994</v>
      </c>
      <c r="S264" s="98">
        <v>137.32000000000005</v>
      </c>
      <c r="T264" s="98">
        <v>197.2800000000002</v>
      </c>
      <c r="U264" s="98">
        <v>100.96000000000015</v>
      </c>
      <c r="V264" s="98">
        <v>462.400000000001</v>
      </c>
      <c r="W264" s="98">
        <v>541.199999999998</v>
      </c>
      <c r="X264" s="98"/>
      <c r="Y264" s="98"/>
      <c r="Z264" s="98"/>
      <c r="AA264" s="230"/>
      <c r="AB264" s="230"/>
      <c r="AC264" s="230">
        <v>247.5199999999999</v>
      </c>
    </row>
    <row r="265" spans="2:29">
      <c r="B265" s="98">
        <v>295</v>
      </c>
      <c r="C265" s="98">
        <v>108.6</v>
      </c>
      <c r="D265" s="98">
        <v>597</v>
      </c>
      <c r="E265" s="98">
        <v>184.4</v>
      </c>
      <c r="F265" s="98">
        <v>195</v>
      </c>
      <c r="G265" s="98">
        <v>146.19999999999999</v>
      </c>
      <c r="H265" s="98">
        <v>109.2</v>
      </c>
      <c r="I265" s="98">
        <v>133</v>
      </c>
      <c r="J265" s="98">
        <v>189.2</v>
      </c>
      <c r="K265" s="208">
        <v>110.80000000000015</v>
      </c>
      <c r="L265" s="208">
        <v>119.80000000000015</v>
      </c>
      <c r="M265" s="208">
        <v>155.69999999999985</v>
      </c>
      <c r="N265" s="98"/>
      <c r="O265" s="98"/>
      <c r="P265" s="98"/>
      <c r="Q265" s="208">
        <v>100.80000000000015</v>
      </c>
      <c r="R265" s="98">
        <v>133.79999999999939</v>
      </c>
      <c r="S265" s="98">
        <v>137.10000000000005</v>
      </c>
      <c r="T265" s="98">
        <v>196.4000000000002</v>
      </c>
      <c r="U265" s="98">
        <v>100.80000000000015</v>
      </c>
      <c r="V265" s="98">
        <v>462.00000000000102</v>
      </c>
      <c r="W265" s="98">
        <v>540.99999999999795</v>
      </c>
      <c r="X265" s="98"/>
      <c r="Y265" s="98"/>
      <c r="Z265" s="98"/>
      <c r="AA265" s="230"/>
      <c r="AB265" s="230"/>
      <c r="AC265" s="230">
        <v>247.09999999999991</v>
      </c>
    </row>
    <row r="266" spans="2:29">
      <c r="B266" s="98">
        <v>296</v>
      </c>
      <c r="C266" s="98">
        <v>108.5</v>
      </c>
      <c r="D266" s="98">
        <v>596.6</v>
      </c>
      <c r="E266" s="98">
        <v>184.1</v>
      </c>
      <c r="F266" s="98">
        <v>194.8</v>
      </c>
      <c r="G266" s="98">
        <v>146</v>
      </c>
      <c r="H266" s="98">
        <v>109.1</v>
      </c>
      <c r="I266" s="98">
        <v>132.9</v>
      </c>
      <c r="J266" s="98">
        <v>189</v>
      </c>
      <c r="K266" s="209">
        <v>110.64000000000016</v>
      </c>
      <c r="L266" s="209">
        <v>119.64000000000016</v>
      </c>
      <c r="M266" s="209">
        <v>155.35999999999984</v>
      </c>
      <c r="N266" s="98"/>
      <c r="O266" s="98"/>
      <c r="P266" s="98"/>
      <c r="Q266" s="208">
        <v>100.64000000000016</v>
      </c>
      <c r="R266" s="98">
        <v>133.43999999999937</v>
      </c>
      <c r="S266" s="98">
        <v>136.88000000000005</v>
      </c>
      <c r="T266" s="98">
        <v>195.52000000000021</v>
      </c>
      <c r="U266" s="98">
        <v>100.64000000000016</v>
      </c>
      <c r="V266" s="98">
        <v>461.60000000000105</v>
      </c>
      <c r="W266" s="98">
        <v>540.79999999999791</v>
      </c>
      <c r="X266" s="98"/>
      <c r="Y266" s="98"/>
      <c r="Z266" s="98"/>
      <c r="AA266" s="230"/>
      <c r="AB266" s="230"/>
      <c r="AC266" s="230">
        <v>246.67999999999992</v>
      </c>
    </row>
    <row r="267" spans="2:29">
      <c r="B267" s="98">
        <v>297</v>
      </c>
      <c r="C267" s="98">
        <v>108.4</v>
      </c>
      <c r="D267" s="98">
        <v>596.20000000000005</v>
      </c>
      <c r="E267" s="98">
        <v>183.8</v>
      </c>
      <c r="F267" s="98">
        <v>194.6</v>
      </c>
      <c r="G267" s="98">
        <v>145.80000000000001</v>
      </c>
      <c r="H267" s="98">
        <v>109</v>
      </c>
      <c r="I267" s="98">
        <v>132.69999999999999</v>
      </c>
      <c r="J267" s="98">
        <v>188.7</v>
      </c>
      <c r="K267" s="208">
        <v>110.48000000000016</v>
      </c>
      <c r="L267" s="208">
        <v>119.48000000000016</v>
      </c>
      <c r="M267" s="208">
        <v>155.01999999999984</v>
      </c>
      <c r="N267" s="98"/>
      <c r="O267" s="98"/>
      <c r="P267" s="98"/>
      <c r="Q267" s="208">
        <v>100.48000000000016</v>
      </c>
      <c r="R267" s="98">
        <v>133.07999999999936</v>
      </c>
      <c r="S267" s="98">
        <v>136.66000000000005</v>
      </c>
      <c r="T267" s="98">
        <v>194.64000000000021</v>
      </c>
      <c r="U267" s="98">
        <v>100.48000000000016</v>
      </c>
      <c r="V267" s="98">
        <v>461.20000000000107</v>
      </c>
      <c r="W267" s="98">
        <v>540.59999999999786</v>
      </c>
      <c r="X267" s="98"/>
      <c r="Y267" s="98"/>
      <c r="Z267" s="98"/>
      <c r="AA267" s="230"/>
      <c r="AB267" s="230"/>
      <c r="AC267" s="230">
        <v>246.25999999999993</v>
      </c>
    </row>
    <row r="268" spans="2:29">
      <c r="B268" s="98">
        <v>298</v>
      </c>
      <c r="C268" s="98">
        <v>108.2</v>
      </c>
      <c r="D268" s="98">
        <v>595.79999999999995</v>
      </c>
      <c r="E268" s="98">
        <v>183.6</v>
      </c>
      <c r="F268" s="98">
        <v>194.4</v>
      </c>
      <c r="G268" s="98">
        <v>145.5</v>
      </c>
      <c r="H268" s="98">
        <v>108.9</v>
      </c>
      <c r="I268" s="98">
        <v>132.6</v>
      </c>
      <c r="J268" s="98">
        <v>188.5</v>
      </c>
      <c r="K268" s="209">
        <v>110.32000000000016</v>
      </c>
      <c r="L268" s="209">
        <v>119.32000000000016</v>
      </c>
      <c r="M268" s="209">
        <v>154.67999999999984</v>
      </c>
      <c r="N268" s="98"/>
      <c r="O268" s="98"/>
      <c r="P268" s="98"/>
      <c r="Q268" s="208">
        <v>100.32000000000016</v>
      </c>
      <c r="R268" s="98">
        <v>132.71999999999935</v>
      </c>
      <c r="S268" s="98">
        <v>136.44000000000005</v>
      </c>
      <c r="T268" s="98">
        <v>193.76000000000022</v>
      </c>
      <c r="U268" s="98">
        <v>100.32000000000016</v>
      </c>
      <c r="V268" s="98">
        <v>460.80000000000109</v>
      </c>
      <c r="W268" s="98">
        <v>540.39999999999782</v>
      </c>
      <c r="X268" s="98"/>
      <c r="Y268" s="98"/>
      <c r="Z268" s="98"/>
      <c r="AA268" s="230"/>
      <c r="AB268" s="230"/>
      <c r="AC268" s="230">
        <v>245.83999999999995</v>
      </c>
    </row>
    <row r="269" spans="2:29">
      <c r="B269" s="98">
        <v>299</v>
      </c>
      <c r="C269" s="98">
        <v>108.1</v>
      </c>
      <c r="D269" s="98">
        <v>595.4</v>
      </c>
      <c r="E269" s="98">
        <v>183.3</v>
      </c>
      <c r="F269" s="98">
        <v>194.2</v>
      </c>
      <c r="G269" s="98">
        <v>145.19999999999999</v>
      </c>
      <c r="H269" s="98">
        <v>108.8</v>
      </c>
      <c r="I269" s="98">
        <v>132.4</v>
      </c>
      <c r="J269" s="98">
        <v>188.2</v>
      </c>
      <c r="K269" s="208">
        <v>110.16000000000017</v>
      </c>
      <c r="L269" s="208">
        <v>119.16000000000017</v>
      </c>
      <c r="M269" s="208">
        <v>154.33999999999983</v>
      </c>
      <c r="N269" s="98"/>
      <c r="O269" s="98"/>
      <c r="P269" s="98"/>
      <c r="Q269" s="208">
        <v>100.16000000000017</v>
      </c>
      <c r="R269" s="98">
        <v>132.35999999999933</v>
      </c>
      <c r="S269" s="98">
        <v>136.22000000000006</v>
      </c>
      <c r="T269" s="98">
        <v>192.88000000000022</v>
      </c>
      <c r="U269" s="98">
        <v>100.16000000000017</v>
      </c>
      <c r="V269" s="98">
        <v>460.40000000000111</v>
      </c>
      <c r="W269" s="98">
        <v>540.19999999999777</v>
      </c>
      <c r="X269" s="98"/>
      <c r="Y269" s="98"/>
      <c r="Z269" s="98"/>
      <c r="AA269" s="230"/>
      <c r="AB269" s="230"/>
      <c r="AC269" s="230">
        <v>245.41999999999996</v>
      </c>
    </row>
    <row r="270" spans="2:29">
      <c r="B270" s="98">
        <v>300</v>
      </c>
      <c r="C270" s="98">
        <v>108</v>
      </c>
      <c r="D270" s="98">
        <v>595</v>
      </c>
      <c r="E270" s="98">
        <v>183</v>
      </c>
      <c r="F270" s="98">
        <v>194</v>
      </c>
      <c r="G270" s="98">
        <v>145</v>
      </c>
      <c r="H270" s="98">
        <v>108.7</v>
      </c>
      <c r="I270" s="98">
        <v>132.30000000000001</v>
      </c>
      <c r="J270" s="98">
        <v>188</v>
      </c>
      <c r="K270" s="209">
        <v>110</v>
      </c>
      <c r="L270" s="209">
        <v>119</v>
      </c>
      <c r="M270" s="209">
        <v>154</v>
      </c>
      <c r="N270" s="98"/>
      <c r="O270" s="98"/>
      <c r="P270" s="98">
        <v>335</v>
      </c>
      <c r="Q270" s="209">
        <v>100</v>
      </c>
      <c r="R270" s="98">
        <v>132</v>
      </c>
      <c r="S270" s="98">
        <v>136</v>
      </c>
      <c r="T270" s="98">
        <v>192</v>
      </c>
      <c r="U270" s="98">
        <v>100</v>
      </c>
      <c r="V270" s="98">
        <v>460</v>
      </c>
      <c r="W270" s="98">
        <v>540</v>
      </c>
      <c r="X270" s="98"/>
      <c r="Y270" s="98"/>
      <c r="Z270" s="98"/>
      <c r="AA270" s="230"/>
      <c r="AB270" s="230">
        <v>562</v>
      </c>
      <c r="AC270" s="230">
        <v>245</v>
      </c>
    </row>
    <row r="271" spans="2:29">
      <c r="B271" s="98">
        <v>301</v>
      </c>
      <c r="C271" s="98">
        <v>107.9</v>
      </c>
      <c r="D271" s="98">
        <v>594.5</v>
      </c>
      <c r="E271" s="98">
        <v>182.8</v>
      </c>
      <c r="F271" s="98">
        <v>193.8</v>
      </c>
      <c r="G271" s="98">
        <v>144.9</v>
      </c>
      <c r="H271" s="98">
        <v>108.6</v>
      </c>
      <c r="I271" s="98">
        <v>132.1</v>
      </c>
      <c r="J271" s="98">
        <v>187.8</v>
      </c>
      <c r="K271" s="208">
        <v>109.88</v>
      </c>
      <c r="L271" s="208">
        <v>118.88</v>
      </c>
      <c r="M271" s="208">
        <v>153.74</v>
      </c>
      <c r="N271" s="98"/>
      <c r="O271" s="98"/>
      <c r="P271" s="98"/>
      <c r="Q271" s="208">
        <v>99.88</v>
      </c>
      <c r="R271" s="98">
        <v>131.76</v>
      </c>
      <c r="S271" s="98">
        <v>135.88</v>
      </c>
      <c r="T271" s="98">
        <v>191.8</v>
      </c>
      <c r="U271" s="98">
        <v>99.88</v>
      </c>
      <c r="V271" s="98">
        <v>459.5</v>
      </c>
      <c r="W271" s="98">
        <v>539.79999999999995</v>
      </c>
      <c r="X271" s="98"/>
      <c r="Y271" s="98"/>
      <c r="Z271" s="98"/>
      <c r="AA271" s="230"/>
      <c r="AB271" s="230"/>
      <c r="AC271" s="230">
        <v>244.64</v>
      </c>
    </row>
    <row r="272" spans="2:29">
      <c r="B272" s="98">
        <v>302</v>
      </c>
      <c r="C272" s="98">
        <v>107.8</v>
      </c>
      <c r="D272" s="98">
        <v>594</v>
      </c>
      <c r="E272" s="98">
        <v>182.6</v>
      </c>
      <c r="F272" s="98">
        <v>193.5</v>
      </c>
      <c r="G272" s="98">
        <v>144.80000000000001</v>
      </c>
      <c r="H272" s="98">
        <v>108.5</v>
      </c>
      <c r="I272" s="98">
        <v>132</v>
      </c>
      <c r="J272" s="98">
        <v>187.6</v>
      </c>
      <c r="K272" s="209">
        <v>109.75999999999999</v>
      </c>
      <c r="L272" s="209">
        <v>118.75999999999999</v>
      </c>
      <c r="M272" s="209">
        <v>153.48000000000002</v>
      </c>
      <c r="N272" s="98"/>
      <c r="O272" s="98"/>
      <c r="P272" s="98"/>
      <c r="Q272" s="208">
        <v>99.759999999999991</v>
      </c>
      <c r="R272" s="98">
        <v>131.51999999999998</v>
      </c>
      <c r="S272" s="98">
        <v>135.76</v>
      </c>
      <c r="T272" s="98">
        <v>191.60000000000002</v>
      </c>
      <c r="U272" s="98">
        <v>99.759999999999991</v>
      </c>
      <c r="V272" s="98">
        <v>459</v>
      </c>
      <c r="W272" s="98">
        <v>539.59999999999991</v>
      </c>
      <c r="X272" s="98"/>
      <c r="Y272" s="98"/>
      <c r="Z272" s="98"/>
      <c r="AA272" s="230"/>
      <c r="AB272" s="230"/>
      <c r="AC272" s="230">
        <v>244.27999999999997</v>
      </c>
    </row>
    <row r="273" spans="2:29">
      <c r="B273" s="98">
        <v>303</v>
      </c>
      <c r="C273" s="98">
        <v>107.8</v>
      </c>
      <c r="D273" s="98">
        <v>593.6</v>
      </c>
      <c r="E273" s="98">
        <v>182.4</v>
      </c>
      <c r="F273" s="98">
        <v>193.3</v>
      </c>
      <c r="G273" s="98">
        <v>144.69999999999999</v>
      </c>
      <c r="H273" s="98">
        <v>108.4</v>
      </c>
      <c r="I273" s="98">
        <v>131.9</v>
      </c>
      <c r="J273" s="98">
        <v>187.4</v>
      </c>
      <c r="K273" s="208">
        <v>109.63999999999999</v>
      </c>
      <c r="L273" s="208">
        <v>118.63999999999999</v>
      </c>
      <c r="M273" s="208">
        <v>153.22000000000003</v>
      </c>
      <c r="N273" s="98"/>
      <c r="O273" s="98"/>
      <c r="P273" s="98"/>
      <c r="Q273" s="208">
        <v>99.639999999999986</v>
      </c>
      <c r="R273" s="98">
        <v>131.27999999999997</v>
      </c>
      <c r="S273" s="98">
        <v>135.63999999999999</v>
      </c>
      <c r="T273" s="98">
        <v>191.40000000000003</v>
      </c>
      <c r="U273" s="98">
        <v>99.639999999999986</v>
      </c>
      <c r="V273" s="98">
        <v>458.5</v>
      </c>
      <c r="W273" s="98">
        <v>539.39999999999986</v>
      </c>
      <c r="X273" s="98"/>
      <c r="Y273" s="98"/>
      <c r="Z273" s="98"/>
      <c r="AA273" s="230"/>
      <c r="AB273" s="230"/>
      <c r="AC273" s="230">
        <v>243.91999999999996</v>
      </c>
    </row>
    <row r="274" spans="2:29">
      <c r="B274" s="98">
        <v>304</v>
      </c>
      <c r="C274" s="98">
        <v>107.7</v>
      </c>
      <c r="D274" s="98">
        <v>593.1</v>
      </c>
      <c r="E274" s="98">
        <v>182.2</v>
      </c>
      <c r="F274" s="98">
        <v>193</v>
      </c>
      <c r="G274" s="98">
        <v>144.6</v>
      </c>
      <c r="H274" s="98">
        <v>108.3</v>
      </c>
      <c r="I274" s="98">
        <v>131.69999999999999</v>
      </c>
      <c r="J274" s="98">
        <v>187.2</v>
      </c>
      <c r="K274" s="209">
        <v>109.51999999999998</v>
      </c>
      <c r="L274" s="209">
        <v>118.51999999999998</v>
      </c>
      <c r="M274" s="209">
        <v>152.96000000000004</v>
      </c>
      <c r="N274" s="98"/>
      <c r="O274" s="98"/>
      <c r="P274" s="98"/>
      <c r="Q274" s="208">
        <v>99.519999999999982</v>
      </c>
      <c r="R274" s="98">
        <v>131.03999999999996</v>
      </c>
      <c r="S274" s="98">
        <v>135.51999999999998</v>
      </c>
      <c r="T274" s="98">
        <v>191.20000000000005</v>
      </c>
      <c r="U274" s="98">
        <v>99.519999999999982</v>
      </c>
      <c r="V274" s="98">
        <v>458</v>
      </c>
      <c r="W274" s="98">
        <v>539.19999999999982</v>
      </c>
      <c r="X274" s="98"/>
      <c r="Y274" s="98"/>
      <c r="Z274" s="98"/>
      <c r="AA274" s="230"/>
      <c r="AB274" s="230"/>
      <c r="AC274" s="230">
        <v>243.55999999999995</v>
      </c>
    </row>
    <row r="275" spans="2:29">
      <c r="B275" s="98">
        <v>305</v>
      </c>
      <c r="C275" s="98">
        <v>107.6</v>
      </c>
      <c r="D275" s="98">
        <v>592.6</v>
      </c>
      <c r="E275" s="98">
        <v>182</v>
      </c>
      <c r="F275" s="98">
        <v>192.8</v>
      </c>
      <c r="G275" s="98">
        <v>144.5</v>
      </c>
      <c r="H275" s="98">
        <v>108.2</v>
      </c>
      <c r="I275" s="98">
        <v>131.6</v>
      </c>
      <c r="J275" s="98">
        <v>187</v>
      </c>
      <c r="K275" s="208">
        <v>109.39999999999998</v>
      </c>
      <c r="L275" s="208">
        <v>118.39999999999998</v>
      </c>
      <c r="M275" s="208">
        <v>152.70000000000005</v>
      </c>
      <c r="N275" s="98"/>
      <c r="O275" s="98"/>
      <c r="P275" s="98"/>
      <c r="Q275" s="208">
        <v>99.399999999999977</v>
      </c>
      <c r="R275" s="98">
        <v>130.79999999999995</v>
      </c>
      <c r="S275" s="98">
        <v>135.39999999999998</v>
      </c>
      <c r="T275" s="98">
        <v>191.00000000000006</v>
      </c>
      <c r="U275" s="98">
        <v>99.399999999999977</v>
      </c>
      <c r="V275" s="98">
        <v>457.5</v>
      </c>
      <c r="W275" s="98">
        <v>538.99999999999977</v>
      </c>
      <c r="X275" s="98"/>
      <c r="Y275" s="98"/>
      <c r="Z275" s="98"/>
      <c r="AA275" s="230"/>
      <c r="AB275" s="230"/>
      <c r="AC275" s="230">
        <v>243.19999999999993</v>
      </c>
    </row>
    <row r="276" spans="2:29">
      <c r="B276" s="98">
        <v>306</v>
      </c>
      <c r="C276" s="98">
        <v>107.5</v>
      </c>
      <c r="D276" s="98">
        <v>592.1</v>
      </c>
      <c r="E276" s="98">
        <v>181.8</v>
      </c>
      <c r="F276" s="98">
        <v>192.6</v>
      </c>
      <c r="G276" s="98">
        <v>144.4</v>
      </c>
      <c r="H276" s="98">
        <v>108.1</v>
      </c>
      <c r="I276" s="98">
        <v>131.4</v>
      </c>
      <c r="J276" s="98">
        <v>186.8</v>
      </c>
      <c r="K276" s="209">
        <v>109.27999999999997</v>
      </c>
      <c r="L276" s="209">
        <v>118.27999999999997</v>
      </c>
      <c r="M276" s="209">
        <v>152.44000000000005</v>
      </c>
      <c r="N276" s="98"/>
      <c r="O276" s="98"/>
      <c r="P276" s="98"/>
      <c r="Q276" s="208">
        <v>99.279999999999973</v>
      </c>
      <c r="R276" s="98">
        <v>130.55999999999995</v>
      </c>
      <c r="S276" s="98">
        <v>135.27999999999997</v>
      </c>
      <c r="T276" s="98">
        <v>190.80000000000007</v>
      </c>
      <c r="U276" s="98">
        <v>99.279999999999973</v>
      </c>
      <c r="V276" s="98">
        <v>457</v>
      </c>
      <c r="W276" s="98">
        <v>538.79999999999973</v>
      </c>
      <c r="X276" s="98"/>
      <c r="Y276" s="98"/>
      <c r="Z276" s="98"/>
      <c r="AA276" s="230"/>
      <c r="AB276" s="230"/>
      <c r="AC276" s="230">
        <v>242.83999999999992</v>
      </c>
    </row>
    <row r="277" spans="2:29">
      <c r="B277" s="98">
        <v>307</v>
      </c>
      <c r="C277" s="98">
        <v>107.4</v>
      </c>
      <c r="D277" s="98">
        <v>591.6</v>
      </c>
      <c r="E277" s="98">
        <v>181.6</v>
      </c>
      <c r="F277" s="98">
        <v>192.3</v>
      </c>
      <c r="G277" s="98">
        <v>144.30000000000001</v>
      </c>
      <c r="H277" s="98">
        <v>108</v>
      </c>
      <c r="I277" s="98">
        <v>131.30000000000001</v>
      </c>
      <c r="J277" s="98">
        <v>186.6</v>
      </c>
      <c r="K277" s="208">
        <v>109.15999999999997</v>
      </c>
      <c r="L277" s="208">
        <v>118.15999999999997</v>
      </c>
      <c r="M277" s="208">
        <v>152.18000000000006</v>
      </c>
      <c r="N277" s="98"/>
      <c r="O277" s="98"/>
      <c r="P277" s="98"/>
      <c r="Q277" s="208">
        <v>99.159999999999968</v>
      </c>
      <c r="R277" s="98">
        <v>130.31999999999994</v>
      </c>
      <c r="S277" s="98">
        <v>135.15999999999997</v>
      </c>
      <c r="T277" s="98">
        <v>190.60000000000008</v>
      </c>
      <c r="U277" s="98">
        <v>99.159999999999968</v>
      </c>
      <c r="V277" s="98">
        <v>456.5</v>
      </c>
      <c r="W277" s="98">
        <v>538.59999999999968</v>
      </c>
      <c r="X277" s="98"/>
      <c r="Y277" s="98"/>
      <c r="Z277" s="98"/>
      <c r="AA277" s="230"/>
      <c r="AB277" s="230"/>
      <c r="AC277" s="230">
        <v>242.4799999999999</v>
      </c>
    </row>
    <row r="278" spans="2:29">
      <c r="B278" s="98">
        <v>308</v>
      </c>
      <c r="C278" s="98">
        <v>107.4</v>
      </c>
      <c r="D278" s="98">
        <v>591.20000000000005</v>
      </c>
      <c r="E278" s="98">
        <v>181.4</v>
      </c>
      <c r="F278" s="98">
        <v>192.1</v>
      </c>
      <c r="G278" s="98">
        <v>144.19999999999999</v>
      </c>
      <c r="H278" s="98">
        <v>107.9</v>
      </c>
      <c r="I278" s="98">
        <v>131.1</v>
      </c>
      <c r="J278" s="98">
        <v>186.4</v>
      </c>
      <c r="K278" s="209">
        <v>109.03999999999996</v>
      </c>
      <c r="L278" s="209">
        <v>118.03999999999996</v>
      </c>
      <c r="M278" s="209">
        <v>151.92000000000007</v>
      </c>
      <c r="N278" s="98"/>
      <c r="O278" s="98"/>
      <c r="P278" s="98"/>
      <c r="Q278" s="208">
        <v>99.039999999999964</v>
      </c>
      <c r="R278" s="98">
        <v>130.07999999999993</v>
      </c>
      <c r="S278" s="98">
        <v>135.03999999999996</v>
      </c>
      <c r="T278" s="98">
        <v>190.40000000000009</v>
      </c>
      <c r="U278" s="98">
        <v>99.039999999999964</v>
      </c>
      <c r="V278" s="98">
        <v>456</v>
      </c>
      <c r="W278" s="98">
        <v>538.39999999999964</v>
      </c>
      <c r="X278" s="98"/>
      <c r="Y278" s="98"/>
      <c r="Z278" s="98"/>
      <c r="AA278" s="230"/>
      <c r="AB278" s="230"/>
      <c r="AC278" s="230">
        <v>242.11999999999989</v>
      </c>
    </row>
    <row r="279" spans="2:29">
      <c r="B279" s="98">
        <v>309</v>
      </c>
      <c r="C279" s="98">
        <v>107.3</v>
      </c>
      <c r="D279" s="98">
        <v>590.70000000000005</v>
      </c>
      <c r="E279" s="98">
        <v>181.2</v>
      </c>
      <c r="F279" s="98">
        <v>191.8</v>
      </c>
      <c r="G279" s="98">
        <v>144.1</v>
      </c>
      <c r="H279" s="98">
        <v>107.8</v>
      </c>
      <c r="I279" s="98">
        <v>131</v>
      </c>
      <c r="J279" s="98">
        <v>186.2</v>
      </c>
      <c r="K279" s="208">
        <v>108.91999999999996</v>
      </c>
      <c r="L279" s="208">
        <v>117.91999999999996</v>
      </c>
      <c r="M279" s="208">
        <v>151.66000000000008</v>
      </c>
      <c r="N279" s="98"/>
      <c r="O279" s="98"/>
      <c r="P279" s="98"/>
      <c r="Q279" s="208">
        <v>98.919999999999959</v>
      </c>
      <c r="R279" s="98">
        <v>129.83999999999992</v>
      </c>
      <c r="S279" s="98">
        <v>134.91999999999996</v>
      </c>
      <c r="T279" s="98">
        <v>190.2000000000001</v>
      </c>
      <c r="U279" s="98">
        <v>98.919999999999959</v>
      </c>
      <c r="V279" s="98">
        <v>455.5</v>
      </c>
      <c r="W279" s="98">
        <v>538.19999999999959</v>
      </c>
      <c r="X279" s="98"/>
      <c r="Y279" s="98"/>
      <c r="Z279" s="98"/>
      <c r="AA279" s="230"/>
      <c r="AB279" s="230"/>
      <c r="AC279" s="230">
        <v>241.75999999999988</v>
      </c>
    </row>
    <row r="280" spans="2:29">
      <c r="B280" s="98">
        <v>310</v>
      </c>
      <c r="C280" s="98">
        <v>107.2</v>
      </c>
      <c r="D280" s="98">
        <v>590.20000000000005</v>
      </c>
      <c r="E280" s="98">
        <v>181</v>
      </c>
      <c r="F280" s="98">
        <v>191.6</v>
      </c>
      <c r="G280" s="98">
        <v>144</v>
      </c>
      <c r="H280" s="98">
        <v>107.6</v>
      </c>
      <c r="I280" s="98">
        <v>130.9</v>
      </c>
      <c r="J280" s="98">
        <v>186</v>
      </c>
      <c r="K280" s="209">
        <v>108.79999999999995</v>
      </c>
      <c r="L280" s="209">
        <v>117.79999999999995</v>
      </c>
      <c r="M280" s="209">
        <v>151.40000000000009</v>
      </c>
      <c r="N280" s="98"/>
      <c r="O280" s="98"/>
      <c r="P280" s="98"/>
      <c r="Q280" s="208">
        <v>98.799999999999955</v>
      </c>
      <c r="R280" s="98">
        <v>129.59999999999991</v>
      </c>
      <c r="S280" s="98">
        <v>134.79999999999995</v>
      </c>
      <c r="T280" s="98">
        <v>190.00000000000011</v>
      </c>
      <c r="U280" s="98">
        <v>98.799999999999955</v>
      </c>
      <c r="V280" s="98">
        <v>455</v>
      </c>
      <c r="W280" s="98">
        <v>537.99999999999955</v>
      </c>
      <c r="X280" s="98"/>
      <c r="Y280" s="98"/>
      <c r="Z280" s="98"/>
      <c r="AA280" s="230"/>
      <c r="AB280" s="230"/>
      <c r="AC280" s="230">
        <v>241.39999999999986</v>
      </c>
    </row>
    <row r="281" spans="2:29">
      <c r="B281" s="98">
        <v>311</v>
      </c>
      <c r="C281" s="98">
        <v>107.1</v>
      </c>
      <c r="D281" s="98">
        <v>589.70000000000005</v>
      </c>
      <c r="E281" s="98">
        <v>180.8</v>
      </c>
      <c r="F281" s="98">
        <v>191.4</v>
      </c>
      <c r="G281" s="98">
        <v>143.9</v>
      </c>
      <c r="H281" s="98">
        <v>107.5</v>
      </c>
      <c r="I281" s="98">
        <v>130.69999999999999</v>
      </c>
      <c r="J281" s="98">
        <v>185.8</v>
      </c>
      <c r="K281" s="208">
        <v>108.67999999999995</v>
      </c>
      <c r="L281" s="208">
        <v>117.67999999999995</v>
      </c>
      <c r="M281" s="208">
        <v>151.1400000000001</v>
      </c>
      <c r="N281" s="98"/>
      <c r="O281" s="98"/>
      <c r="P281" s="98"/>
      <c r="Q281" s="208">
        <v>98.67999999999995</v>
      </c>
      <c r="R281" s="98">
        <v>129.3599999999999</v>
      </c>
      <c r="S281" s="98">
        <v>134.67999999999995</v>
      </c>
      <c r="T281" s="98">
        <v>189.80000000000013</v>
      </c>
      <c r="U281" s="98">
        <v>98.67999999999995</v>
      </c>
      <c r="V281" s="98">
        <v>454.5</v>
      </c>
      <c r="W281" s="98">
        <v>537.7999999999995</v>
      </c>
      <c r="X281" s="98"/>
      <c r="Y281" s="98"/>
      <c r="Z281" s="98"/>
      <c r="AA281" s="230"/>
      <c r="AB281" s="230"/>
      <c r="AC281" s="230">
        <v>241.03999999999985</v>
      </c>
    </row>
    <row r="282" spans="2:29">
      <c r="B282" s="98">
        <v>312</v>
      </c>
      <c r="C282" s="98">
        <v>107</v>
      </c>
      <c r="D282" s="98">
        <v>589.20000000000005</v>
      </c>
      <c r="E282" s="98">
        <v>180.6</v>
      </c>
      <c r="F282" s="98">
        <v>191.1</v>
      </c>
      <c r="G282" s="98">
        <v>143.80000000000001</v>
      </c>
      <c r="H282" s="98">
        <v>107.4</v>
      </c>
      <c r="I282" s="98">
        <v>130.6</v>
      </c>
      <c r="J282" s="98">
        <v>185.6</v>
      </c>
      <c r="K282" s="209">
        <v>108.55999999999995</v>
      </c>
      <c r="L282" s="209">
        <v>117.55999999999995</v>
      </c>
      <c r="M282" s="209">
        <v>150.88000000000011</v>
      </c>
      <c r="N282" s="98"/>
      <c r="O282" s="98"/>
      <c r="P282" s="98"/>
      <c r="Q282" s="208">
        <v>98.559999999999945</v>
      </c>
      <c r="R282" s="98">
        <v>129.11999999999989</v>
      </c>
      <c r="S282" s="98">
        <v>134.55999999999995</v>
      </c>
      <c r="T282" s="98">
        <v>189.60000000000014</v>
      </c>
      <c r="U282" s="98">
        <v>98.559999999999945</v>
      </c>
      <c r="V282" s="98">
        <v>454</v>
      </c>
      <c r="W282" s="98">
        <v>537.59999999999945</v>
      </c>
      <c r="X282" s="98"/>
      <c r="Y282" s="98"/>
      <c r="Z282" s="98"/>
      <c r="AA282" s="230"/>
      <c r="AB282" s="230"/>
      <c r="AC282" s="230">
        <v>240.67999999999984</v>
      </c>
    </row>
    <row r="283" spans="2:29">
      <c r="B283" s="98">
        <v>313</v>
      </c>
      <c r="C283" s="98">
        <v>107</v>
      </c>
      <c r="D283" s="98">
        <v>588.79999999999995</v>
      </c>
      <c r="E283" s="98">
        <v>180.4</v>
      </c>
      <c r="F283" s="98">
        <v>190.9</v>
      </c>
      <c r="G283" s="98">
        <v>143.69999999999999</v>
      </c>
      <c r="H283" s="98">
        <v>107.3</v>
      </c>
      <c r="I283" s="98">
        <v>130.4</v>
      </c>
      <c r="J283" s="98">
        <v>185.4</v>
      </c>
      <c r="K283" s="208">
        <v>108.43999999999994</v>
      </c>
      <c r="L283" s="208">
        <v>117.43999999999994</v>
      </c>
      <c r="M283" s="208">
        <v>150.62000000000012</v>
      </c>
      <c r="N283" s="98"/>
      <c r="O283" s="98"/>
      <c r="P283" s="98"/>
      <c r="Q283" s="208">
        <v>98.439999999999941</v>
      </c>
      <c r="R283" s="98">
        <v>128.87999999999988</v>
      </c>
      <c r="S283" s="98">
        <v>134.43999999999994</v>
      </c>
      <c r="T283" s="98">
        <v>189.40000000000015</v>
      </c>
      <c r="U283" s="98">
        <v>98.439999999999941</v>
      </c>
      <c r="V283" s="98">
        <v>453.5</v>
      </c>
      <c r="W283" s="98">
        <v>537.39999999999941</v>
      </c>
      <c r="X283" s="98"/>
      <c r="Y283" s="98"/>
      <c r="Z283" s="98"/>
      <c r="AA283" s="230"/>
      <c r="AB283" s="230"/>
      <c r="AC283" s="230">
        <v>240.31999999999982</v>
      </c>
    </row>
    <row r="284" spans="2:29">
      <c r="B284" s="98">
        <v>314</v>
      </c>
      <c r="C284" s="98">
        <v>106.9</v>
      </c>
      <c r="D284" s="98">
        <v>588.29999999999995</v>
      </c>
      <c r="E284" s="98">
        <v>180.2</v>
      </c>
      <c r="F284" s="98">
        <v>190.6</v>
      </c>
      <c r="G284" s="98">
        <v>143.6</v>
      </c>
      <c r="H284" s="98">
        <v>107.2</v>
      </c>
      <c r="I284" s="98">
        <v>130.30000000000001</v>
      </c>
      <c r="J284" s="98">
        <v>185.2</v>
      </c>
      <c r="K284" s="209">
        <v>108.31999999999994</v>
      </c>
      <c r="L284" s="209">
        <v>117.31999999999994</v>
      </c>
      <c r="M284" s="209">
        <v>150.36000000000013</v>
      </c>
      <c r="N284" s="98"/>
      <c r="O284" s="98"/>
      <c r="P284" s="98"/>
      <c r="Q284" s="208">
        <v>98.319999999999936</v>
      </c>
      <c r="R284" s="98">
        <v>128.63999999999987</v>
      </c>
      <c r="S284" s="98">
        <v>134.31999999999994</v>
      </c>
      <c r="T284" s="98">
        <v>189.20000000000016</v>
      </c>
      <c r="U284" s="98">
        <v>98.319999999999936</v>
      </c>
      <c r="V284" s="98">
        <v>453</v>
      </c>
      <c r="W284" s="98">
        <v>537.19999999999936</v>
      </c>
      <c r="X284" s="98"/>
      <c r="Y284" s="98"/>
      <c r="Z284" s="98"/>
      <c r="AA284" s="230"/>
      <c r="AB284" s="230"/>
      <c r="AC284" s="230">
        <v>239.95999999999981</v>
      </c>
    </row>
    <row r="285" spans="2:29">
      <c r="B285" s="98">
        <v>315</v>
      </c>
      <c r="C285" s="98">
        <v>106.8</v>
      </c>
      <c r="D285" s="98">
        <v>587.79999999999995</v>
      </c>
      <c r="E285" s="98">
        <v>180</v>
      </c>
      <c r="F285" s="98">
        <v>190.4</v>
      </c>
      <c r="G285" s="98">
        <v>143.5</v>
      </c>
      <c r="H285" s="98">
        <v>107.1</v>
      </c>
      <c r="I285" s="98">
        <v>130.1</v>
      </c>
      <c r="J285" s="98">
        <v>185</v>
      </c>
      <c r="K285" s="208">
        <v>108.19999999999993</v>
      </c>
      <c r="L285" s="208">
        <v>117.19999999999993</v>
      </c>
      <c r="M285" s="208">
        <v>150.10000000000014</v>
      </c>
      <c r="N285" s="98"/>
      <c r="O285" s="98"/>
      <c r="P285" s="98"/>
      <c r="Q285" s="208">
        <v>98.199999999999932</v>
      </c>
      <c r="R285" s="98">
        <v>128.39999999999986</v>
      </c>
      <c r="S285" s="98">
        <v>134.19999999999993</v>
      </c>
      <c r="T285" s="98">
        <v>189.00000000000017</v>
      </c>
      <c r="U285" s="98">
        <v>98.199999999999932</v>
      </c>
      <c r="V285" s="98">
        <v>452.5</v>
      </c>
      <c r="W285" s="98">
        <v>536.99999999999932</v>
      </c>
      <c r="X285" s="98"/>
      <c r="Y285" s="98"/>
      <c r="Z285" s="98"/>
      <c r="AA285" s="230"/>
      <c r="AB285" s="230"/>
      <c r="AC285" s="230">
        <v>239.5999999999998</v>
      </c>
    </row>
    <row r="286" spans="2:29">
      <c r="B286" s="98">
        <v>316</v>
      </c>
      <c r="C286" s="98">
        <v>106.7</v>
      </c>
      <c r="D286" s="98">
        <v>587.29999999999995</v>
      </c>
      <c r="E286" s="98">
        <v>179.8</v>
      </c>
      <c r="F286" s="98">
        <v>190.2</v>
      </c>
      <c r="G286" s="98">
        <v>143.4</v>
      </c>
      <c r="H286" s="98">
        <v>107</v>
      </c>
      <c r="I286" s="98">
        <v>130</v>
      </c>
      <c r="J286" s="98">
        <v>184.8</v>
      </c>
      <c r="K286" s="209">
        <v>108.07999999999993</v>
      </c>
      <c r="L286" s="209">
        <v>117.07999999999993</v>
      </c>
      <c r="M286" s="209">
        <v>149.84000000000015</v>
      </c>
      <c r="N286" s="98"/>
      <c r="O286" s="98"/>
      <c r="P286" s="98"/>
      <c r="Q286" s="208">
        <v>98.079999999999927</v>
      </c>
      <c r="R286" s="98">
        <v>128.15999999999985</v>
      </c>
      <c r="S286" s="98">
        <v>134.07999999999993</v>
      </c>
      <c r="T286" s="98">
        <v>188.80000000000018</v>
      </c>
      <c r="U286" s="98">
        <v>98.079999999999927</v>
      </c>
      <c r="V286" s="98">
        <v>452</v>
      </c>
      <c r="W286" s="98">
        <v>536.79999999999927</v>
      </c>
      <c r="X286" s="98"/>
      <c r="Y286" s="98"/>
      <c r="Z286" s="98"/>
      <c r="AA286" s="230"/>
      <c r="AB286" s="230"/>
      <c r="AC286" s="230">
        <v>239.23999999999978</v>
      </c>
    </row>
    <row r="287" spans="2:29">
      <c r="B287" s="98">
        <v>317</v>
      </c>
      <c r="C287" s="98">
        <v>106.6</v>
      </c>
      <c r="D287" s="98">
        <v>586.79999999999995</v>
      </c>
      <c r="E287" s="98">
        <v>179.6</v>
      </c>
      <c r="F287" s="98">
        <v>189.9</v>
      </c>
      <c r="G287" s="98">
        <v>143.30000000000001</v>
      </c>
      <c r="H287" s="98">
        <v>106.9</v>
      </c>
      <c r="I287" s="98">
        <v>129.9</v>
      </c>
      <c r="J287" s="98">
        <v>184.6</v>
      </c>
      <c r="K287" s="208">
        <v>107.95999999999992</v>
      </c>
      <c r="L287" s="208">
        <v>116.95999999999992</v>
      </c>
      <c r="M287" s="208">
        <v>149.58000000000015</v>
      </c>
      <c r="N287" s="98"/>
      <c r="O287" s="98"/>
      <c r="P287" s="98"/>
      <c r="Q287" s="208">
        <v>97.959999999999923</v>
      </c>
      <c r="R287" s="98">
        <v>127.91999999999986</v>
      </c>
      <c r="S287" s="98">
        <v>133.95999999999992</v>
      </c>
      <c r="T287" s="98">
        <v>188.60000000000019</v>
      </c>
      <c r="U287" s="98">
        <v>97.959999999999923</v>
      </c>
      <c r="V287" s="98">
        <v>451.5</v>
      </c>
      <c r="W287" s="98">
        <v>536.59999999999923</v>
      </c>
      <c r="X287" s="98"/>
      <c r="Y287" s="98"/>
      <c r="Z287" s="98"/>
      <c r="AA287" s="230"/>
      <c r="AB287" s="230"/>
      <c r="AC287" s="230">
        <v>238.87999999999977</v>
      </c>
    </row>
    <row r="288" spans="2:29">
      <c r="B288" s="98">
        <v>318</v>
      </c>
      <c r="C288" s="98">
        <v>106.6</v>
      </c>
      <c r="D288" s="98">
        <v>586.4</v>
      </c>
      <c r="E288" s="98">
        <v>179.4</v>
      </c>
      <c r="F288" s="98">
        <v>189.7</v>
      </c>
      <c r="G288" s="98">
        <v>143.19999999999999</v>
      </c>
      <c r="H288" s="98">
        <v>106.9</v>
      </c>
      <c r="I288" s="98">
        <v>129.9</v>
      </c>
      <c r="J288" s="98">
        <v>184.4</v>
      </c>
      <c r="K288" s="209">
        <v>107.83999999999992</v>
      </c>
      <c r="L288" s="209">
        <v>116.83999999999992</v>
      </c>
      <c r="M288" s="209">
        <v>149.32000000000016</v>
      </c>
      <c r="N288" s="98"/>
      <c r="O288" s="98"/>
      <c r="P288" s="98"/>
      <c r="Q288" s="208">
        <v>97.839999999999918</v>
      </c>
      <c r="R288" s="98">
        <v>127.67999999999986</v>
      </c>
      <c r="S288" s="98">
        <v>133.83999999999992</v>
      </c>
      <c r="T288" s="98">
        <v>188.4000000000002</v>
      </c>
      <c r="U288" s="98">
        <v>97.839999999999918</v>
      </c>
      <c r="V288" s="98">
        <v>451</v>
      </c>
      <c r="W288" s="98">
        <v>536.39999999999918</v>
      </c>
      <c r="X288" s="98"/>
      <c r="Y288" s="98"/>
      <c r="Z288" s="98"/>
      <c r="AA288" s="230"/>
      <c r="AB288" s="230"/>
      <c r="AC288" s="230">
        <v>238.51999999999975</v>
      </c>
    </row>
    <row r="289" spans="2:29">
      <c r="B289" s="98">
        <v>319</v>
      </c>
      <c r="C289" s="98">
        <v>106.5</v>
      </c>
      <c r="D289" s="98">
        <v>585.9</v>
      </c>
      <c r="E289" s="98">
        <v>179.2</v>
      </c>
      <c r="F289" s="98">
        <v>189.4</v>
      </c>
      <c r="G289" s="98">
        <v>143.1</v>
      </c>
      <c r="H289" s="98">
        <v>106.8</v>
      </c>
      <c r="I289" s="98">
        <v>129.80000000000001</v>
      </c>
      <c r="J289" s="98">
        <v>184.2</v>
      </c>
      <c r="K289" s="208">
        <v>107.71999999999991</v>
      </c>
      <c r="L289" s="208">
        <v>116.71999999999991</v>
      </c>
      <c r="M289" s="208">
        <v>149.06000000000017</v>
      </c>
      <c r="N289" s="98"/>
      <c r="O289" s="98"/>
      <c r="P289" s="98"/>
      <c r="Q289" s="208">
        <v>97.719999999999914</v>
      </c>
      <c r="R289" s="98">
        <v>127.43999999999987</v>
      </c>
      <c r="S289" s="98">
        <v>133.71999999999991</v>
      </c>
      <c r="T289" s="98">
        <v>188.20000000000022</v>
      </c>
      <c r="U289" s="98">
        <v>97.719999999999914</v>
      </c>
      <c r="V289" s="98">
        <v>450.5</v>
      </c>
      <c r="W289" s="98">
        <v>536.19999999999914</v>
      </c>
      <c r="X289" s="98"/>
      <c r="Y289" s="98"/>
      <c r="Z289" s="98"/>
      <c r="AA289" s="230"/>
      <c r="AB289" s="230"/>
      <c r="AC289" s="230">
        <v>238.15999999999974</v>
      </c>
    </row>
    <row r="290" spans="2:29">
      <c r="B290" s="98">
        <v>320</v>
      </c>
      <c r="C290" s="98">
        <v>106.4</v>
      </c>
      <c r="D290" s="98">
        <v>585.4</v>
      </c>
      <c r="E290" s="98">
        <v>179</v>
      </c>
      <c r="F290" s="98">
        <v>189.2</v>
      </c>
      <c r="G290" s="98">
        <v>143</v>
      </c>
      <c r="H290" s="98">
        <v>106.7</v>
      </c>
      <c r="I290" s="98">
        <v>129.69999999999999</v>
      </c>
      <c r="J290" s="98">
        <v>184</v>
      </c>
      <c r="K290" s="209">
        <v>107.59999999999991</v>
      </c>
      <c r="L290" s="209">
        <v>116.59999999999991</v>
      </c>
      <c r="M290" s="209">
        <v>148.80000000000018</v>
      </c>
      <c r="N290" s="98"/>
      <c r="O290" s="98"/>
      <c r="P290" s="98"/>
      <c r="Q290" s="208">
        <v>97.599999999999909</v>
      </c>
      <c r="R290" s="98">
        <v>127.19999999999987</v>
      </c>
      <c r="S290" s="98">
        <v>133.59999999999991</v>
      </c>
      <c r="T290" s="98">
        <v>188.00000000000023</v>
      </c>
      <c r="U290" s="98">
        <v>97.599999999999909</v>
      </c>
      <c r="V290" s="98">
        <v>450</v>
      </c>
      <c r="W290" s="98">
        <v>535.99999999999909</v>
      </c>
      <c r="X290" s="98"/>
      <c r="Y290" s="98"/>
      <c r="Z290" s="98"/>
      <c r="AA290" s="230"/>
      <c r="AB290" s="230"/>
      <c r="AC290" s="230">
        <v>237.79999999999973</v>
      </c>
    </row>
    <row r="291" spans="2:29">
      <c r="B291" s="98">
        <v>321</v>
      </c>
      <c r="C291" s="98">
        <v>106.3</v>
      </c>
      <c r="D291" s="98">
        <v>584.9</v>
      </c>
      <c r="E291" s="98">
        <v>178.8</v>
      </c>
      <c r="F291" s="98">
        <v>189</v>
      </c>
      <c r="G291" s="98">
        <v>142.9</v>
      </c>
      <c r="H291" s="98">
        <v>106.6</v>
      </c>
      <c r="I291" s="98">
        <v>129.6</v>
      </c>
      <c r="J291" s="98">
        <v>183.8</v>
      </c>
      <c r="K291" s="208">
        <v>107.4799999999999</v>
      </c>
      <c r="L291" s="208">
        <v>116.4799999999999</v>
      </c>
      <c r="M291" s="208">
        <v>148.54000000000019</v>
      </c>
      <c r="N291" s="98"/>
      <c r="O291" s="98"/>
      <c r="P291" s="98"/>
      <c r="Q291" s="208">
        <v>97.479999999999905</v>
      </c>
      <c r="R291" s="98">
        <v>126.95999999999988</v>
      </c>
      <c r="S291" s="98">
        <v>133.4799999999999</v>
      </c>
      <c r="T291" s="98">
        <v>187.80000000000024</v>
      </c>
      <c r="U291" s="98">
        <v>97.479999999999905</v>
      </c>
      <c r="V291" s="98">
        <v>449.5</v>
      </c>
      <c r="W291" s="98">
        <v>535.79999999999905</v>
      </c>
      <c r="X291" s="98"/>
      <c r="Y291" s="98"/>
      <c r="Z291" s="98"/>
      <c r="AA291" s="230"/>
      <c r="AB291" s="230"/>
      <c r="AC291" s="230">
        <v>237.43999999999971</v>
      </c>
    </row>
    <row r="292" spans="2:29">
      <c r="B292" s="98">
        <v>322</v>
      </c>
      <c r="C292" s="98">
        <v>106.2</v>
      </c>
      <c r="D292" s="98">
        <v>584.4</v>
      </c>
      <c r="E292" s="98">
        <v>178.6</v>
      </c>
      <c r="F292" s="98">
        <v>188.7</v>
      </c>
      <c r="G292" s="98">
        <v>142.80000000000001</v>
      </c>
      <c r="H292" s="98">
        <v>106.6</v>
      </c>
      <c r="I292" s="98">
        <v>129.6</v>
      </c>
      <c r="J292" s="98">
        <v>183.6</v>
      </c>
      <c r="K292" s="209">
        <v>107.3599999999999</v>
      </c>
      <c r="L292" s="209">
        <v>116.3599999999999</v>
      </c>
      <c r="M292" s="209">
        <v>148.2800000000002</v>
      </c>
      <c r="N292" s="98"/>
      <c r="O292" s="98"/>
      <c r="P292" s="98"/>
      <c r="Q292" s="208">
        <v>97.3599999999999</v>
      </c>
      <c r="R292" s="98">
        <v>126.71999999999989</v>
      </c>
      <c r="S292" s="98">
        <v>133.3599999999999</v>
      </c>
      <c r="T292" s="98">
        <v>187.60000000000025</v>
      </c>
      <c r="U292" s="98">
        <v>97.3599999999999</v>
      </c>
      <c r="V292" s="98">
        <v>449</v>
      </c>
      <c r="W292" s="98">
        <v>535.599999999999</v>
      </c>
      <c r="X292" s="98"/>
      <c r="Y292" s="98"/>
      <c r="Z292" s="98"/>
      <c r="AA292" s="230"/>
      <c r="AB292" s="230"/>
      <c r="AC292" s="230">
        <v>237.0799999999997</v>
      </c>
    </row>
    <row r="293" spans="2:29">
      <c r="B293" s="98">
        <v>323</v>
      </c>
      <c r="C293" s="98">
        <v>106.2</v>
      </c>
      <c r="D293" s="98">
        <v>584</v>
      </c>
      <c r="E293" s="98">
        <v>178.4</v>
      </c>
      <c r="F293" s="98">
        <v>188.5</v>
      </c>
      <c r="G293" s="98">
        <v>142.69999999999999</v>
      </c>
      <c r="H293" s="98">
        <v>106.5</v>
      </c>
      <c r="I293" s="98">
        <v>129.5</v>
      </c>
      <c r="J293" s="98">
        <v>183.4</v>
      </c>
      <c r="K293" s="208">
        <v>107.2399999999999</v>
      </c>
      <c r="L293" s="208">
        <v>116.2399999999999</v>
      </c>
      <c r="M293" s="208">
        <v>148.02000000000021</v>
      </c>
      <c r="N293" s="98"/>
      <c r="O293" s="98"/>
      <c r="P293" s="98"/>
      <c r="Q293" s="208">
        <v>97.239999999999895</v>
      </c>
      <c r="R293" s="98">
        <v>126.47999999999989</v>
      </c>
      <c r="S293" s="98">
        <v>133.2399999999999</v>
      </c>
      <c r="T293" s="98">
        <v>187.40000000000026</v>
      </c>
      <c r="U293" s="98">
        <v>97.239999999999895</v>
      </c>
      <c r="V293" s="98">
        <v>448.5</v>
      </c>
      <c r="W293" s="98">
        <v>535.39999999999895</v>
      </c>
      <c r="X293" s="98"/>
      <c r="Y293" s="98"/>
      <c r="Z293" s="98"/>
      <c r="AA293" s="230"/>
      <c r="AB293" s="230"/>
      <c r="AC293" s="230">
        <v>236.71999999999969</v>
      </c>
    </row>
    <row r="294" spans="2:29">
      <c r="B294" s="98">
        <v>324</v>
      </c>
      <c r="C294" s="98">
        <v>106.1</v>
      </c>
      <c r="D294" s="98">
        <v>583.5</v>
      </c>
      <c r="E294" s="98">
        <v>178.2</v>
      </c>
      <c r="F294" s="98">
        <v>188.2</v>
      </c>
      <c r="G294" s="98">
        <v>142.6</v>
      </c>
      <c r="H294" s="98">
        <v>106.4</v>
      </c>
      <c r="I294" s="98">
        <v>129.4</v>
      </c>
      <c r="J294" s="98">
        <v>183.2</v>
      </c>
      <c r="K294" s="209">
        <v>107.11999999999989</v>
      </c>
      <c r="L294" s="209">
        <v>116.11999999999989</v>
      </c>
      <c r="M294" s="209">
        <v>147.76000000000022</v>
      </c>
      <c r="N294" s="98"/>
      <c r="O294" s="98"/>
      <c r="P294" s="98"/>
      <c r="Q294" s="208">
        <v>97.119999999999891</v>
      </c>
      <c r="R294" s="98">
        <v>126.2399999999999</v>
      </c>
      <c r="S294" s="98">
        <v>133.11999999999989</v>
      </c>
      <c r="T294" s="98">
        <v>187.20000000000027</v>
      </c>
      <c r="U294" s="98">
        <v>97.119999999999891</v>
      </c>
      <c r="V294" s="98">
        <v>448</v>
      </c>
      <c r="W294" s="98">
        <v>535.19999999999891</v>
      </c>
      <c r="X294" s="98"/>
      <c r="Y294" s="98"/>
      <c r="Z294" s="98"/>
      <c r="AA294" s="230"/>
      <c r="AB294" s="230"/>
      <c r="AC294" s="230">
        <v>236.35999999999967</v>
      </c>
    </row>
    <row r="295" spans="2:29">
      <c r="B295" s="98">
        <v>325</v>
      </c>
      <c r="C295" s="98">
        <v>106</v>
      </c>
      <c r="D295" s="98">
        <v>583</v>
      </c>
      <c r="E295" s="98">
        <v>178</v>
      </c>
      <c r="F295" s="98">
        <v>188</v>
      </c>
      <c r="G295" s="98">
        <v>142.5</v>
      </c>
      <c r="H295" s="98">
        <v>106.3</v>
      </c>
      <c r="I295" s="98">
        <v>129.30000000000001</v>
      </c>
      <c r="J295" s="98">
        <v>183</v>
      </c>
      <c r="K295" s="208">
        <v>106.99999999999989</v>
      </c>
      <c r="L295" s="208">
        <v>115.99999999999989</v>
      </c>
      <c r="M295" s="208">
        <v>147.50000000000023</v>
      </c>
      <c r="N295" s="98"/>
      <c r="O295" s="98"/>
      <c r="P295" s="98"/>
      <c r="Q295" s="208">
        <v>96.999999999999886</v>
      </c>
      <c r="R295" s="98">
        <v>125.9999999999999</v>
      </c>
      <c r="S295" s="98">
        <v>132.99999999999989</v>
      </c>
      <c r="T295" s="98">
        <v>187.00000000000028</v>
      </c>
      <c r="U295" s="98">
        <v>96.999999999999886</v>
      </c>
      <c r="V295" s="98">
        <v>447.5</v>
      </c>
      <c r="W295" s="98">
        <v>534.99999999999886</v>
      </c>
      <c r="X295" s="98"/>
      <c r="Y295" s="98"/>
      <c r="Z295" s="98"/>
      <c r="AA295" s="230"/>
      <c r="AB295" s="230"/>
      <c r="AC295" s="230">
        <v>235.99999999999966</v>
      </c>
    </row>
    <row r="296" spans="2:29">
      <c r="B296" s="98">
        <v>326</v>
      </c>
      <c r="C296" s="98">
        <v>105.9</v>
      </c>
      <c r="D296" s="98">
        <v>582.4</v>
      </c>
      <c r="E296" s="98">
        <v>177.9</v>
      </c>
      <c r="F296" s="98">
        <v>187.8</v>
      </c>
      <c r="G296" s="98">
        <v>142.4</v>
      </c>
      <c r="H296" s="98">
        <v>106.3</v>
      </c>
      <c r="I296" s="98">
        <v>129.30000000000001</v>
      </c>
      <c r="J296" s="98">
        <v>182.8</v>
      </c>
      <c r="K296" s="209">
        <v>106.87999999999988</v>
      </c>
      <c r="L296" s="209">
        <v>115.87999999999988</v>
      </c>
      <c r="M296" s="209">
        <v>147.24000000000024</v>
      </c>
      <c r="N296" s="98"/>
      <c r="O296" s="98"/>
      <c r="P296" s="98"/>
      <c r="Q296" s="208">
        <v>96.879999999999882</v>
      </c>
      <c r="R296" s="98">
        <v>125.75999999999991</v>
      </c>
      <c r="S296" s="98">
        <v>132.87999999999988</v>
      </c>
      <c r="T296" s="98">
        <v>186.8000000000003</v>
      </c>
      <c r="U296" s="98">
        <v>96.879999999999882</v>
      </c>
      <c r="V296" s="98">
        <v>447</v>
      </c>
      <c r="W296" s="98">
        <v>534.79999999999882</v>
      </c>
      <c r="X296" s="98"/>
      <c r="Y296" s="98"/>
      <c r="Z296" s="98"/>
      <c r="AA296" s="230"/>
      <c r="AB296" s="230"/>
      <c r="AC296" s="230">
        <v>235.63999999999965</v>
      </c>
    </row>
    <row r="297" spans="2:29">
      <c r="B297" s="98">
        <v>327</v>
      </c>
      <c r="C297" s="98">
        <v>105.8</v>
      </c>
      <c r="D297" s="98">
        <v>581.79999999999995</v>
      </c>
      <c r="E297" s="98">
        <v>177.8</v>
      </c>
      <c r="F297" s="98">
        <v>187.6</v>
      </c>
      <c r="G297" s="98">
        <v>142.30000000000001</v>
      </c>
      <c r="H297" s="98">
        <v>106.2</v>
      </c>
      <c r="I297" s="98">
        <v>129.19999999999999</v>
      </c>
      <c r="J297" s="98">
        <v>182.5</v>
      </c>
      <c r="K297" s="208">
        <v>106.75999999999988</v>
      </c>
      <c r="L297" s="208">
        <v>115.75999999999988</v>
      </c>
      <c r="M297" s="208">
        <v>146.98000000000025</v>
      </c>
      <c r="N297" s="98"/>
      <c r="O297" s="98"/>
      <c r="P297" s="98"/>
      <c r="Q297" s="208">
        <v>96.759999999999877</v>
      </c>
      <c r="R297" s="98">
        <v>125.51999999999991</v>
      </c>
      <c r="S297" s="98">
        <v>132.75999999999988</v>
      </c>
      <c r="T297" s="98">
        <v>186.60000000000031</v>
      </c>
      <c r="U297" s="98">
        <v>96.759999999999877</v>
      </c>
      <c r="V297" s="98">
        <v>446.5</v>
      </c>
      <c r="W297" s="98">
        <v>534.59999999999877</v>
      </c>
      <c r="X297" s="98"/>
      <c r="Y297" s="98"/>
      <c r="Z297" s="98"/>
      <c r="AA297" s="230"/>
      <c r="AB297" s="230"/>
      <c r="AC297" s="230">
        <v>235.27999999999963</v>
      </c>
    </row>
    <row r="298" spans="2:29">
      <c r="B298" s="98">
        <v>328</v>
      </c>
      <c r="C298" s="98">
        <v>105.8</v>
      </c>
      <c r="D298" s="98">
        <v>581.20000000000005</v>
      </c>
      <c r="E298" s="98">
        <v>177.6</v>
      </c>
      <c r="F298" s="98">
        <v>187.4</v>
      </c>
      <c r="G298" s="98">
        <v>142.19999999999999</v>
      </c>
      <c r="H298" s="98">
        <v>106.1</v>
      </c>
      <c r="I298" s="98">
        <v>129.1</v>
      </c>
      <c r="J298" s="98">
        <v>182.3</v>
      </c>
      <c r="K298" s="209">
        <v>106.63999999999987</v>
      </c>
      <c r="L298" s="209">
        <v>115.63999999999987</v>
      </c>
      <c r="M298" s="209">
        <v>146.72000000000025</v>
      </c>
      <c r="N298" s="98"/>
      <c r="O298" s="98"/>
      <c r="P298" s="98"/>
      <c r="Q298" s="208">
        <v>96.639999999999873</v>
      </c>
      <c r="R298" s="98">
        <v>125.27999999999992</v>
      </c>
      <c r="S298" s="98">
        <v>132.63999999999987</v>
      </c>
      <c r="T298" s="98">
        <v>186.40000000000032</v>
      </c>
      <c r="U298" s="98">
        <v>96.639999999999873</v>
      </c>
      <c r="V298" s="98">
        <v>446</v>
      </c>
      <c r="W298" s="98">
        <v>534.39999999999873</v>
      </c>
      <c r="X298" s="98"/>
      <c r="Y298" s="98"/>
      <c r="Z298" s="98"/>
      <c r="AA298" s="230"/>
      <c r="AB298" s="230"/>
      <c r="AC298" s="230">
        <v>234.91999999999962</v>
      </c>
    </row>
    <row r="299" spans="2:29">
      <c r="B299" s="98">
        <v>329</v>
      </c>
      <c r="C299" s="98">
        <v>105.7</v>
      </c>
      <c r="D299" s="98">
        <v>580.6</v>
      </c>
      <c r="E299" s="98">
        <v>177.5</v>
      </c>
      <c r="F299" s="98">
        <v>187.2</v>
      </c>
      <c r="G299" s="98">
        <v>142.1</v>
      </c>
      <c r="H299" s="98">
        <v>106</v>
      </c>
      <c r="I299" s="98">
        <v>129</v>
      </c>
      <c r="J299" s="98">
        <v>182</v>
      </c>
      <c r="K299" s="208">
        <v>106.51999999999987</v>
      </c>
      <c r="L299" s="208">
        <v>115.51999999999987</v>
      </c>
      <c r="M299" s="208">
        <v>146.46000000000026</v>
      </c>
      <c r="N299" s="98"/>
      <c r="O299" s="98"/>
      <c r="P299" s="98"/>
      <c r="Q299" s="208">
        <v>96.519999999999868</v>
      </c>
      <c r="R299" s="98">
        <v>125.03999999999992</v>
      </c>
      <c r="S299" s="98">
        <v>132.51999999999987</v>
      </c>
      <c r="T299" s="98">
        <v>186.20000000000033</v>
      </c>
      <c r="U299" s="98">
        <v>96.519999999999868</v>
      </c>
      <c r="V299" s="98">
        <v>445.5</v>
      </c>
      <c r="W299" s="98">
        <v>534.19999999999868</v>
      </c>
      <c r="X299" s="98"/>
      <c r="Y299" s="98"/>
      <c r="Z299" s="98"/>
      <c r="AA299" s="230"/>
      <c r="AB299" s="230"/>
      <c r="AC299" s="230">
        <v>234.5599999999996</v>
      </c>
    </row>
    <row r="300" spans="2:29">
      <c r="B300" s="98">
        <v>330</v>
      </c>
      <c r="C300" s="98">
        <v>105.6</v>
      </c>
      <c r="D300" s="98">
        <v>580</v>
      </c>
      <c r="E300" s="98">
        <v>177.4</v>
      </c>
      <c r="F300" s="98">
        <v>187</v>
      </c>
      <c r="G300" s="98">
        <v>142</v>
      </c>
      <c r="H300" s="98">
        <v>106</v>
      </c>
      <c r="I300" s="98">
        <v>129</v>
      </c>
      <c r="J300" s="98">
        <v>181.8</v>
      </c>
      <c r="K300" s="209">
        <v>106.39999999999986</v>
      </c>
      <c r="L300" s="209">
        <v>115.39999999999986</v>
      </c>
      <c r="M300" s="209">
        <v>146.20000000000027</v>
      </c>
      <c r="N300" s="98"/>
      <c r="O300" s="98"/>
      <c r="P300" s="98"/>
      <c r="Q300" s="208">
        <v>96.399999999999864</v>
      </c>
      <c r="R300" s="98">
        <v>124.79999999999993</v>
      </c>
      <c r="S300" s="98">
        <v>132.39999999999986</v>
      </c>
      <c r="T300" s="98">
        <v>186.00000000000034</v>
      </c>
      <c r="U300" s="98">
        <v>96.399999999999864</v>
      </c>
      <c r="V300" s="98">
        <v>445</v>
      </c>
      <c r="W300" s="98">
        <v>533.99999999999864</v>
      </c>
      <c r="X300" s="98"/>
      <c r="Y300" s="98"/>
      <c r="Z300" s="98"/>
      <c r="AA300" s="230"/>
      <c r="AB300" s="230"/>
      <c r="AC300" s="230">
        <v>234.19999999999959</v>
      </c>
    </row>
    <row r="301" spans="2:29">
      <c r="B301" s="98">
        <v>331</v>
      </c>
      <c r="C301" s="98">
        <v>105.5</v>
      </c>
      <c r="D301" s="98">
        <v>579.4</v>
      </c>
      <c r="E301" s="98">
        <v>177.3</v>
      </c>
      <c r="F301" s="98">
        <v>186.8</v>
      </c>
      <c r="G301" s="98">
        <v>141.9</v>
      </c>
      <c r="H301" s="98">
        <v>105.9</v>
      </c>
      <c r="I301" s="98">
        <v>128.9</v>
      </c>
      <c r="J301" s="98">
        <v>181.6</v>
      </c>
      <c r="K301" s="208">
        <v>106.27999999999986</v>
      </c>
      <c r="L301" s="208">
        <v>115.27999999999986</v>
      </c>
      <c r="M301" s="208">
        <v>145.94000000000028</v>
      </c>
      <c r="N301" s="98"/>
      <c r="O301" s="98"/>
      <c r="P301" s="98"/>
      <c r="Q301" s="208">
        <v>96.279999999999859</v>
      </c>
      <c r="R301" s="98">
        <v>124.55999999999993</v>
      </c>
      <c r="S301" s="98">
        <v>132.27999999999986</v>
      </c>
      <c r="T301" s="98">
        <v>185.80000000000035</v>
      </c>
      <c r="U301" s="98">
        <v>96.279999999999859</v>
      </c>
      <c r="V301" s="98">
        <v>444.5</v>
      </c>
      <c r="W301" s="98">
        <v>533.79999999999859</v>
      </c>
      <c r="X301" s="98"/>
      <c r="Y301" s="98"/>
      <c r="Z301" s="98"/>
      <c r="AA301" s="230"/>
      <c r="AB301" s="230"/>
      <c r="AC301" s="230">
        <v>233.83999999999958</v>
      </c>
    </row>
    <row r="302" spans="2:29">
      <c r="B302" s="98">
        <v>332</v>
      </c>
      <c r="C302" s="98">
        <v>105.4</v>
      </c>
      <c r="D302" s="98">
        <v>578.79999999999995</v>
      </c>
      <c r="E302" s="98">
        <v>177.2</v>
      </c>
      <c r="F302" s="98">
        <v>186.6</v>
      </c>
      <c r="G302" s="98">
        <v>141.80000000000001</v>
      </c>
      <c r="H302" s="98">
        <v>105.8</v>
      </c>
      <c r="I302" s="98">
        <v>128.80000000000001</v>
      </c>
      <c r="J302" s="98">
        <v>181.3</v>
      </c>
      <c r="K302" s="209">
        <v>106.15999999999985</v>
      </c>
      <c r="L302" s="209">
        <v>115.15999999999985</v>
      </c>
      <c r="M302" s="209">
        <v>145.68000000000029</v>
      </c>
      <c r="N302" s="98"/>
      <c r="O302" s="98"/>
      <c r="P302" s="98"/>
      <c r="Q302" s="208">
        <v>96.159999999999854</v>
      </c>
      <c r="R302" s="98">
        <v>124.31999999999994</v>
      </c>
      <c r="S302" s="98">
        <v>132.15999999999985</v>
      </c>
      <c r="T302" s="98">
        <v>185.60000000000036</v>
      </c>
      <c r="U302" s="98">
        <v>96.159999999999854</v>
      </c>
      <c r="V302" s="98">
        <v>444</v>
      </c>
      <c r="W302" s="98">
        <v>533.59999999999854</v>
      </c>
      <c r="X302" s="98"/>
      <c r="Y302" s="98"/>
      <c r="Z302" s="98"/>
      <c r="AA302" s="230"/>
      <c r="AB302" s="230"/>
      <c r="AC302" s="230">
        <v>233.47999999999956</v>
      </c>
    </row>
    <row r="303" spans="2:29">
      <c r="B303" s="98">
        <v>333</v>
      </c>
      <c r="C303" s="98">
        <v>105.4</v>
      </c>
      <c r="D303" s="98">
        <v>578.20000000000005</v>
      </c>
      <c r="E303" s="98">
        <v>177</v>
      </c>
      <c r="F303" s="98">
        <v>186.4</v>
      </c>
      <c r="G303" s="98">
        <v>141.69999999999999</v>
      </c>
      <c r="H303" s="98">
        <v>105.7</v>
      </c>
      <c r="I303" s="98">
        <v>128.69999999999999</v>
      </c>
      <c r="J303" s="98">
        <v>181.1</v>
      </c>
      <c r="K303" s="208">
        <v>106.03999999999985</v>
      </c>
      <c r="L303" s="208">
        <v>115.03999999999985</v>
      </c>
      <c r="M303" s="208">
        <v>145.4200000000003</v>
      </c>
      <c r="N303" s="98"/>
      <c r="O303" s="98"/>
      <c r="P303" s="98"/>
      <c r="Q303" s="208">
        <v>96.03999999999985</v>
      </c>
      <c r="R303" s="98">
        <v>124.07999999999994</v>
      </c>
      <c r="S303" s="98">
        <v>132.03999999999985</v>
      </c>
      <c r="T303" s="98">
        <v>185.40000000000038</v>
      </c>
      <c r="U303" s="98">
        <v>96.03999999999985</v>
      </c>
      <c r="V303" s="98">
        <v>443.5</v>
      </c>
      <c r="W303" s="98">
        <v>533.3999999999985</v>
      </c>
      <c r="X303" s="98"/>
      <c r="Y303" s="98"/>
      <c r="Z303" s="98"/>
      <c r="AA303" s="230"/>
      <c r="AB303" s="230"/>
      <c r="AC303" s="230">
        <v>233.11999999999955</v>
      </c>
    </row>
    <row r="304" spans="2:29">
      <c r="B304" s="98">
        <v>334</v>
      </c>
      <c r="C304" s="98">
        <v>105.3</v>
      </c>
      <c r="D304" s="98">
        <v>577.6</v>
      </c>
      <c r="E304" s="98">
        <v>176.9</v>
      </c>
      <c r="F304" s="98">
        <v>186.2</v>
      </c>
      <c r="G304" s="98">
        <v>141.6</v>
      </c>
      <c r="H304" s="98">
        <v>105.7</v>
      </c>
      <c r="I304" s="98">
        <v>128.69999999999999</v>
      </c>
      <c r="J304" s="98">
        <v>180.8</v>
      </c>
      <c r="K304" s="209">
        <v>105.91999999999985</v>
      </c>
      <c r="L304" s="209">
        <v>114.91999999999985</v>
      </c>
      <c r="M304" s="209">
        <v>145.16000000000031</v>
      </c>
      <c r="N304" s="98"/>
      <c r="O304" s="98"/>
      <c r="P304" s="98"/>
      <c r="Q304" s="208">
        <v>95.919999999999845</v>
      </c>
      <c r="R304" s="98">
        <v>123.83999999999995</v>
      </c>
      <c r="S304" s="98">
        <v>131.91999999999985</v>
      </c>
      <c r="T304" s="98">
        <v>185.20000000000039</v>
      </c>
      <c r="U304" s="98">
        <v>95.919999999999845</v>
      </c>
      <c r="V304" s="98">
        <v>443</v>
      </c>
      <c r="W304" s="98">
        <v>533.19999999999845</v>
      </c>
      <c r="X304" s="98"/>
      <c r="Y304" s="98"/>
      <c r="Z304" s="98"/>
      <c r="AA304" s="230"/>
      <c r="AB304" s="230"/>
      <c r="AC304" s="230">
        <v>232.75999999999954</v>
      </c>
    </row>
    <row r="305" spans="2:29">
      <c r="B305" s="98">
        <v>335</v>
      </c>
      <c r="C305" s="98">
        <v>105.2</v>
      </c>
      <c r="D305" s="98">
        <v>577</v>
      </c>
      <c r="E305" s="98">
        <v>176.8</v>
      </c>
      <c r="F305" s="98">
        <v>186</v>
      </c>
      <c r="G305" s="98">
        <v>141.5</v>
      </c>
      <c r="H305" s="98">
        <v>105.6</v>
      </c>
      <c r="I305" s="98">
        <v>128.6</v>
      </c>
      <c r="J305" s="98">
        <v>180.6</v>
      </c>
      <c r="K305" s="208">
        <v>105.79999999999984</v>
      </c>
      <c r="L305" s="208">
        <v>114.79999999999984</v>
      </c>
      <c r="M305" s="208">
        <v>144.90000000000032</v>
      </c>
      <c r="N305" s="98"/>
      <c r="O305" s="98"/>
      <c r="P305" s="98"/>
      <c r="Q305" s="208">
        <v>95.799999999999841</v>
      </c>
      <c r="R305" s="98">
        <v>123.59999999999995</v>
      </c>
      <c r="S305" s="98">
        <v>131.79999999999984</v>
      </c>
      <c r="T305" s="98">
        <v>185.0000000000004</v>
      </c>
      <c r="U305" s="98">
        <v>95.799999999999841</v>
      </c>
      <c r="V305" s="98">
        <v>442.5</v>
      </c>
      <c r="W305" s="98">
        <v>532.99999999999841</v>
      </c>
      <c r="X305" s="98"/>
      <c r="Y305" s="98"/>
      <c r="Z305" s="98"/>
      <c r="AA305" s="230"/>
      <c r="AB305" s="230"/>
      <c r="AC305" s="230">
        <v>232.39999999999952</v>
      </c>
    </row>
    <row r="306" spans="2:29">
      <c r="B306" s="98">
        <v>336</v>
      </c>
      <c r="C306" s="98">
        <v>105.1</v>
      </c>
      <c r="D306" s="98">
        <v>576.4</v>
      </c>
      <c r="E306" s="98">
        <v>176.7</v>
      </c>
      <c r="F306" s="98">
        <v>185.8</v>
      </c>
      <c r="G306" s="98">
        <v>141.4</v>
      </c>
      <c r="H306" s="98">
        <v>105.5</v>
      </c>
      <c r="I306" s="98">
        <v>128.5</v>
      </c>
      <c r="J306" s="98">
        <v>180.4</v>
      </c>
      <c r="K306" s="209">
        <v>105.67999999999984</v>
      </c>
      <c r="L306" s="209">
        <v>114.67999999999984</v>
      </c>
      <c r="M306" s="209">
        <v>144.64000000000033</v>
      </c>
      <c r="N306" s="98"/>
      <c r="O306" s="98"/>
      <c r="P306" s="98"/>
      <c r="Q306" s="208">
        <v>95.679999999999836</v>
      </c>
      <c r="R306" s="98">
        <v>123.35999999999996</v>
      </c>
      <c r="S306" s="98">
        <v>131.67999999999984</v>
      </c>
      <c r="T306" s="98">
        <v>184.80000000000041</v>
      </c>
      <c r="U306" s="98">
        <v>95.679999999999836</v>
      </c>
      <c r="V306" s="98">
        <v>442</v>
      </c>
      <c r="W306" s="98">
        <v>532.79999999999836</v>
      </c>
      <c r="X306" s="98"/>
      <c r="Y306" s="98"/>
      <c r="Z306" s="98"/>
      <c r="AA306" s="230"/>
      <c r="AB306" s="230"/>
      <c r="AC306" s="230">
        <v>232.03999999999951</v>
      </c>
    </row>
    <row r="307" spans="2:29">
      <c r="B307" s="98">
        <v>337</v>
      </c>
      <c r="C307" s="98">
        <v>105</v>
      </c>
      <c r="D307" s="98">
        <v>575.79999999999995</v>
      </c>
      <c r="E307" s="98">
        <v>176.6</v>
      </c>
      <c r="F307" s="98">
        <v>185.6</v>
      </c>
      <c r="G307" s="98">
        <v>141.30000000000001</v>
      </c>
      <c r="H307" s="98">
        <v>105.4</v>
      </c>
      <c r="I307" s="98">
        <v>128.4</v>
      </c>
      <c r="J307" s="98">
        <v>180.1</v>
      </c>
      <c r="K307" s="208">
        <v>105.55999999999983</v>
      </c>
      <c r="L307" s="208">
        <v>114.55999999999983</v>
      </c>
      <c r="M307" s="208">
        <v>144.38000000000034</v>
      </c>
      <c r="N307" s="98"/>
      <c r="O307" s="98"/>
      <c r="P307" s="98"/>
      <c r="Q307" s="208">
        <v>95.559999999999832</v>
      </c>
      <c r="R307" s="98">
        <v>123.11999999999996</v>
      </c>
      <c r="S307" s="98">
        <v>131.55999999999983</v>
      </c>
      <c r="T307" s="98">
        <v>184.60000000000042</v>
      </c>
      <c r="U307" s="98">
        <v>95.559999999999832</v>
      </c>
      <c r="V307" s="98">
        <v>441.5</v>
      </c>
      <c r="W307" s="98">
        <v>532.59999999999832</v>
      </c>
      <c r="X307" s="98"/>
      <c r="Y307" s="98"/>
      <c r="Z307" s="98"/>
      <c r="AA307" s="230"/>
      <c r="AB307" s="230"/>
      <c r="AC307" s="230">
        <v>231.6799999999995</v>
      </c>
    </row>
    <row r="308" spans="2:29">
      <c r="B308" s="98">
        <v>338</v>
      </c>
      <c r="C308" s="98">
        <v>105</v>
      </c>
      <c r="D308" s="98">
        <v>575.20000000000005</v>
      </c>
      <c r="E308" s="98">
        <v>176.4</v>
      </c>
      <c r="F308" s="98">
        <v>185.4</v>
      </c>
      <c r="G308" s="98">
        <v>141.19999999999999</v>
      </c>
      <c r="H308" s="98">
        <v>105.4</v>
      </c>
      <c r="I308" s="98">
        <v>128.4</v>
      </c>
      <c r="J308" s="98">
        <v>179.9</v>
      </c>
      <c r="K308" s="209">
        <v>105.43999999999983</v>
      </c>
      <c r="L308" s="209">
        <v>114.43999999999983</v>
      </c>
      <c r="M308" s="209">
        <v>144.12000000000035</v>
      </c>
      <c r="N308" s="98"/>
      <c r="O308" s="98"/>
      <c r="P308" s="98"/>
      <c r="Q308" s="208">
        <v>95.439999999999827</v>
      </c>
      <c r="R308" s="98">
        <v>122.87999999999997</v>
      </c>
      <c r="S308" s="98">
        <v>131.43999999999983</v>
      </c>
      <c r="T308" s="98">
        <v>184.40000000000043</v>
      </c>
      <c r="U308" s="98">
        <v>95.439999999999827</v>
      </c>
      <c r="V308" s="98">
        <v>441</v>
      </c>
      <c r="W308" s="98">
        <v>532.39999999999827</v>
      </c>
      <c r="X308" s="98"/>
      <c r="Y308" s="98"/>
      <c r="Z308" s="98"/>
      <c r="AA308" s="230"/>
      <c r="AB308" s="230"/>
      <c r="AC308" s="230">
        <v>231.31999999999948</v>
      </c>
    </row>
    <row r="309" spans="2:29">
      <c r="B309" s="98">
        <v>339</v>
      </c>
      <c r="C309" s="98">
        <v>104.9</v>
      </c>
      <c r="D309" s="98">
        <v>574.6</v>
      </c>
      <c r="E309" s="98">
        <v>176.3</v>
      </c>
      <c r="F309" s="98">
        <v>185.2</v>
      </c>
      <c r="G309" s="98">
        <v>141.1</v>
      </c>
      <c r="H309" s="98">
        <v>105.3</v>
      </c>
      <c r="I309" s="98">
        <v>128.30000000000001</v>
      </c>
      <c r="J309" s="98">
        <v>179.6</v>
      </c>
      <c r="K309" s="208">
        <v>105.31999999999982</v>
      </c>
      <c r="L309" s="208">
        <v>114.31999999999982</v>
      </c>
      <c r="M309" s="208">
        <v>143.86000000000035</v>
      </c>
      <c r="N309" s="98"/>
      <c r="O309" s="98"/>
      <c r="P309" s="98"/>
      <c r="Q309" s="208">
        <v>95.319999999999823</v>
      </c>
      <c r="R309" s="98">
        <v>122.63999999999997</v>
      </c>
      <c r="S309" s="98">
        <v>131.31999999999982</v>
      </c>
      <c r="T309" s="98">
        <v>184.20000000000044</v>
      </c>
      <c r="U309" s="98">
        <v>95.319999999999823</v>
      </c>
      <c r="V309" s="98">
        <v>440.5</v>
      </c>
      <c r="W309" s="98">
        <v>532.19999999999823</v>
      </c>
      <c r="X309" s="98"/>
      <c r="Y309" s="98"/>
      <c r="Z309" s="98"/>
      <c r="AA309" s="230"/>
      <c r="AB309" s="230"/>
      <c r="AC309" s="230">
        <v>230.95999999999947</v>
      </c>
    </row>
    <row r="310" spans="2:29">
      <c r="B310" s="98">
        <v>340</v>
      </c>
      <c r="C310" s="98">
        <v>104.8</v>
      </c>
      <c r="D310" s="98">
        <v>574</v>
      </c>
      <c r="E310" s="98">
        <v>176.2</v>
      </c>
      <c r="F310" s="98">
        <v>185</v>
      </c>
      <c r="G310" s="98">
        <v>141</v>
      </c>
      <c r="H310" s="98">
        <v>105.2</v>
      </c>
      <c r="I310" s="98">
        <v>128.19999999999999</v>
      </c>
      <c r="J310" s="98">
        <v>179.4</v>
      </c>
      <c r="K310" s="209">
        <v>105.19999999999982</v>
      </c>
      <c r="L310" s="209">
        <v>114.19999999999982</v>
      </c>
      <c r="M310" s="209">
        <v>143.60000000000036</v>
      </c>
      <c r="N310" s="98"/>
      <c r="O310" s="98"/>
      <c r="P310" s="98"/>
      <c r="Q310" s="208">
        <v>95.199999999999818</v>
      </c>
      <c r="R310" s="98">
        <v>122.39999999999998</v>
      </c>
      <c r="S310" s="98">
        <v>131.19999999999982</v>
      </c>
      <c r="T310" s="98">
        <v>184.00000000000045</v>
      </c>
      <c r="U310" s="98">
        <v>95.199999999999818</v>
      </c>
      <c r="V310" s="98">
        <v>440</v>
      </c>
      <c r="W310" s="98">
        <v>531.99999999999818</v>
      </c>
      <c r="X310" s="98"/>
      <c r="Y310" s="98"/>
      <c r="Z310" s="98"/>
      <c r="AA310" s="230"/>
      <c r="AB310" s="230"/>
      <c r="AC310" s="230">
        <v>230.59999999999945</v>
      </c>
    </row>
    <row r="311" spans="2:29">
      <c r="B311" s="98">
        <v>341</v>
      </c>
      <c r="C311" s="98">
        <v>104.7</v>
      </c>
      <c r="D311" s="98">
        <v>573.4</v>
      </c>
      <c r="E311" s="98">
        <v>176.1</v>
      </c>
      <c r="F311" s="98">
        <v>184.8</v>
      </c>
      <c r="G311" s="98">
        <v>140.9</v>
      </c>
      <c r="H311" s="98">
        <v>105.1</v>
      </c>
      <c r="I311" s="98">
        <v>128.1</v>
      </c>
      <c r="J311" s="98">
        <v>179.2</v>
      </c>
      <c r="K311" s="208">
        <v>105.07999999999981</v>
      </c>
      <c r="L311" s="208">
        <v>114.07999999999981</v>
      </c>
      <c r="M311" s="208">
        <v>143.34000000000037</v>
      </c>
      <c r="N311" s="98"/>
      <c r="O311" s="98"/>
      <c r="P311" s="98"/>
      <c r="Q311" s="208">
        <v>95.079999999999814</v>
      </c>
      <c r="R311" s="98">
        <v>122.15999999999998</v>
      </c>
      <c r="S311" s="98">
        <v>131.07999999999981</v>
      </c>
      <c r="T311" s="98">
        <v>183.80000000000047</v>
      </c>
      <c r="U311" s="98">
        <v>95.079999999999814</v>
      </c>
      <c r="V311" s="98">
        <v>439.5</v>
      </c>
      <c r="W311" s="98">
        <v>531.79999999999814</v>
      </c>
      <c r="X311" s="98"/>
      <c r="Y311" s="98"/>
      <c r="Z311" s="98"/>
      <c r="AA311" s="230"/>
      <c r="AB311" s="230"/>
      <c r="AC311" s="230">
        <v>230.23999999999944</v>
      </c>
    </row>
    <row r="312" spans="2:29">
      <c r="B312" s="98">
        <v>342</v>
      </c>
      <c r="C312" s="98">
        <v>104.6</v>
      </c>
      <c r="D312" s="98">
        <v>572.79999999999995</v>
      </c>
      <c r="E312" s="98">
        <v>176</v>
      </c>
      <c r="F312" s="98">
        <v>184.6</v>
      </c>
      <c r="G312" s="98">
        <v>140.80000000000001</v>
      </c>
      <c r="H312" s="98">
        <v>105.1</v>
      </c>
      <c r="I312" s="98">
        <v>128.1</v>
      </c>
      <c r="J312" s="98">
        <v>178.9</v>
      </c>
      <c r="K312" s="209">
        <v>104.95999999999981</v>
      </c>
      <c r="L312" s="209">
        <v>113.95999999999981</v>
      </c>
      <c r="M312" s="209">
        <v>143.08000000000038</v>
      </c>
      <c r="N312" s="98"/>
      <c r="O312" s="98"/>
      <c r="P312" s="98"/>
      <c r="Q312" s="208">
        <v>94.959999999999809</v>
      </c>
      <c r="R312" s="98">
        <v>121.91999999999999</v>
      </c>
      <c r="S312" s="98">
        <v>130.95999999999981</v>
      </c>
      <c r="T312" s="98">
        <v>183.60000000000048</v>
      </c>
      <c r="U312" s="98">
        <v>94.959999999999809</v>
      </c>
      <c r="V312" s="98">
        <v>439</v>
      </c>
      <c r="W312" s="98">
        <v>531.59999999999809</v>
      </c>
      <c r="X312" s="98"/>
      <c r="Y312" s="98"/>
      <c r="Z312" s="98"/>
      <c r="AA312" s="230"/>
      <c r="AB312" s="230"/>
      <c r="AC312" s="230">
        <v>229.87999999999943</v>
      </c>
    </row>
    <row r="313" spans="2:29">
      <c r="B313" s="98">
        <v>343</v>
      </c>
      <c r="C313" s="98">
        <v>104.6</v>
      </c>
      <c r="D313" s="98">
        <v>572.20000000000005</v>
      </c>
      <c r="E313" s="98">
        <v>175.8</v>
      </c>
      <c r="F313" s="98">
        <v>184.4</v>
      </c>
      <c r="G313" s="98">
        <v>140.69999999999999</v>
      </c>
      <c r="H313" s="98">
        <v>105</v>
      </c>
      <c r="I313" s="98">
        <v>128</v>
      </c>
      <c r="J313" s="98">
        <v>178.7</v>
      </c>
      <c r="K313" s="208">
        <v>104.8399999999998</v>
      </c>
      <c r="L313" s="208">
        <v>113.8399999999998</v>
      </c>
      <c r="M313" s="208">
        <v>142.82000000000039</v>
      </c>
      <c r="N313" s="98"/>
      <c r="O313" s="98"/>
      <c r="P313" s="98"/>
      <c r="Q313" s="208">
        <v>94.839999999999804</v>
      </c>
      <c r="R313" s="98">
        <v>121.67999999999999</v>
      </c>
      <c r="S313" s="98">
        <v>130.8399999999998</v>
      </c>
      <c r="T313" s="98">
        <v>183.40000000000049</v>
      </c>
      <c r="U313" s="98">
        <v>94.839999999999804</v>
      </c>
      <c r="V313" s="98">
        <v>438.5</v>
      </c>
      <c r="W313" s="98">
        <v>531.39999999999804</v>
      </c>
      <c r="X313" s="98"/>
      <c r="Y313" s="98"/>
      <c r="Z313" s="98"/>
      <c r="AA313" s="230"/>
      <c r="AB313" s="230"/>
      <c r="AC313" s="230">
        <v>229.51999999999941</v>
      </c>
    </row>
    <row r="314" spans="2:29">
      <c r="B314" s="98">
        <v>344</v>
      </c>
      <c r="C314" s="98">
        <v>104.5</v>
      </c>
      <c r="D314" s="98">
        <v>571.6</v>
      </c>
      <c r="E314" s="98">
        <v>175.7</v>
      </c>
      <c r="F314" s="98">
        <v>184.2</v>
      </c>
      <c r="G314" s="98">
        <v>140.6</v>
      </c>
      <c r="H314" s="98">
        <v>104.9</v>
      </c>
      <c r="I314" s="98">
        <v>127.9</v>
      </c>
      <c r="J314" s="98">
        <v>178.4</v>
      </c>
      <c r="K314" s="209">
        <v>104.7199999999998</v>
      </c>
      <c r="L314" s="209">
        <v>113.7199999999998</v>
      </c>
      <c r="M314" s="209">
        <v>142.5600000000004</v>
      </c>
      <c r="N314" s="98"/>
      <c r="O314" s="98"/>
      <c r="P314" s="98"/>
      <c r="Q314" s="208">
        <v>94.7199999999998</v>
      </c>
      <c r="R314" s="98">
        <v>121.44</v>
      </c>
      <c r="S314" s="98">
        <v>130.7199999999998</v>
      </c>
      <c r="T314" s="98">
        <v>183.2000000000005</v>
      </c>
      <c r="U314" s="98">
        <v>94.7199999999998</v>
      </c>
      <c r="V314" s="98">
        <v>438</v>
      </c>
      <c r="W314" s="98">
        <v>531.199999999998</v>
      </c>
      <c r="X314" s="98"/>
      <c r="Y314" s="98"/>
      <c r="Z314" s="98"/>
      <c r="AA314" s="230"/>
      <c r="AB314" s="230"/>
      <c r="AC314" s="230">
        <v>229.1599999999994</v>
      </c>
    </row>
    <row r="315" spans="2:29">
      <c r="B315" s="98">
        <v>345</v>
      </c>
      <c r="C315" s="98">
        <v>104.4</v>
      </c>
      <c r="D315" s="98">
        <v>571</v>
      </c>
      <c r="E315" s="98">
        <v>175.6</v>
      </c>
      <c r="F315" s="98">
        <v>184</v>
      </c>
      <c r="G315" s="98">
        <v>140.5</v>
      </c>
      <c r="H315" s="98">
        <v>104.9</v>
      </c>
      <c r="I315" s="98">
        <v>127.8</v>
      </c>
      <c r="J315" s="98">
        <v>178.2</v>
      </c>
      <c r="K315" s="208">
        <v>104.5999999999998</v>
      </c>
      <c r="L315" s="208">
        <v>113.5999999999998</v>
      </c>
      <c r="M315" s="208">
        <v>142.30000000000041</v>
      </c>
      <c r="N315" s="98"/>
      <c r="O315" s="98"/>
      <c r="P315" s="98"/>
      <c r="Q315" s="208">
        <v>94.599999999999795</v>
      </c>
      <c r="R315" s="98">
        <v>121.2</v>
      </c>
      <c r="S315" s="98">
        <v>130.5999999999998</v>
      </c>
      <c r="T315" s="98">
        <v>183.00000000000051</v>
      </c>
      <c r="U315" s="98">
        <v>94.599999999999795</v>
      </c>
      <c r="V315" s="98">
        <v>437.5</v>
      </c>
      <c r="W315" s="98">
        <v>530.99999999999795</v>
      </c>
      <c r="X315" s="98"/>
      <c r="Y315" s="98"/>
      <c r="Z315" s="98"/>
      <c r="AA315" s="230"/>
      <c r="AB315" s="230"/>
      <c r="AC315" s="230">
        <v>228.79999999999939</v>
      </c>
    </row>
    <row r="316" spans="2:29">
      <c r="B316" s="98">
        <v>346</v>
      </c>
      <c r="C316" s="98">
        <v>104.3</v>
      </c>
      <c r="D316" s="98">
        <v>570.4</v>
      </c>
      <c r="E316" s="98">
        <v>175.5</v>
      </c>
      <c r="F316" s="98">
        <v>183.8</v>
      </c>
      <c r="G316" s="98">
        <v>140.4</v>
      </c>
      <c r="H316" s="98">
        <v>104.8</v>
      </c>
      <c r="I316" s="98">
        <v>127.7</v>
      </c>
      <c r="J316" s="98">
        <v>178</v>
      </c>
      <c r="K316" s="209">
        <v>104.47999999999979</v>
      </c>
      <c r="L316" s="209">
        <v>113.47999999999979</v>
      </c>
      <c r="M316" s="209">
        <v>142.04000000000042</v>
      </c>
      <c r="N316" s="98"/>
      <c r="O316" s="98"/>
      <c r="P316" s="98"/>
      <c r="Q316" s="208">
        <v>94.479999999999791</v>
      </c>
      <c r="R316" s="98">
        <v>120.96000000000001</v>
      </c>
      <c r="S316" s="98">
        <v>130.47999999999979</v>
      </c>
      <c r="T316" s="98">
        <v>182.80000000000052</v>
      </c>
      <c r="U316" s="98">
        <v>94.479999999999791</v>
      </c>
      <c r="V316" s="98">
        <v>437</v>
      </c>
      <c r="W316" s="98">
        <v>530.79999999999791</v>
      </c>
      <c r="X316" s="98"/>
      <c r="Y316" s="98"/>
      <c r="Z316" s="98"/>
      <c r="AA316" s="230"/>
      <c r="AB316" s="230"/>
      <c r="AC316" s="230">
        <v>228.43999999999937</v>
      </c>
    </row>
    <row r="317" spans="2:29">
      <c r="B317" s="98">
        <v>347</v>
      </c>
      <c r="C317" s="98">
        <v>104.2</v>
      </c>
      <c r="D317" s="98">
        <v>569.79999999999995</v>
      </c>
      <c r="E317" s="98">
        <v>175.4</v>
      </c>
      <c r="F317" s="98">
        <v>183.6</v>
      </c>
      <c r="G317" s="98">
        <v>140.30000000000001</v>
      </c>
      <c r="H317" s="98">
        <v>104.7</v>
      </c>
      <c r="I317" s="98">
        <v>127.6</v>
      </c>
      <c r="J317" s="98">
        <v>177.7</v>
      </c>
      <c r="K317" s="208">
        <v>104.35999999999979</v>
      </c>
      <c r="L317" s="208">
        <v>113.35999999999979</v>
      </c>
      <c r="M317" s="208">
        <v>141.78000000000043</v>
      </c>
      <c r="N317" s="98"/>
      <c r="O317" s="98"/>
      <c r="P317" s="98"/>
      <c r="Q317" s="208">
        <v>94.359999999999786</v>
      </c>
      <c r="R317" s="98">
        <v>120.72000000000001</v>
      </c>
      <c r="S317" s="98">
        <v>130.35999999999979</v>
      </c>
      <c r="T317" s="98">
        <v>182.60000000000053</v>
      </c>
      <c r="U317" s="98">
        <v>94.359999999999786</v>
      </c>
      <c r="V317" s="98">
        <v>436.5</v>
      </c>
      <c r="W317" s="98">
        <v>530.59999999999786</v>
      </c>
      <c r="X317" s="98"/>
      <c r="Y317" s="98"/>
      <c r="Z317" s="98"/>
      <c r="AA317" s="230"/>
      <c r="AB317" s="230"/>
      <c r="AC317" s="230">
        <v>228.07999999999936</v>
      </c>
    </row>
    <row r="318" spans="2:29">
      <c r="B318" s="98">
        <v>348</v>
      </c>
      <c r="C318" s="98">
        <v>104.2</v>
      </c>
      <c r="D318" s="98">
        <v>569.20000000000005</v>
      </c>
      <c r="E318" s="98">
        <v>175.2</v>
      </c>
      <c r="F318" s="98">
        <v>183.4</v>
      </c>
      <c r="G318" s="98">
        <v>140.19999999999999</v>
      </c>
      <c r="H318" s="98">
        <v>104.6</v>
      </c>
      <c r="I318" s="98">
        <v>127.5</v>
      </c>
      <c r="J318" s="98">
        <v>177.5</v>
      </c>
      <c r="K318" s="209">
        <v>104.23999999999978</v>
      </c>
      <c r="L318" s="209">
        <v>113.23999999999978</v>
      </c>
      <c r="M318" s="209">
        <v>141.52000000000044</v>
      </c>
      <c r="N318" s="98"/>
      <c r="O318" s="98"/>
      <c r="P318" s="98"/>
      <c r="Q318" s="208">
        <v>94.239999999999782</v>
      </c>
      <c r="R318" s="98">
        <v>120.48000000000002</v>
      </c>
      <c r="S318" s="98">
        <v>130.23999999999978</v>
      </c>
      <c r="T318" s="98">
        <v>182.40000000000055</v>
      </c>
      <c r="U318" s="98">
        <v>94.239999999999782</v>
      </c>
      <c r="V318" s="98">
        <v>436</v>
      </c>
      <c r="W318" s="98">
        <v>530.39999999999782</v>
      </c>
      <c r="X318" s="98"/>
      <c r="Y318" s="98"/>
      <c r="Z318" s="98"/>
      <c r="AA318" s="230"/>
      <c r="AB318" s="230"/>
      <c r="AC318" s="230">
        <v>227.71999999999935</v>
      </c>
    </row>
    <row r="319" spans="2:29">
      <c r="B319" s="98">
        <v>349</v>
      </c>
      <c r="C319" s="98">
        <v>104.1</v>
      </c>
      <c r="D319" s="98">
        <v>568.6</v>
      </c>
      <c r="E319" s="98">
        <v>175.1</v>
      </c>
      <c r="F319" s="98">
        <v>183.2</v>
      </c>
      <c r="G319" s="98">
        <v>140.1</v>
      </c>
      <c r="H319" s="98">
        <v>104.6</v>
      </c>
      <c r="I319" s="98">
        <v>127.4</v>
      </c>
      <c r="J319" s="98">
        <v>177.2</v>
      </c>
      <c r="K319" s="208">
        <v>104.11999999999978</v>
      </c>
      <c r="L319" s="208">
        <v>113.11999999999978</v>
      </c>
      <c r="M319" s="208">
        <v>141.26000000000045</v>
      </c>
      <c r="N319" s="98"/>
      <c r="O319" s="98"/>
      <c r="P319" s="98"/>
      <c r="Q319" s="208">
        <v>94.119999999999777</v>
      </c>
      <c r="R319" s="98">
        <v>120.24000000000002</v>
      </c>
      <c r="S319" s="98">
        <v>130.11999999999978</v>
      </c>
      <c r="T319" s="98">
        <v>182.20000000000056</v>
      </c>
      <c r="U319" s="98">
        <v>94.119999999999777</v>
      </c>
      <c r="V319" s="98">
        <v>435.5</v>
      </c>
      <c r="W319" s="98">
        <v>530.19999999999777</v>
      </c>
      <c r="X319" s="98"/>
      <c r="Y319" s="98"/>
      <c r="Z319" s="98"/>
      <c r="AA319" s="230"/>
      <c r="AB319" s="230"/>
      <c r="AC319" s="230">
        <v>227.35999999999933</v>
      </c>
    </row>
    <row r="320" spans="2:29">
      <c r="B320" s="98">
        <v>350</v>
      </c>
      <c r="C320" s="98">
        <v>104</v>
      </c>
      <c r="D320" s="98">
        <v>568</v>
      </c>
      <c r="E320" s="98">
        <v>175</v>
      </c>
      <c r="F320" s="98">
        <v>183</v>
      </c>
      <c r="G320" s="98">
        <v>140</v>
      </c>
      <c r="H320" s="98">
        <v>104.5</v>
      </c>
      <c r="I320" s="98">
        <v>127.2</v>
      </c>
      <c r="J320" s="98">
        <v>177</v>
      </c>
      <c r="K320" s="209">
        <v>104</v>
      </c>
      <c r="L320" s="209">
        <v>113</v>
      </c>
      <c r="M320" s="209">
        <v>141</v>
      </c>
      <c r="N320" s="98"/>
      <c r="O320" s="98"/>
      <c r="P320" s="98"/>
      <c r="Q320" s="209">
        <v>94</v>
      </c>
      <c r="R320" s="98">
        <v>120</v>
      </c>
      <c r="S320" s="98">
        <v>130</v>
      </c>
      <c r="T320" s="98">
        <v>182</v>
      </c>
      <c r="U320" s="98">
        <v>94</v>
      </c>
      <c r="V320" s="98">
        <v>435</v>
      </c>
      <c r="W320" s="98">
        <v>530</v>
      </c>
      <c r="X320" s="98"/>
      <c r="Y320" s="98"/>
      <c r="Z320" s="98"/>
      <c r="AA320" s="230"/>
      <c r="AB320" s="230">
        <v>518</v>
      </c>
      <c r="AC320" s="230">
        <v>227</v>
      </c>
    </row>
    <row r="321" spans="2:29">
      <c r="B321" s="98">
        <v>351</v>
      </c>
      <c r="C321" s="98">
        <v>104</v>
      </c>
      <c r="D321" s="98">
        <v>567.4</v>
      </c>
      <c r="E321" s="98">
        <v>174.9</v>
      </c>
      <c r="F321" s="98">
        <v>182.8</v>
      </c>
      <c r="G321" s="98">
        <v>139.9</v>
      </c>
      <c r="H321" s="98">
        <v>104.4</v>
      </c>
      <c r="I321" s="98">
        <v>127.1</v>
      </c>
      <c r="J321" s="98">
        <v>176.8</v>
      </c>
      <c r="K321" s="208">
        <v>103.88</v>
      </c>
      <c r="L321" s="208">
        <v>112.9</v>
      </c>
      <c r="M321" s="208">
        <v>140.86000000000001</v>
      </c>
      <c r="N321" s="98"/>
      <c r="O321" s="98"/>
      <c r="P321" s="98"/>
      <c r="Q321" s="208">
        <v>93.9</v>
      </c>
      <c r="R321" s="98">
        <v>119.84</v>
      </c>
      <c r="S321" s="98">
        <v>129.9</v>
      </c>
      <c r="T321" s="98">
        <v>181.84</v>
      </c>
      <c r="U321" s="98">
        <v>93.9</v>
      </c>
      <c r="V321" s="98">
        <v>434.5</v>
      </c>
      <c r="W321" s="98">
        <v>529.79999999999995</v>
      </c>
      <c r="X321" s="98"/>
      <c r="Y321" s="98"/>
      <c r="Z321" s="98"/>
      <c r="AA321" s="230"/>
      <c r="AB321" s="230"/>
      <c r="AC321" s="230">
        <v>226.72</v>
      </c>
    </row>
    <row r="322" spans="2:29">
      <c r="B322" s="98">
        <v>352</v>
      </c>
      <c r="C322" s="98">
        <v>103.9</v>
      </c>
      <c r="D322" s="98">
        <v>566.79999999999995</v>
      </c>
      <c r="E322" s="98">
        <v>174.8</v>
      </c>
      <c r="F322" s="98">
        <v>182.5</v>
      </c>
      <c r="G322" s="98">
        <v>139.80000000000001</v>
      </c>
      <c r="H322" s="98">
        <v>104.4</v>
      </c>
      <c r="I322" s="98">
        <v>127</v>
      </c>
      <c r="J322" s="98">
        <v>176.6</v>
      </c>
      <c r="K322" s="209">
        <v>103.75999999999999</v>
      </c>
      <c r="L322" s="209">
        <v>112.80000000000001</v>
      </c>
      <c r="M322" s="209">
        <v>140.72000000000003</v>
      </c>
      <c r="N322" s="98"/>
      <c r="O322" s="98"/>
      <c r="P322" s="98"/>
      <c r="Q322" s="208">
        <v>93.800000000000011</v>
      </c>
      <c r="R322" s="98">
        <v>119.68</v>
      </c>
      <c r="S322" s="98">
        <v>129.80000000000001</v>
      </c>
      <c r="T322" s="98">
        <v>181.68</v>
      </c>
      <c r="U322" s="98">
        <v>93.800000000000011</v>
      </c>
      <c r="V322" s="98">
        <v>434</v>
      </c>
      <c r="W322" s="98">
        <v>529.59999999999991</v>
      </c>
      <c r="X322" s="98"/>
      <c r="Y322" s="98"/>
      <c r="Z322" s="98"/>
      <c r="AA322" s="230"/>
      <c r="AB322" s="230"/>
      <c r="AC322" s="230">
        <v>226.44</v>
      </c>
    </row>
    <row r="323" spans="2:29">
      <c r="B323" s="98">
        <v>353</v>
      </c>
      <c r="C323" s="98">
        <v>103.9</v>
      </c>
      <c r="D323" s="98">
        <v>566.20000000000005</v>
      </c>
      <c r="E323" s="98">
        <v>174.8</v>
      </c>
      <c r="F323" s="98">
        <v>182.3</v>
      </c>
      <c r="G323" s="98">
        <v>139.69999999999999</v>
      </c>
      <c r="H323" s="98">
        <v>104.3</v>
      </c>
      <c r="I323" s="98">
        <v>126.9</v>
      </c>
      <c r="J323" s="98">
        <v>176.4</v>
      </c>
      <c r="K323" s="208">
        <v>103.63999999999999</v>
      </c>
      <c r="L323" s="208">
        <v>112.70000000000002</v>
      </c>
      <c r="M323" s="208">
        <v>140.58000000000004</v>
      </c>
      <c r="N323" s="98"/>
      <c r="O323" s="98"/>
      <c r="P323" s="98"/>
      <c r="Q323" s="208">
        <v>93.700000000000017</v>
      </c>
      <c r="R323" s="98">
        <v>119.52000000000001</v>
      </c>
      <c r="S323" s="98">
        <v>129.70000000000002</v>
      </c>
      <c r="T323" s="98">
        <v>181.52</v>
      </c>
      <c r="U323" s="98">
        <v>93.700000000000017</v>
      </c>
      <c r="V323" s="98">
        <v>433.5</v>
      </c>
      <c r="W323" s="98">
        <v>529.39999999999986</v>
      </c>
      <c r="X323" s="98"/>
      <c r="Y323" s="98"/>
      <c r="Z323" s="98"/>
      <c r="AA323" s="230"/>
      <c r="AB323" s="230"/>
      <c r="AC323" s="230">
        <v>226.16</v>
      </c>
    </row>
    <row r="324" spans="2:29">
      <c r="B324" s="98">
        <v>354</v>
      </c>
      <c r="C324" s="98">
        <v>103.8</v>
      </c>
      <c r="D324" s="98">
        <v>565.6</v>
      </c>
      <c r="E324" s="98">
        <v>174.7</v>
      </c>
      <c r="F324" s="98">
        <v>182</v>
      </c>
      <c r="G324" s="98">
        <v>139.6</v>
      </c>
      <c r="H324" s="98">
        <v>104.2</v>
      </c>
      <c r="I324" s="98">
        <v>126.8</v>
      </c>
      <c r="J324" s="98">
        <v>176.2</v>
      </c>
      <c r="K324" s="209">
        <v>103.51999999999998</v>
      </c>
      <c r="L324" s="209">
        <v>112.60000000000002</v>
      </c>
      <c r="M324" s="209">
        <v>140.44000000000005</v>
      </c>
      <c r="N324" s="98"/>
      <c r="O324" s="98"/>
      <c r="P324" s="98"/>
      <c r="Q324" s="208">
        <v>93.600000000000023</v>
      </c>
      <c r="R324" s="98">
        <v>119.36000000000001</v>
      </c>
      <c r="S324" s="98">
        <v>129.60000000000002</v>
      </c>
      <c r="T324" s="98">
        <v>181.36</v>
      </c>
      <c r="U324" s="98">
        <v>93.600000000000023</v>
      </c>
      <c r="V324" s="98">
        <v>433</v>
      </c>
      <c r="W324" s="98">
        <v>529.19999999999982</v>
      </c>
      <c r="X324" s="98"/>
      <c r="Y324" s="98"/>
      <c r="Z324" s="98"/>
      <c r="AA324" s="230"/>
      <c r="AB324" s="230"/>
      <c r="AC324" s="230">
        <v>225.88</v>
      </c>
    </row>
    <row r="325" spans="2:29">
      <c r="B325" s="98">
        <v>355</v>
      </c>
      <c r="C325" s="98">
        <v>103.8</v>
      </c>
      <c r="D325" s="98">
        <v>565</v>
      </c>
      <c r="E325" s="98">
        <v>174.6</v>
      </c>
      <c r="F325" s="98">
        <v>181.8</v>
      </c>
      <c r="G325" s="98">
        <v>139.5</v>
      </c>
      <c r="H325" s="98">
        <v>104.1</v>
      </c>
      <c r="I325" s="98">
        <v>126.7</v>
      </c>
      <c r="J325" s="98">
        <v>176</v>
      </c>
      <c r="K325" s="208">
        <v>103.39999999999998</v>
      </c>
      <c r="L325" s="208">
        <v>112.50000000000003</v>
      </c>
      <c r="M325" s="208">
        <v>140.30000000000007</v>
      </c>
      <c r="N325" s="98"/>
      <c r="O325" s="98"/>
      <c r="P325" s="98"/>
      <c r="Q325" s="208">
        <v>93.500000000000028</v>
      </c>
      <c r="R325" s="98">
        <v>119.20000000000002</v>
      </c>
      <c r="S325" s="98">
        <v>129.50000000000003</v>
      </c>
      <c r="T325" s="98">
        <v>181.20000000000002</v>
      </c>
      <c r="U325" s="98">
        <v>93.500000000000028</v>
      </c>
      <c r="V325" s="98">
        <v>432.5</v>
      </c>
      <c r="W325" s="98">
        <v>528.99999999999977</v>
      </c>
      <c r="X325" s="98"/>
      <c r="Y325" s="98"/>
      <c r="Z325" s="98"/>
      <c r="AA325" s="230"/>
      <c r="AB325" s="230"/>
      <c r="AC325" s="230">
        <v>225.6</v>
      </c>
    </row>
    <row r="326" spans="2:29">
      <c r="B326" s="98">
        <v>356</v>
      </c>
      <c r="C326" s="98">
        <v>103.8</v>
      </c>
      <c r="D326" s="98">
        <v>564.4</v>
      </c>
      <c r="E326" s="98">
        <v>174.5</v>
      </c>
      <c r="F326" s="98">
        <v>181.6</v>
      </c>
      <c r="G326" s="98">
        <v>139.4</v>
      </c>
      <c r="H326" s="98">
        <v>104.1</v>
      </c>
      <c r="I326" s="98">
        <v>126.6</v>
      </c>
      <c r="J326" s="98">
        <v>175.8</v>
      </c>
      <c r="K326" s="209">
        <v>103.27999999999997</v>
      </c>
      <c r="L326" s="209">
        <v>112.40000000000003</v>
      </c>
      <c r="M326" s="209">
        <v>140.16000000000008</v>
      </c>
      <c r="N326" s="98"/>
      <c r="O326" s="98"/>
      <c r="P326" s="98"/>
      <c r="Q326" s="208">
        <v>93.400000000000034</v>
      </c>
      <c r="R326" s="98">
        <v>119.04000000000002</v>
      </c>
      <c r="S326" s="98">
        <v>129.40000000000003</v>
      </c>
      <c r="T326" s="98">
        <v>181.04000000000002</v>
      </c>
      <c r="U326" s="98">
        <v>93.400000000000034</v>
      </c>
      <c r="V326" s="98">
        <v>432</v>
      </c>
      <c r="W326" s="98">
        <v>528.79999999999973</v>
      </c>
      <c r="X326" s="98"/>
      <c r="Y326" s="98"/>
      <c r="Z326" s="98"/>
      <c r="AA326" s="230"/>
      <c r="AB326" s="230"/>
      <c r="AC326" s="230">
        <v>225.32</v>
      </c>
    </row>
    <row r="327" spans="2:29">
      <c r="B327" s="98">
        <v>357</v>
      </c>
      <c r="C327" s="98">
        <v>103.7</v>
      </c>
      <c r="D327" s="98">
        <v>563.79999999999995</v>
      </c>
      <c r="E327" s="98">
        <v>174.4</v>
      </c>
      <c r="F327" s="98">
        <v>181.3</v>
      </c>
      <c r="G327" s="98">
        <v>139.30000000000001</v>
      </c>
      <c r="H327" s="98">
        <v>104</v>
      </c>
      <c r="I327" s="98">
        <v>126.5</v>
      </c>
      <c r="J327" s="98">
        <v>175.6</v>
      </c>
      <c r="K327" s="208">
        <v>103.15999999999997</v>
      </c>
      <c r="L327" s="208">
        <v>112.30000000000004</v>
      </c>
      <c r="M327" s="208">
        <v>140.0200000000001</v>
      </c>
      <c r="N327" s="98"/>
      <c r="O327" s="98"/>
      <c r="P327" s="98"/>
      <c r="Q327" s="208">
        <v>93.30000000000004</v>
      </c>
      <c r="R327" s="98">
        <v>118.88000000000002</v>
      </c>
      <c r="S327" s="98">
        <v>129.30000000000004</v>
      </c>
      <c r="T327" s="98">
        <v>180.88000000000002</v>
      </c>
      <c r="U327" s="98">
        <v>93.30000000000004</v>
      </c>
      <c r="V327" s="98">
        <v>431.5</v>
      </c>
      <c r="W327" s="98">
        <v>528.59999999999968</v>
      </c>
      <c r="X327" s="98"/>
      <c r="Y327" s="98"/>
      <c r="Z327" s="98"/>
      <c r="AA327" s="230"/>
      <c r="AB327" s="230"/>
      <c r="AC327" s="230">
        <v>225.04</v>
      </c>
    </row>
    <row r="328" spans="2:29">
      <c r="B328" s="98">
        <v>358</v>
      </c>
      <c r="C328" s="98">
        <v>103.7</v>
      </c>
      <c r="D328" s="98">
        <v>563.20000000000005</v>
      </c>
      <c r="E328" s="98">
        <v>174.4</v>
      </c>
      <c r="F328" s="98">
        <v>181.1</v>
      </c>
      <c r="G328" s="98">
        <v>139.19999999999999</v>
      </c>
      <c r="H328" s="98">
        <v>103.9</v>
      </c>
      <c r="I328" s="98">
        <v>126.4</v>
      </c>
      <c r="J328" s="98">
        <v>175.4</v>
      </c>
      <c r="K328" s="209">
        <v>103.03999999999996</v>
      </c>
      <c r="L328" s="209">
        <v>112.20000000000005</v>
      </c>
      <c r="M328" s="209">
        <v>139.88000000000011</v>
      </c>
      <c r="N328" s="98"/>
      <c r="O328" s="98"/>
      <c r="P328" s="98"/>
      <c r="Q328" s="208">
        <v>93.200000000000045</v>
      </c>
      <c r="R328" s="98">
        <v>118.72000000000003</v>
      </c>
      <c r="S328" s="98">
        <v>129.20000000000005</v>
      </c>
      <c r="T328" s="98">
        <v>180.72000000000003</v>
      </c>
      <c r="U328" s="98">
        <v>93.200000000000045</v>
      </c>
      <c r="V328" s="98">
        <v>431</v>
      </c>
      <c r="W328" s="98">
        <v>528.39999999999964</v>
      </c>
      <c r="X328" s="98"/>
      <c r="Y328" s="98"/>
      <c r="Z328" s="98"/>
      <c r="AA328" s="230"/>
      <c r="AB328" s="230"/>
      <c r="AC328" s="230">
        <v>224.76</v>
      </c>
    </row>
    <row r="329" spans="2:29">
      <c r="B329" s="98">
        <v>359</v>
      </c>
      <c r="C329" s="98">
        <v>103.6</v>
      </c>
      <c r="D329" s="98">
        <v>562.6</v>
      </c>
      <c r="E329" s="98">
        <v>174.3</v>
      </c>
      <c r="F329" s="98">
        <v>180.8</v>
      </c>
      <c r="G329" s="98">
        <v>139.1</v>
      </c>
      <c r="H329" s="98">
        <v>103.9</v>
      </c>
      <c r="I329" s="98">
        <v>126.3</v>
      </c>
      <c r="J329" s="98">
        <v>175.2</v>
      </c>
      <c r="K329" s="208">
        <v>102.91999999999996</v>
      </c>
      <c r="L329" s="208">
        <v>112.10000000000005</v>
      </c>
      <c r="M329" s="208">
        <v>139.74000000000012</v>
      </c>
      <c r="N329" s="98"/>
      <c r="O329" s="98"/>
      <c r="P329" s="98"/>
      <c r="Q329" s="208">
        <v>93.100000000000051</v>
      </c>
      <c r="R329" s="98">
        <v>118.56000000000003</v>
      </c>
      <c r="S329" s="98">
        <v>129.10000000000005</v>
      </c>
      <c r="T329" s="98">
        <v>180.56000000000003</v>
      </c>
      <c r="U329" s="98">
        <v>93.100000000000051</v>
      </c>
      <c r="V329" s="98">
        <v>430.5</v>
      </c>
      <c r="W329" s="98">
        <v>528.19999999999959</v>
      </c>
      <c r="X329" s="98"/>
      <c r="Y329" s="98"/>
      <c r="Z329" s="98"/>
      <c r="AA329" s="230"/>
      <c r="AB329" s="230"/>
      <c r="AC329" s="230">
        <v>224.48</v>
      </c>
    </row>
    <row r="330" spans="2:29">
      <c r="B330" s="98">
        <v>360</v>
      </c>
      <c r="C330" s="98">
        <v>103.6</v>
      </c>
      <c r="D330" s="98">
        <v>562</v>
      </c>
      <c r="E330" s="98">
        <v>174.2</v>
      </c>
      <c r="F330" s="98">
        <v>180.6</v>
      </c>
      <c r="G330" s="98">
        <v>139</v>
      </c>
      <c r="H330" s="98">
        <v>103.8</v>
      </c>
      <c r="I330" s="98">
        <v>126.2</v>
      </c>
      <c r="J330" s="98">
        <v>175</v>
      </c>
      <c r="K330" s="209">
        <v>102.79999999999995</v>
      </c>
      <c r="L330" s="209">
        <v>112.00000000000006</v>
      </c>
      <c r="M330" s="209">
        <v>139.60000000000014</v>
      </c>
      <c r="N330" s="98"/>
      <c r="O330" s="98"/>
      <c r="P330" s="98"/>
      <c r="Q330" s="208">
        <v>93.000000000000057</v>
      </c>
      <c r="R330" s="98">
        <v>118.40000000000003</v>
      </c>
      <c r="S330" s="98">
        <v>129.00000000000006</v>
      </c>
      <c r="T330" s="98">
        <v>180.40000000000003</v>
      </c>
      <c r="U330" s="98">
        <v>93.000000000000057</v>
      </c>
      <c r="V330" s="98">
        <v>430</v>
      </c>
      <c r="W330" s="98">
        <v>527.99999999999955</v>
      </c>
      <c r="X330" s="98"/>
      <c r="Y330" s="98"/>
      <c r="Z330" s="98"/>
      <c r="AA330" s="230"/>
      <c r="AB330" s="230"/>
      <c r="AC330" s="230">
        <v>224.2</v>
      </c>
    </row>
    <row r="331" spans="2:29">
      <c r="B331" s="98">
        <v>361</v>
      </c>
      <c r="C331" s="98">
        <v>103.6</v>
      </c>
      <c r="D331" s="98">
        <v>561.4</v>
      </c>
      <c r="E331" s="98">
        <v>174.1</v>
      </c>
      <c r="F331" s="98">
        <v>180.4</v>
      </c>
      <c r="G331" s="98">
        <v>138.9</v>
      </c>
      <c r="H331" s="98">
        <v>103.7</v>
      </c>
      <c r="I331" s="98">
        <v>126.1</v>
      </c>
      <c r="J331" s="98">
        <v>174.8</v>
      </c>
      <c r="K331" s="208">
        <v>102.67999999999995</v>
      </c>
      <c r="L331" s="208">
        <v>111.90000000000006</v>
      </c>
      <c r="M331" s="208">
        <v>139.46000000000015</v>
      </c>
      <c r="N331" s="98"/>
      <c r="O331" s="98"/>
      <c r="P331" s="98"/>
      <c r="Q331" s="208">
        <v>92.900000000000063</v>
      </c>
      <c r="R331" s="98">
        <v>118.24000000000004</v>
      </c>
      <c r="S331" s="98">
        <v>128.90000000000006</v>
      </c>
      <c r="T331" s="98">
        <v>180.24000000000004</v>
      </c>
      <c r="U331" s="98">
        <v>92.900000000000063</v>
      </c>
      <c r="V331" s="98">
        <v>429.5</v>
      </c>
      <c r="W331" s="98">
        <v>527.7999999999995</v>
      </c>
      <c r="X331" s="98"/>
      <c r="Y331" s="98"/>
      <c r="Z331" s="98"/>
      <c r="AA331" s="230"/>
      <c r="AB331" s="230"/>
      <c r="AC331" s="230">
        <v>223.92</v>
      </c>
    </row>
    <row r="332" spans="2:29">
      <c r="B332" s="98">
        <v>362</v>
      </c>
      <c r="C332" s="98">
        <v>103.5</v>
      </c>
      <c r="D332" s="98">
        <v>560.79999999999995</v>
      </c>
      <c r="E332" s="98">
        <v>174</v>
      </c>
      <c r="F332" s="98">
        <v>180.1</v>
      </c>
      <c r="G332" s="98">
        <v>138.80000000000001</v>
      </c>
      <c r="H332" s="98">
        <v>103.6</v>
      </c>
      <c r="I332" s="98">
        <v>126</v>
      </c>
      <c r="J332" s="98">
        <v>174.6</v>
      </c>
      <c r="K332" s="209">
        <v>102.55999999999995</v>
      </c>
      <c r="L332" s="209">
        <v>111.80000000000007</v>
      </c>
      <c r="M332" s="209">
        <v>139.32000000000016</v>
      </c>
      <c r="N332" s="98"/>
      <c r="O332" s="98"/>
      <c r="P332" s="98"/>
      <c r="Q332" s="208">
        <v>92.800000000000068</v>
      </c>
      <c r="R332" s="98">
        <v>118.08000000000004</v>
      </c>
      <c r="S332" s="98">
        <v>128.80000000000007</v>
      </c>
      <c r="T332" s="98">
        <v>180.08000000000004</v>
      </c>
      <c r="U332" s="98">
        <v>92.800000000000068</v>
      </c>
      <c r="V332" s="98">
        <v>429</v>
      </c>
      <c r="W332" s="98">
        <v>527.59999999999945</v>
      </c>
      <c r="X332" s="98"/>
      <c r="Y332" s="98"/>
      <c r="Z332" s="98"/>
      <c r="AA332" s="230"/>
      <c r="AB332" s="230"/>
      <c r="AC332" s="230">
        <v>223.64</v>
      </c>
    </row>
    <row r="333" spans="2:29">
      <c r="B333" s="98">
        <v>363</v>
      </c>
      <c r="C333" s="98">
        <v>103.5</v>
      </c>
      <c r="D333" s="98">
        <v>560.20000000000005</v>
      </c>
      <c r="E333" s="98">
        <v>174</v>
      </c>
      <c r="F333" s="98">
        <v>179.9</v>
      </c>
      <c r="G333" s="98">
        <v>138.69999999999999</v>
      </c>
      <c r="H333" s="98">
        <v>103.6</v>
      </c>
      <c r="I333" s="98">
        <v>125.9</v>
      </c>
      <c r="J333" s="98">
        <v>174.4</v>
      </c>
      <c r="K333" s="208">
        <v>102.43999999999994</v>
      </c>
      <c r="L333" s="208">
        <v>111.70000000000007</v>
      </c>
      <c r="M333" s="208">
        <v>139.18000000000018</v>
      </c>
      <c r="N333" s="98"/>
      <c r="O333" s="98"/>
      <c r="P333" s="98"/>
      <c r="Q333" s="208">
        <v>92.700000000000074</v>
      </c>
      <c r="R333" s="98">
        <v>117.92000000000004</v>
      </c>
      <c r="S333" s="98">
        <v>128.70000000000007</v>
      </c>
      <c r="T333" s="98">
        <v>179.92000000000004</v>
      </c>
      <c r="U333" s="98">
        <v>92.700000000000074</v>
      </c>
      <c r="V333" s="98">
        <v>428.5</v>
      </c>
      <c r="W333" s="98">
        <v>527.39999999999941</v>
      </c>
      <c r="X333" s="98"/>
      <c r="Y333" s="98"/>
      <c r="Z333" s="98"/>
      <c r="AA333" s="230"/>
      <c r="AB333" s="230"/>
      <c r="AC333" s="230">
        <v>223.35999999999999</v>
      </c>
    </row>
    <row r="334" spans="2:29">
      <c r="B334" s="98">
        <v>364</v>
      </c>
      <c r="C334" s="98">
        <v>103.4</v>
      </c>
      <c r="D334" s="98">
        <v>559.6</v>
      </c>
      <c r="E334" s="98">
        <v>173.9</v>
      </c>
      <c r="F334" s="98">
        <v>179.6</v>
      </c>
      <c r="G334" s="98">
        <v>138.6</v>
      </c>
      <c r="H334" s="98">
        <v>103.5</v>
      </c>
      <c r="I334" s="98">
        <v>125.8</v>
      </c>
      <c r="J334" s="98">
        <v>174.2</v>
      </c>
      <c r="K334" s="209">
        <v>102.31999999999994</v>
      </c>
      <c r="L334" s="209">
        <v>111.60000000000008</v>
      </c>
      <c r="M334" s="209">
        <v>139.04000000000019</v>
      </c>
      <c r="N334" s="98"/>
      <c r="O334" s="98"/>
      <c r="P334" s="98"/>
      <c r="Q334" s="208">
        <v>92.60000000000008</v>
      </c>
      <c r="R334" s="98">
        <v>117.76000000000005</v>
      </c>
      <c r="S334" s="98">
        <v>128.60000000000008</v>
      </c>
      <c r="T334" s="98">
        <v>179.76000000000005</v>
      </c>
      <c r="U334" s="98">
        <v>92.60000000000008</v>
      </c>
      <c r="V334" s="98">
        <v>428</v>
      </c>
      <c r="W334" s="98">
        <v>527.19999999999936</v>
      </c>
      <c r="X334" s="98"/>
      <c r="Y334" s="98"/>
      <c r="Z334" s="98"/>
      <c r="AA334" s="230"/>
      <c r="AB334" s="230"/>
      <c r="AC334" s="230">
        <v>223.07999999999998</v>
      </c>
    </row>
    <row r="335" spans="2:29">
      <c r="B335" s="98">
        <v>365</v>
      </c>
      <c r="C335" s="98">
        <v>103.4</v>
      </c>
      <c r="D335" s="98">
        <v>559</v>
      </c>
      <c r="E335" s="98">
        <v>173.8</v>
      </c>
      <c r="F335" s="98">
        <v>179.4</v>
      </c>
      <c r="G335" s="98">
        <v>138.5</v>
      </c>
      <c r="H335" s="98">
        <v>103.4</v>
      </c>
      <c r="I335" s="98">
        <v>125.6</v>
      </c>
      <c r="J335" s="98">
        <v>174</v>
      </c>
      <c r="K335" s="208">
        <v>102.19999999999993</v>
      </c>
      <c r="L335" s="208">
        <v>111.50000000000009</v>
      </c>
      <c r="M335" s="208">
        <v>138.9000000000002</v>
      </c>
      <c r="N335" s="98"/>
      <c r="O335" s="98"/>
      <c r="P335" s="98"/>
      <c r="Q335" s="208">
        <v>92.500000000000085</v>
      </c>
      <c r="R335" s="98">
        <v>117.60000000000005</v>
      </c>
      <c r="S335" s="98">
        <v>128.50000000000009</v>
      </c>
      <c r="T335" s="98">
        <v>179.60000000000005</v>
      </c>
      <c r="U335" s="98">
        <v>92.500000000000085</v>
      </c>
      <c r="V335" s="98">
        <v>427.5</v>
      </c>
      <c r="W335" s="98">
        <v>526.99999999999932</v>
      </c>
      <c r="X335" s="98"/>
      <c r="Y335" s="98"/>
      <c r="Z335" s="98"/>
      <c r="AA335" s="230"/>
      <c r="AB335" s="230"/>
      <c r="AC335" s="230">
        <v>222.79999999999998</v>
      </c>
    </row>
    <row r="336" spans="2:29">
      <c r="B336" s="98">
        <v>366</v>
      </c>
      <c r="C336" s="98">
        <v>103.4</v>
      </c>
      <c r="D336" s="98">
        <v>558.4</v>
      </c>
      <c r="E336" s="98">
        <v>173.7</v>
      </c>
      <c r="F336" s="98">
        <v>179.2</v>
      </c>
      <c r="G336" s="98">
        <v>138.4</v>
      </c>
      <c r="H336" s="98">
        <v>103.4</v>
      </c>
      <c r="I336" s="98">
        <v>125.5</v>
      </c>
      <c r="J336" s="98">
        <v>173.8</v>
      </c>
      <c r="K336" s="209">
        <v>102.07999999999993</v>
      </c>
      <c r="L336" s="209">
        <v>111.40000000000009</v>
      </c>
      <c r="M336" s="209">
        <v>138.76000000000022</v>
      </c>
      <c r="N336" s="98"/>
      <c r="O336" s="98"/>
      <c r="P336" s="98"/>
      <c r="Q336" s="208">
        <v>92.400000000000091</v>
      </c>
      <c r="R336" s="98">
        <v>117.44000000000005</v>
      </c>
      <c r="S336" s="98">
        <v>128.40000000000009</v>
      </c>
      <c r="T336" s="98">
        <v>179.44000000000005</v>
      </c>
      <c r="U336" s="98">
        <v>92.400000000000091</v>
      </c>
      <c r="V336" s="98">
        <v>427</v>
      </c>
      <c r="W336" s="98">
        <v>526.79999999999927</v>
      </c>
      <c r="X336" s="98"/>
      <c r="Y336" s="98"/>
      <c r="Z336" s="98"/>
      <c r="AA336" s="230"/>
      <c r="AB336" s="230"/>
      <c r="AC336" s="230">
        <v>222.51999999999998</v>
      </c>
    </row>
    <row r="337" spans="2:29">
      <c r="B337" s="98">
        <v>367</v>
      </c>
      <c r="C337" s="98">
        <v>103.3</v>
      </c>
      <c r="D337" s="98">
        <v>557.79999999999995</v>
      </c>
      <c r="E337" s="98">
        <v>173.6</v>
      </c>
      <c r="F337" s="98">
        <v>178.9</v>
      </c>
      <c r="G337" s="98">
        <v>138.30000000000001</v>
      </c>
      <c r="H337" s="98">
        <v>103.3</v>
      </c>
      <c r="I337" s="98">
        <v>125.4</v>
      </c>
      <c r="J337" s="98">
        <v>173.6</v>
      </c>
      <c r="K337" s="208">
        <v>101.95999999999992</v>
      </c>
      <c r="L337" s="208">
        <v>111.3000000000001</v>
      </c>
      <c r="M337" s="208">
        <v>138.62000000000023</v>
      </c>
      <c r="N337" s="98"/>
      <c r="O337" s="98"/>
      <c r="P337" s="98"/>
      <c r="Q337" s="208">
        <v>92.300000000000097</v>
      </c>
      <c r="R337" s="98">
        <v>117.28000000000006</v>
      </c>
      <c r="S337" s="98">
        <v>128.3000000000001</v>
      </c>
      <c r="T337" s="98">
        <v>179.28000000000006</v>
      </c>
      <c r="U337" s="98">
        <v>92.300000000000097</v>
      </c>
      <c r="V337" s="98">
        <v>426.5</v>
      </c>
      <c r="W337" s="98">
        <v>526.59999999999923</v>
      </c>
      <c r="X337" s="98"/>
      <c r="Y337" s="98"/>
      <c r="Z337" s="98"/>
      <c r="AA337" s="230"/>
      <c r="AB337" s="230"/>
      <c r="AC337" s="230">
        <v>222.23999999999998</v>
      </c>
    </row>
    <row r="338" spans="2:29">
      <c r="B338" s="98">
        <v>368</v>
      </c>
      <c r="C338" s="98">
        <v>103.3</v>
      </c>
      <c r="D338" s="98">
        <v>557.20000000000005</v>
      </c>
      <c r="E338" s="98">
        <v>173.6</v>
      </c>
      <c r="F338" s="98">
        <v>178.7</v>
      </c>
      <c r="G338" s="98">
        <v>138.19999999999999</v>
      </c>
      <c r="H338" s="98">
        <v>103.2</v>
      </c>
      <c r="I338" s="98">
        <v>125.3</v>
      </c>
      <c r="J338" s="98">
        <v>173.4</v>
      </c>
      <c r="K338" s="209">
        <v>101.83999999999992</v>
      </c>
      <c r="L338" s="209">
        <v>111.2000000000001</v>
      </c>
      <c r="M338" s="209">
        <v>138.48000000000025</v>
      </c>
      <c r="N338" s="98"/>
      <c r="O338" s="98"/>
      <c r="P338" s="98"/>
      <c r="Q338" s="208">
        <v>92.200000000000102</v>
      </c>
      <c r="R338" s="98">
        <v>117.12000000000006</v>
      </c>
      <c r="S338" s="98">
        <v>128.2000000000001</v>
      </c>
      <c r="T338" s="98">
        <v>179.12000000000006</v>
      </c>
      <c r="U338" s="98">
        <v>92.200000000000102</v>
      </c>
      <c r="V338" s="98">
        <v>426</v>
      </c>
      <c r="W338" s="98">
        <v>526.39999999999918</v>
      </c>
      <c r="X338" s="98"/>
      <c r="Y338" s="98"/>
      <c r="Z338" s="98"/>
      <c r="AA338" s="230"/>
      <c r="AB338" s="230"/>
      <c r="AC338" s="230">
        <v>221.95999999999998</v>
      </c>
    </row>
    <row r="339" spans="2:29">
      <c r="B339" s="98">
        <v>369</v>
      </c>
      <c r="C339" s="98">
        <v>103.2</v>
      </c>
      <c r="D339" s="98">
        <v>556.6</v>
      </c>
      <c r="E339" s="98">
        <v>173.5</v>
      </c>
      <c r="F339" s="98">
        <v>178.4</v>
      </c>
      <c r="G339" s="98">
        <v>138.1</v>
      </c>
      <c r="H339" s="98">
        <v>103.1</v>
      </c>
      <c r="I339" s="98">
        <v>125.2</v>
      </c>
      <c r="J339" s="98">
        <v>173.2</v>
      </c>
      <c r="K339" s="208">
        <v>101.71999999999991</v>
      </c>
      <c r="L339" s="208">
        <v>111.10000000000011</v>
      </c>
      <c r="M339" s="208">
        <v>138.34000000000026</v>
      </c>
      <c r="N339" s="98"/>
      <c r="O339" s="98"/>
      <c r="P339" s="98"/>
      <c r="Q339" s="208">
        <v>92.100000000000108</v>
      </c>
      <c r="R339" s="98">
        <v>116.96000000000006</v>
      </c>
      <c r="S339" s="98">
        <v>128.10000000000011</v>
      </c>
      <c r="T339" s="98">
        <v>178.96000000000006</v>
      </c>
      <c r="U339" s="98">
        <v>92.100000000000108</v>
      </c>
      <c r="V339" s="98">
        <v>425.5</v>
      </c>
      <c r="W339" s="98">
        <v>526.19999999999914</v>
      </c>
      <c r="X339" s="98"/>
      <c r="Y339" s="98"/>
      <c r="Z339" s="98"/>
      <c r="AA339" s="230"/>
      <c r="AB339" s="230"/>
      <c r="AC339" s="230">
        <v>221.67999999999998</v>
      </c>
    </row>
    <row r="340" spans="2:29">
      <c r="B340" s="98">
        <v>370</v>
      </c>
      <c r="C340" s="98">
        <v>103.2</v>
      </c>
      <c r="D340" s="98">
        <v>556</v>
      </c>
      <c r="E340" s="98">
        <v>173.4</v>
      </c>
      <c r="F340" s="98">
        <v>178.2</v>
      </c>
      <c r="G340" s="98">
        <v>138</v>
      </c>
      <c r="H340" s="98">
        <v>103.1</v>
      </c>
      <c r="I340" s="98">
        <v>125.1</v>
      </c>
      <c r="J340" s="98">
        <v>173</v>
      </c>
      <c r="K340" s="209">
        <v>101.59999999999991</v>
      </c>
      <c r="L340" s="209">
        <v>111.00000000000011</v>
      </c>
      <c r="M340" s="209">
        <v>138.20000000000027</v>
      </c>
      <c r="N340" s="98"/>
      <c r="O340" s="98"/>
      <c r="P340" s="98"/>
      <c r="Q340" s="208">
        <v>92.000000000000114</v>
      </c>
      <c r="R340" s="98">
        <v>116.80000000000007</v>
      </c>
      <c r="S340" s="98">
        <v>128.00000000000011</v>
      </c>
      <c r="T340" s="98">
        <v>178.80000000000007</v>
      </c>
      <c r="U340" s="98">
        <v>92.000000000000114</v>
      </c>
      <c r="V340" s="98">
        <v>425</v>
      </c>
      <c r="W340" s="98">
        <v>525.99999999999909</v>
      </c>
      <c r="X340" s="98"/>
      <c r="Y340" s="98"/>
      <c r="Z340" s="98"/>
      <c r="AA340" s="230"/>
      <c r="AB340" s="230"/>
      <c r="AC340" s="230">
        <v>221.39999999999998</v>
      </c>
    </row>
    <row r="341" spans="2:29">
      <c r="B341" s="98">
        <v>371</v>
      </c>
      <c r="C341" s="98">
        <v>103.2</v>
      </c>
      <c r="D341" s="98">
        <v>555.4</v>
      </c>
      <c r="E341" s="98">
        <v>173.3</v>
      </c>
      <c r="F341" s="98">
        <v>178</v>
      </c>
      <c r="G341" s="98">
        <v>137.9</v>
      </c>
      <c r="H341" s="98">
        <v>103</v>
      </c>
      <c r="I341" s="98">
        <v>125</v>
      </c>
      <c r="J341" s="98">
        <v>172.8</v>
      </c>
      <c r="K341" s="208">
        <v>101.4799999999999</v>
      </c>
      <c r="L341" s="208">
        <v>110.90000000000012</v>
      </c>
      <c r="M341" s="208">
        <v>138.06000000000029</v>
      </c>
      <c r="N341" s="98"/>
      <c r="O341" s="98"/>
      <c r="P341" s="98"/>
      <c r="Q341" s="208">
        <v>91.900000000000119</v>
      </c>
      <c r="R341" s="98">
        <v>116.64000000000007</v>
      </c>
      <c r="S341" s="98">
        <v>127.90000000000012</v>
      </c>
      <c r="T341" s="98">
        <v>178.64000000000007</v>
      </c>
      <c r="U341" s="98">
        <v>91.900000000000119</v>
      </c>
      <c r="V341" s="98">
        <v>424.5</v>
      </c>
      <c r="W341" s="98">
        <v>525.79999999999905</v>
      </c>
      <c r="X341" s="98"/>
      <c r="Y341" s="98"/>
      <c r="Z341" s="98"/>
      <c r="AA341" s="230"/>
      <c r="AB341" s="230"/>
      <c r="AC341" s="230">
        <v>221.11999999999998</v>
      </c>
    </row>
    <row r="342" spans="2:29">
      <c r="B342" s="98">
        <v>372</v>
      </c>
      <c r="C342" s="98">
        <v>103.1</v>
      </c>
      <c r="D342" s="98">
        <v>554.79999999999995</v>
      </c>
      <c r="E342" s="98">
        <v>173.2</v>
      </c>
      <c r="F342" s="98">
        <v>177.7</v>
      </c>
      <c r="G342" s="98">
        <v>137.80000000000001</v>
      </c>
      <c r="H342" s="98">
        <v>102.9</v>
      </c>
      <c r="I342" s="98">
        <v>124.9</v>
      </c>
      <c r="J342" s="98">
        <v>172.6</v>
      </c>
      <c r="K342" s="209">
        <v>101.3599999999999</v>
      </c>
      <c r="L342" s="209">
        <v>110.80000000000013</v>
      </c>
      <c r="M342" s="209">
        <v>137.9200000000003</v>
      </c>
      <c r="N342" s="98"/>
      <c r="O342" s="98"/>
      <c r="P342" s="98"/>
      <c r="Q342" s="208">
        <v>91.800000000000125</v>
      </c>
      <c r="R342" s="98">
        <v>116.48000000000008</v>
      </c>
      <c r="S342" s="98">
        <v>127.80000000000013</v>
      </c>
      <c r="T342" s="98">
        <v>178.48000000000008</v>
      </c>
      <c r="U342" s="98">
        <v>91.800000000000125</v>
      </c>
      <c r="V342" s="98">
        <v>424</v>
      </c>
      <c r="W342" s="98">
        <v>525.599999999999</v>
      </c>
      <c r="X342" s="98"/>
      <c r="Y342" s="98"/>
      <c r="Z342" s="98"/>
      <c r="AA342" s="230"/>
      <c r="AB342" s="230"/>
      <c r="AC342" s="230">
        <v>220.83999999999997</v>
      </c>
    </row>
    <row r="343" spans="2:29">
      <c r="B343" s="98">
        <v>373</v>
      </c>
      <c r="C343" s="98">
        <v>103.1</v>
      </c>
      <c r="D343" s="98">
        <v>554.20000000000005</v>
      </c>
      <c r="E343" s="98">
        <v>173.2</v>
      </c>
      <c r="F343" s="98">
        <v>177.5</v>
      </c>
      <c r="G343" s="98">
        <v>137.69999999999999</v>
      </c>
      <c r="H343" s="98">
        <v>102.9</v>
      </c>
      <c r="I343" s="98">
        <v>124.9</v>
      </c>
      <c r="J343" s="98">
        <v>172.4</v>
      </c>
      <c r="K343" s="208">
        <v>101.2399999999999</v>
      </c>
      <c r="L343" s="208">
        <v>110.70000000000013</v>
      </c>
      <c r="M343" s="208">
        <v>137.78000000000031</v>
      </c>
      <c r="N343" s="98"/>
      <c r="O343" s="98"/>
      <c r="P343" s="98"/>
      <c r="Q343" s="208">
        <v>91.700000000000131</v>
      </c>
      <c r="R343" s="98">
        <v>116.32000000000008</v>
      </c>
      <c r="S343" s="98">
        <v>127.70000000000013</v>
      </c>
      <c r="T343" s="98">
        <v>178.32000000000008</v>
      </c>
      <c r="U343" s="98">
        <v>91.700000000000131</v>
      </c>
      <c r="V343" s="98">
        <v>423.5</v>
      </c>
      <c r="W343" s="98">
        <v>525.39999999999895</v>
      </c>
      <c r="X343" s="98"/>
      <c r="Y343" s="98"/>
      <c r="Z343" s="98"/>
      <c r="AA343" s="230"/>
      <c r="AB343" s="230"/>
      <c r="AC343" s="230">
        <v>220.55999999999997</v>
      </c>
    </row>
    <row r="344" spans="2:29">
      <c r="B344" s="98">
        <v>374</v>
      </c>
      <c r="C344" s="98">
        <v>103</v>
      </c>
      <c r="D344" s="98">
        <v>553.6</v>
      </c>
      <c r="E344" s="98">
        <v>173.1</v>
      </c>
      <c r="F344" s="98">
        <v>177.2</v>
      </c>
      <c r="G344" s="98">
        <v>137.6</v>
      </c>
      <c r="H344" s="98">
        <v>102.8</v>
      </c>
      <c r="I344" s="98">
        <v>124.8</v>
      </c>
      <c r="J344" s="98">
        <v>172.2</v>
      </c>
      <c r="K344" s="209">
        <v>101.11999999999989</v>
      </c>
      <c r="L344" s="209">
        <v>110.60000000000014</v>
      </c>
      <c r="M344" s="209">
        <v>137.64000000000033</v>
      </c>
      <c r="N344" s="98"/>
      <c r="O344" s="98"/>
      <c r="P344" s="98"/>
      <c r="Q344" s="208">
        <v>91.600000000000136</v>
      </c>
      <c r="R344" s="98">
        <v>116.16000000000008</v>
      </c>
      <c r="S344" s="98">
        <v>127.60000000000014</v>
      </c>
      <c r="T344" s="98">
        <v>178.16000000000008</v>
      </c>
      <c r="U344" s="98">
        <v>91.600000000000136</v>
      </c>
      <c r="V344" s="98">
        <v>423</v>
      </c>
      <c r="W344" s="98">
        <v>525.19999999999891</v>
      </c>
      <c r="X344" s="98"/>
      <c r="Y344" s="98"/>
      <c r="Z344" s="98"/>
      <c r="AA344" s="230"/>
      <c r="AB344" s="230"/>
      <c r="AC344" s="230">
        <v>220.27999999999997</v>
      </c>
    </row>
    <row r="345" spans="2:29">
      <c r="B345" s="98">
        <v>375</v>
      </c>
      <c r="C345" s="98">
        <v>103</v>
      </c>
      <c r="D345" s="98">
        <v>553</v>
      </c>
      <c r="E345" s="98">
        <v>173</v>
      </c>
      <c r="F345" s="98">
        <v>177</v>
      </c>
      <c r="G345" s="98">
        <v>137.5</v>
      </c>
      <c r="H345" s="98">
        <v>102.7</v>
      </c>
      <c r="I345" s="98">
        <v>124.7</v>
      </c>
      <c r="J345" s="98">
        <v>172</v>
      </c>
      <c r="K345" s="208">
        <v>100.99999999999989</v>
      </c>
      <c r="L345" s="208">
        <v>110.50000000000014</v>
      </c>
      <c r="M345" s="208">
        <v>137.50000000000034</v>
      </c>
      <c r="N345" s="98"/>
      <c r="O345" s="98"/>
      <c r="P345" s="98"/>
      <c r="Q345" s="208">
        <v>91.500000000000142</v>
      </c>
      <c r="R345" s="98">
        <v>116.00000000000009</v>
      </c>
      <c r="S345" s="98">
        <v>127.50000000000014</v>
      </c>
      <c r="T345" s="98">
        <v>178.00000000000009</v>
      </c>
      <c r="U345" s="98">
        <v>91.500000000000142</v>
      </c>
      <c r="V345" s="98">
        <v>422.5</v>
      </c>
      <c r="W345" s="98">
        <v>524.99999999999886</v>
      </c>
      <c r="X345" s="98"/>
      <c r="Y345" s="98"/>
      <c r="Z345" s="98"/>
      <c r="AA345" s="230"/>
      <c r="AB345" s="230"/>
      <c r="AC345" s="230">
        <v>219.99999999999997</v>
      </c>
    </row>
    <row r="346" spans="2:29">
      <c r="B346" s="98">
        <v>376</v>
      </c>
      <c r="C346" s="98">
        <v>102.9</v>
      </c>
      <c r="D346" s="98">
        <v>552.20000000000005</v>
      </c>
      <c r="E346" s="98">
        <v>172.8</v>
      </c>
      <c r="F346" s="98">
        <v>176.8</v>
      </c>
      <c r="G346" s="98">
        <v>137.4</v>
      </c>
      <c r="H346" s="98">
        <v>102.6</v>
      </c>
      <c r="I346" s="98">
        <v>124.6</v>
      </c>
      <c r="J346" s="98">
        <v>171.8</v>
      </c>
      <c r="K346" s="209">
        <v>100.87999999999988</v>
      </c>
      <c r="L346" s="209">
        <v>110.40000000000015</v>
      </c>
      <c r="M346" s="209">
        <v>137.36000000000035</v>
      </c>
      <c r="N346" s="98"/>
      <c r="O346" s="98"/>
      <c r="P346" s="98"/>
      <c r="Q346" s="208">
        <v>91.400000000000148</v>
      </c>
      <c r="R346" s="98">
        <v>115.84000000000009</v>
      </c>
      <c r="S346" s="98">
        <v>127.40000000000015</v>
      </c>
      <c r="T346" s="98">
        <v>177.84000000000009</v>
      </c>
      <c r="U346" s="98">
        <v>91.400000000000148</v>
      </c>
      <c r="V346" s="98">
        <v>422</v>
      </c>
      <c r="W346" s="98">
        <v>524.79999999999882</v>
      </c>
      <c r="X346" s="98"/>
      <c r="Y346" s="98"/>
      <c r="Z346" s="98"/>
      <c r="AA346" s="230"/>
      <c r="AB346" s="230"/>
      <c r="AC346" s="230">
        <v>219.71999999999997</v>
      </c>
    </row>
    <row r="347" spans="2:29">
      <c r="B347" s="98">
        <v>377</v>
      </c>
      <c r="C347" s="98">
        <v>102.8</v>
      </c>
      <c r="D347" s="98">
        <v>551.5</v>
      </c>
      <c r="E347" s="98">
        <v>172.6</v>
      </c>
      <c r="F347" s="98">
        <v>176.5</v>
      </c>
      <c r="G347" s="98">
        <v>137.30000000000001</v>
      </c>
      <c r="H347" s="98">
        <v>102.6</v>
      </c>
      <c r="I347" s="98">
        <v>124.6</v>
      </c>
      <c r="J347" s="98">
        <v>171.6</v>
      </c>
      <c r="K347" s="208">
        <v>100.75999999999988</v>
      </c>
      <c r="L347" s="208">
        <v>110.30000000000015</v>
      </c>
      <c r="M347" s="208">
        <v>137.22000000000037</v>
      </c>
      <c r="N347" s="98"/>
      <c r="O347" s="98"/>
      <c r="P347" s="98"/>
      <c r="Q347" s="208">
        <v>91.300000000000153</v>
      </c>
      <c r="R347" s="98">
        <v>115.68000000000009</v>
      </c>
      <c r="S347" s="98">
        <v>127.30000000000015</v>
      </c>
      <c r="T347" s="98">
        <v>177.68000000000009</v>
      </c>
      <c r="U347" s="98">
        <v>91.300000000000153</v>
      </c>
      <c r="V347" s="98">
        <v>421.5</v>
      </c>
      <c r="W347" s="98">
        <v>524.59999999999877</v>
      </c>
      <c r="X347" s="98"/>
      <c r="Y347" s="98"/>
      <c r="Z347" s="98"/>
      <c r="AA347" s="230"/>
      <c r="AB347" s="230"/>
      <c r="AC347" s="230">
        <v>219.43999999999997</v>
      </c>
    </row>
    <row r="348" spans="2:29">
      <c r="B348" s="98">
        <v>378</v>
      </c>
      <c r="C348" s="98">
        <v>102.8</v>
      </c>
      <c r="D348" s="98">
        <v>550.70000000000005</v>
      </c>
      <c r="E348" s="98">
        <v>172.4</v>
      </c>
      <c r="F348" s="98">
        <v>176.3</v>
      </c>
      <c r="G348" s="98">
        <v>137.19999999999999</v>
      </c>
      <c r="H348" s="98">
        <v>102.5</v>
      </c>
      <c r="I348" s="98">
        <v>124.5</v>
      </c>
      <c r="J348" s="98">
        <v>171.4</v>
      </c>
      <c r="K348" s="209">
        <v>100.63999999999987</v>
      </c>
      <c r="L348" s="209">
        <v>110.20000000000016</v>
      </c>
      <c r="M348" s="209">
        <v>137.08000000000038</v>
      </c>
      <c r="N348" s="98"/>
      <c r="O348" s="98"/>
      <c r="P348" s="98"/>
      <c r="Q348" s="208">
        <v>91.200000000000159</v>
      </c>
      <c r="R348" s="98">
        <v>115.5200000000001</v>
      </c>
      <c r="S348" s="98">
        <v>127.20000000000016</v>
      </c>
      <c r="T348" s="98">
        <v>177.5200000000001</v>
      </c>
      <c r="U348" s="98">
        <v>91.200000000000159</v>
      </c>
      <c r="V348" s="98">
        <v>421</v>
      </c>
      <c r="W348" s="98">
        <v>524.39999999999873</v>
      </c>
      <c r="X348" s="98"/>
      <c r="Y348" s="98"/>
      <c r="Z348" s="98"/>
      <c r="AA348" s="230"/>
      <c r="AB348" s="230"/>
      <c r="AC348" s="230">
        <v>219.15999999999997</v>
      </c>
    </row>
    <row r="349" spans="2:29">
      <c r="B349" s="98">
        <v>379</v>
      </c>
      <c r="C349" s="98">
        <v>102.7</v>
      </c>
      <c r="D349" s="98">
        <v>550</v>
      </c>
      <c r="E349" s="98">
        <v>172.2</v>
      </c>
      <c r="F349" s="98">
        <v>176</v>
      </c>
      <c r="G349" s="98">
        <v>137.1</v>
      </c>
      <c r="H349" s="98">
        <v>102.4</v>
      </c>
      <c r="I349" s="98">
        <v>124.4</v>
      </c>
      <c r="J349" s="98">
        <v>171.2</v>
      </c>
      <c r="K349" s="208">
        <v>100.51999999999987</v>
      </c>
      <c r="L349" s="208">
        <v>110.10000000000016</v>
      </c>
      <c r="M349" s="208">
        <v>136.9400000000004</v>
      </c>
      <c r="N349" s="98"/>
      <c r="O349" s="98"/>
      <c r="P349" s="98"/>
      <c r="Q349" s="208">
        <v>91.100000000000165</v>
      </c>
      <c r="R349" s="98">
        <v>115.3600000000001</v>
      </c>
      <c r="S349" s="98">
        <v>127.10000000000016</v>
      </c>
      <c r="T349" s="98">
        <v>177.3600000000001</v>
      </c>
      <c r="U349" s="98">
        <v>91.100000000000165</v>
      </c>
      <c r="V349" s="98">
        <v>420.5</v>
      </c>
      <c r="W349" s="98">
        <v>524.19999999999868</v>
      </c>
      <c r="X349" s="98"/>
      <c r="Y349" s="98"/>
      <c r="Z349" s="98"/>
      <c r="AA349" s="230"/>
      <c r="AB349" s="230"/>
      <c r="AC349" s="230">
        <v>218.87999999999997</v>
      </c>
    </row>
    <row r="350" spans="2:29">
      <c r="B350" s="98">
        <v>380</v>
      </c>
      <c r="C350" s="98">
        <v>102.6</v>
      </c>
      <c r="D350" s="98">
        <v>549.20000000000005</v>
      </c>
      <c r="E350" s="98">
        <v>172</v>
      </c>
      <c r="F350" s="98">
        <v>175.8</v>
      </c>
      <c r="G350" s="98">
        <v>137</v>
      </c>
      <c r="H350" s="98">
        <v>102.4</v>
      </c>
      <c r="I350" s="98">
        <v>124.4</v>
      </c>
      <c r="J350" s="98">
        <v>171</v>
      </c>
      <c r="K350" s="209">
        <v>100.39999999999986</v>
      </c>
      <c r="L350" s="209">
        <v>110.00000000000017</v>
      </c>
      <c r="M350" s="209">
        <v>136.80000000000041</v>
      </c>
      <c r="N350" s="98"/>
      <c r="O350" s="98"/>
      <c r="P350" s="98"/>
      <c r="Q350" s="208">
        <v>91.000000000000171</v>
      </c>
      <c r="R350" s="98">
        <v>115.2000000000001</v>
      </c>
      <c r="S350" s="98">
        <v>127.00000000000017</v>
      </c>
      <c r="T350" s="98">
        <v>177.2000000000001</v>
      </c>
      <c r="U350" s="98">
        <v>91.000000000000171</v>
      </c>
      <c r="V350" s="98">
        <v>420</v>
      </c>
      <c r="W350" s="98">
        <v>523.99999999999864</v>
      </c>
      <c r="X350" s="98"/>
      <c r="Y350" s="98"/>
      <c r="Z350" s="98"/>
      <c r="AA350" s="230"/>
      <c r="AB350" s="230"/>
      <c r="AC350" s="230">
        <v>218.59999999999997</v>
      </c>
    </row>
    <row r="351" spans="2:29">
      <c r="B351" s="98">
        <v>381</v>
      </c>
      <c r="C351" s="98">
        <v>102.5</v>
      </c>
      <c r="D351" s="98">
        <v>548.4</v>
      </c>
      <c r="E351" s="98">
        <v>171.8</v>
      </c>
      <c r="F351" s="98">
        <v>175.6</v>
      </c>
      <c r="G351" s="98">
        <v>136.9</v>
      </c>
      <c r="H351" s="98">
        <v>102.3</v>
      </c>
      <c r="I351" s="98">
        <v>124.3</v>
      </c>
      <c r="J351" s="98">
        <v>170.8</v>
      </c>
      <c r="K351" s="208">
        <v>100.27999999999986</v>
      </c>
      <c r="L351" s="208">
        <v>109.90000000000018</v>
      </c>
      <c r="M351" s="208">
        <v>136.66000000000042</v>
      </c>
      <c r="N351" s="98"/>
      <c r="O351" s="98"/>
      <c r="P351" s="98"/>
      <c r="Q351" s="208">
        <v>90.900000000000176</v>
      </c>
      <c r="R351" s="98">
        <v>115.04000000000011</v>
      </c>
      <c r="S351" s="98">
        <v>126.90000000000018</v>
      </c>
      <c r="T351" s="98">
        <v>177.04000000000011</v>
      </c>
      <c r="U351" s="98">
        <v>90.900000000000176</v>
      </c>
      <c r="V351" s="98">
        <v>419.5</v>
      </c>
      <c r="W351" s="98">
        <v>523.79999999999859</v>
      </c>
      <c r="X351" s="98"/>
      <c r="Y351" s="98"/>
      <c r="Z351" s="98"/>
      <c r="AA351" s="230"/>
      <c r="AB351" s="230"/>
      <c r="AC351" s="230">
        <v>218.31999999999996</v>
      </c>
    </row>
    <row r="352" spans="2:29">
      <c r="B352" s="98">
        <v>382</v>
      </c>
      <c r="C352" s="98">
        <v>102.4</v>
      </c>
      <c r="D352" s="98">
        <v>547.70000000000005</v>
      </c>
      <c r="E352" s="98">
        <v>171.6</v>
      </c>
      <c r="F352" s="98">
        <v>175.3</v>
      </c>
      <c r="G352" s="98">
        <v>136.80000000000001</v>
      </c>
      <c r="H352" s="98">
        <v>102.2</v>
      </c>
      <c r="I352" s="98">
        <v>124.2</v>
      </c>
      <c r="J352" s="98">
        <v>170.6</v>
      </c>
      <c r="K352" s="209">
        <v>100.15999999999985</v>
      </c>
      <c r="L352" s="209">
        <v>109.80000000000018</v>
      </c>
      <c r="M352" s="209">
        <v>136.52000000000044</v>
      </c>
      <c r="N352" s="98"/>
      <c r="O352" s="98"/>
      <c r="P352" s="98"/>
      <c r="Q352" s="208">
        <v>90.800000000000182</v>
      </c>
      <c r="R352" s="98">
        <v>114.88000000000011</v>
      </c>
      <c r="S352" s="98">
        <v>126.80000000000018</v>
      </c>
      <c r="T352" s="98">
        <v>176.88000000000011</v>
      </c>
      <c r="U352" s="98">
        <v>90.800000000000182</v>
      </c>
      <c r="V352" s="98">
        <v>419</v>
      </c>
      <c r="W352" s="98">
        <v>523.59999999999854</v>
      </c>
      <c r="X352" s="98"/>
      <c r="Y352" s="98"/>
      <c r="Z352" s="98"/>
      <c r="AA352" s="230"/>
      <c r="AB352" s="230"/>
      <c r="AC352" s="230">
        <v>218.03999999999996</v>
      </c>
    </row>
    <row r="353" spans="2:29">
      <c r="B353" s="98">
        <v>383</v>
      </c>
      <c r="C353" s="98">
        <v>102.4</v>
      </c>
      <c r="D353" s="98">
        <v>546.9</v>
      </c>
      <c r="E353" s="98">
        <v>171.4</v>
      </c>
      <c r="F353" s="98">
        <v>175.1</v>
      </c>
      <c r="G353" s="98">
        <v>136.69999999999999</v>
      </c>
      <c r="H353" s="98">
        <v>102.1</v>
      </c>
      <c r="I353" s="98">
        <v>124.1</v>
      </c>
      <c r="J353" s="98">
        <v>170.4</v>
      </c>
      <c r="K353" s="208">
        <v>100.03999999999985</v>
      </c>
      <c r="L353" s="208">
        <v>109.70000000000019</v>
      </c>
      <c r="M353" s="208">
        <v>136.38000000000045</v>
      </c>
      <c r="N353" s="98"/>
      <c r="O353" s="98"/>
      <c r="P353" s="98"/>
      <c r="Q353" s="208">
        <v>90.700000000000188</v>
      </c>
      <c r="R353" s="98">
        <v>114.72000000000011</v>
      </c>
      <c r="S353" s="98">
        <v>126.70000000000019</v>
      </c>
      <c r="T353" s="98">
        <v>176.72000000000011</v>
      </c>
      <c r="U353" s="98">
        <v>90.700000000000188</v>
      </c>
      <c r="V353" s="98">
        <v>418.5</v>
      </c>
      <c r="W353" s="98">
        <v>523.3999999999985</v>
      </c>
      <c r="X353" s="98"/>
      <c r="Y353" s="98"/>
      <c r="Z353" s="98"/>
      <c r="AA353" s="230"/>
      <c r="AB353" s="230"/>
      <c r="AC353" s="230">
        <v>217.75999999999996</v>
      </c>
    </row>
    <row r="354" spans="2:29">
      <c r="B354" s="98">
        <v>384</v>
      </c>
      <c r="C354" s="98">
        <v>102.3</v>
      </c>
      <c r="D354" s="98">
        <v>546.20000000000005</v>
      </c>
      <c r="E354" s="98">
        <v>171.2</v>
      </c>
      <c r="F354" s="98">
        <v>174.8</v>
      </c>
      <c r="G354" s="98">
        <v>136.6</v>
      </c>
      <c r="H354" s="98">
        <v>102.1</v>
      </c>
      <c r="I354" s="98">
        <v>124.1</v>
      </c>
      <c r="J354" s="98">
        <v>170.2</v>
      </c>
      <c r="K354" s="209">
        <v>99.919999999999845</v>
      </c>
      <c r="L354" s="209">
        <v>109.60000000000019</v>
      </c>
      <c r="M354" s="209">
        <v>136.24000000000046</v>
      </c>
      <c r="N354" s="98"/>
      <c r="O354" s="98"/>
      <c r="P354" s="98"/>
      <c r="Q354" s="208">
        <v>90.600000000000193</v>
      </c>
      <c r="R354" s="98">
        <v>114.56000000000012</v>
      </c>
      <c r="S354" s="98">
        <v>126.60000000000019</v>
      </c>
      <c r="T354" s="98">
        <v>176.56000000000012</v>
      </c>
      <c r="U354" s="98">
        <v>90.600000000000193</v>
      </c>
      <c r="V354" s="98">
        <v>418</v>
      </c>
      <c r="W354" s="98">
        <v>523.19999999999845</v>
      </c>
      <c r="X354" s="98"/>
      <c r="Y354" s="98"/>
      <c r="Z354" s="98"/>
      <c r="AA354" s="230"/>
      <c r="AB354" s="230"/>
      <c r="AC354" s="230">
        <v>217.47999999999996</v>
      </c>
    </row>
    <row r="355" spans="2:29">
      <c r="B355" s="98">
        <v>385</v>
      </c>
      <c r="C355" s="98">
        <v>102.2</v>
      </c>
      <c r="D355" s="98">
        <v>545.4</v>
      </c>
      <c r="E355" s="98">
        <v>171</v>
      </c>
      <c r="F355" s="98">
        <v>174.6</v>
      </c>
      <c r="G355" s="98">
        <v>136.5</v>
      </c>
      <c r="H355" s="98">
        <v>102</v>
      </c>
      <c r="I355" s="98">
        <v>124</v>
      </c>
      <c r="J355" s="98">
        <v>170</v>
      </c>
      <c r="K355" s="208">
        <v>99.799999999999841</v>
      </c>
      <c r="L355" s="208">
        <v>109.5000000000002</v>
      </c>
      <c r="M355" s="208">
        <v>136.10000000000048</v>
      </c>
      <c r="N355" s="98"/>
      <c r="O355" s="98"/>
      <c r="P355" s="98"/>
      <c r="Q355" s="208">
        <v>90.500000000000199</v>
      </c>
      <c r="R355" s="98">
        <v>114.40000000000012</v>
      </c>
      <c r="S355" s="98">
        <v>126.5000000000002</v>
      </c>
      <c r="T355" s="98">
        <v>176.40000000000012</v>
      </c>
      <c r="U355" s="98">
        <v>90.500000000000199</v>
      </c>
      <c r="V355" s="98">
        <v>417.5</v>
      </c>
      <c r="W355" s="98">
        <v>522.99999999999841</v>
      </c>
      <c r="X355" s="98"/>
      <c r="Y355" s="98"/>
      <c r="Z355" s="98"/>
      <c r="AA355" s="230"/>
      <c r="AB355" s="230"/>
      <c r="AC355" s="230">
        <v>217.19999999999996</v>
      </c>
    </row>
    <row r="356" spans="2:29">
      <c r="B356" s="98">
        <v>386</v>
      </c>
      <c r="C356" s="98">
        <v>102.1</v>
      </c>
      <c r="D356" s="98">
        <v>544.6</v>
      </c>
      <c r="E356" s="98">
        <v>170.8</v>
      </c>
      <c r="F356" s="98">
        <v>174.4</v>
      </c>
      <c r="G356" s="98">
        <v>136.4</v>
      </c>
      <c r="H356" s="98">
        <v>101.9</v>
      </c>
      <c r="I356" s="98">
        <v>123.9</v>
      </c>
      <c r="J356" s="98">
        <v>169.8</v>
      </c>
      <c r="K356" s="209">
        <v>99.679999999999836</v>
      </c>
      <c r="L356" s="209">
        <v>109.4000000000002</v>
      </c>
      <c r="M356" s="209">
        <v>135.96000000000049</v>
      </c>
      <c r="N356" s="98"/>
      <c r="O356" s="98"/>
      <c r="P356" s="98"/>
      <c r="Q356" s="208">
        <v>90.400000000000205</v>
      </c>
      <c r="R356" s="98">
        <v>114.24000000000012</v>
      </c>
      <c r="S356" s="98">
        <v>126.4000000000002</v>
      </c>
      <c r="T356" s="98">
        <v>176.24000000000012</v>
      </c>
      <c r="U356" s="98">
        <v>90.400000000000205</v>
      </c>
      <c r="V356" s="98">
        <v>417</v>
      </c>
      <c r="W356" s="98">
        <v>522.79999999999836</v>
      </c>
      <c r="X356" s="98"/>
      <c r="Y356" s="98"/>
      <c r="Z356" s="98"/>
      <c r="AA356" s="230"/>
      <c r="AB356" s="230"/>
      <c r="AC356" s="230">
        <v>216.91999999999996</v>
      </c>
    </row>
    <row r="357" spans="2:29">
      <c r="B357" s="98">
        <v>387</v>
      </c>
      <c r="C357" s="98">
        <v>102</v>
      </c>
      <c r="D357" s="98">
        <v>543.9</v>
      </c>
      <c r="E357" s="98">
        <v>170.6</v>
      </c>
      <c r="F357" s="98">
        <v>174.1</v>
      </c>
      <c r="G357" s="98">
        <v>136.30000000000001</v>
      </c>
      <c r="H357" s="98">
        <v>101.9</v>
      </c>
      <c r="I357" s="98">
        <v>123.9</v>
      </c>
      <c r="J357" s="98">
        <v>169.6</v>
      </c>
      <c r="K357" s="208">
        <v>99.559999999999832</v>
      </c>
      <c r="L357" s="208">
        <v>109.30000000000021</v>
      </c>
      <c r="M357" s="208">
        <v>135.8200000000005</v>
      </c>
      <c r="N357" s="98"/>
      <c r="O357" s="98"/>
      <c r="P357" s="98"/>
      <c r="Q357" s="208">
        <v>90.30000000000021</v>
      </c>
      <c r="R357" s="98">
        <v>114.08000000000013</v>
      </c>
      <c r="S357" s="98">
        <v>126.30000000000021</v>
      </c>
      <c r="T357" s="98">
        <v>176.08000000000013</v>
      </c>
      <c r="U357" s="98">
        <v>90.30000000000021</v>
      </c>
      <c r="V357" s="98">
        <v>416.5</v>
      </c>
      <c r="W357" s="98">
        <v>522.59999999999832</v>
      </c>
      <c r="X357" s="98"/>
      <c r="Y357" s="98"/>
      <c r="Z357" s="98"/>
      <c r="AA357" s="230"/>
      <c r="AB357" s="230"/>
      <c r="AC357" s="230">
        <v>216.63999999999996</v>
      </c>
    </row>
    <row r="358" spans="2:29">
      <c r="B358" s="98">
        <v>388</v>
      </c>
      <c r="C358" s="98">
        <v>102</v>
      </c>
      <c r="D358" s="98">
        <v>543.1</v>
      </c>
      <c r="E358" s="98">
        <v>170.4</v>
      </c>
      <c r="F358" s="98">
        <v>173.9</v>
      </c>
      <c r="G358" s="98">
        <v>136.19999999999999</v>
      </c>
      <c r="H358" s="98">
        <v>101.8</v>
      </c>
      <c r="I358" s="98">
        <v>123.8</v>
      </c>
      <c r="J358" s="98">
        <v>169.4</v>
      </c>
      <c r="K358" s="209">
        <v>99.439999999999827</v>
      </c>
      <c r="L358" s="209">
        <v>109.20000000000022</v>
      </c>
      <c r="M358" s="209">
        <v>135.68000000000052</v>
      </c>
      <c r="N358" s="98"/>
      <c r="O358" s="98"/>
      <c r="P358" s="98"/>
      <c r="Q358" s="208">
        <v>90.200000000000216</v>
      </c>
      <c r="R358" s="98">
        <v>113.92000000000013</v>
      </c>
      <c r="S358" s="98">
        <v>126.20000000000022</v>
      </c>
      <c r="T358" s="98">
        <v>175.92000000000013</v>
      </c>
      <c r="U358" s="98">
        <v>90.200000000000216</v>
      </c>
      <c r="V358" s="98">
        <v>416</v>
      </c>
      <c r="W358" s="98">
        <v>522.39999999999827</v>
      </c>
      <c r="X358" s="98"/>
      <c r="Y358" s="98"/>
      <c r="Z358" s="98"/>
      <c r="AA358" s="230"/>
      <c r="AB358" s="230"/>
      <c r="AC358" s="230">
        <v>216.35999999999996</v>
      </c>
    </row>
    <row r="359" spans="2:29">
      <c r="B359" s="98">
        <v>389</v>
      </c>
      <c r="C359" s="98">
        <v>101.9</v>
      </c>
      <c r="D359" s="98">
        <v>542.4</v>
      </c>
      <c r="E359" s="98">
        <v>170.2</v>
      </c>
      <c r="F359" s="98">
        <v>173.6</v>
      </c>
      <c r="G359" s="98">
        <v>136.1</v>
      </c>
      <c r="H359" s="98">
        <v>101.7</v>
      </c>
      <c r="I359" s="98">
        <v>123.7</v>
      </c>
      <c r="J359" s="98">
        <v>169.2</v>
      </c>
      <c r="K359" s="208">
        <v>99.319999999999823</v>
      </c>
      <c r="L359" s="208">
        <v>109.10000000000022</v>
      </c>
      <c r="M359" s="208">
        <v>135.54000000000053</v>
      </c>
      <c r="N359" s="98"/>
      <c r="O359" s="98"/>
      <c r="P359" s="98"/>
      <c r="Q359" s="208">
        <v>90.100000000000222</v>
      </c>
      <c r="R359" s="98">
        <v>113.76000000000013</v>
      </c>
      <c r="S359" s="98">
        <v>126.10000000000022</v>
      </c>
      <c r="T359" s="98">
        <v>175.76000000000013</v>
      </c>
      <c r="U359" s="98">
        <v>90.100000000000222</v>
      </c>
      <c r="V359" s="98">
        <v>415.5</v>
      </c>
      <c r="W359" s="98">
        <v>522.19999999999823</v>
      </c>
      <c r="X359" s="98"/>
      <c r="Y359" s="98"/>
      <c r="Z359" s="98"/>
      <c r="AA359" s="230"/>
      <c r="AB359" s="230"/>
      <c r="AC359" s="230">
        <v>216.07999999999996</v>
      </c>
    </row>
    <row r="360" spans="2:29">
      <c r="B360" s="98">
        <v>390</v>
      </c>
      <c r="C360" s="98">
        <v>101.8</v>
      </c>
      <c r="D360" s="98">
        <v>541.6</v>
      </c>
      <c r="E360" s="98">
        <v>170</v>
      </c>
      <c r="F360" s="98">
        <v>173.4</v>
      </c>
      <c r="G360" s="98">
        <v>136</v>
      </c>
      <c r="H360" s="98">
        <v>101.6</v>
      </c>
      <c r="I360" s="98">
        <v>123.6</v>
      </c>
      <c r="J360" s="98">
        <v>169</v>
      </c>
      <c r="K360" s="209">
        <v>99.199999999999818</v>
      </c>
      <c r="L360" s="209">
        <v>109.00000000000023</v>
      </c>
      <c r="M360" s="209">
        <v>135.40000000000055</v>
      </c>
      <c r="N360" s="98"/>
      <c r="O360" s="98"/>
      <c r="P360" s="98"/>
      <c r="Q360" s="208">
        <v>90.000000000000227</v>
      </c>
      <c r="R360" s="98">
        <v>113.60000000000014</v>
      </c>
      <c r="S360" s="98">
        <v>126.00000000000023</v>
      </c>
      <c r="T360" s="98">
        <v>175.60000000000014</v>
      </c>
      <c r="U360" s="98">
        <v>90.000000000000227</v>
      </c>
      <c r="V360" s="98">
        <v>415</v>
      </c>
      <c r="W360" s="98">
        <v>521.99999999999818</v>
      </c>
      <c r="X360" s="98"/>
      <c r="Y360" s="98"/>
      <c r="Z360" s="98"/>
      <c r="AA360" s="230"/>
      <c r="AB360" s="230"/>
      <c r="AC360" s="230">
        <v>215.79999999999995</v>
      </c>
    </row>
    <row r="361" spans="2:29">
      <c r="B361" s="98">
        <v>391</v>
      </c>
      <c r="C361" s="98">
        <v>101.7</v>
      </c>
      <c r="D361" s="98">
        <v>540.79999999999995</v>
      </c>
      <c r="E361" s="98">
        <v>169.8</v>
      </c>
      <c r="F361" s="98">
        <v>173.2</v>
      </c>
      <c r="G361" s="98">
        <v>135.9</v>
      </c>
      <c r="H361" s="98">
        <v>101.6</v>
      </c>
      <c r="I361" s="98">
        <v>123.6</v>
      </c>
      <c r="J361" s="98">
        <v>168.8</v>
      </c>
      <c r="K361" s="208">
        <v>99.079999999999814</v>
      </c>
      <c r="L361" s="208">
        <v>108.90000000000023</v>
      </c>
      <c r="M361" s="208">
        <v>135.26000000000056</v>
      </c>
      <c r="N361" s="98"/>
      <c r="O361" s="98"/>
      <c r="P361" s="98"/>
      <c r="Q361" s="208">
        <v>89.900000000000233</v>
      </c>
      <c r="R361" s="98">
        <v>113.44000000000014</v>
      </c>
      <c r="S361" s="98">
        <v>125.90000000000023</v>
      </c>
      <c r="T361" s="98">
        <v>175.44000000000014</v>
      </c>
      <c r="U361" s="98">
        <v>89.900000000000233</v>
      </c>
      <c r="V361" s="98">
        <v>414.5</v>
      </c>
      <c r="W361" s="98">
        <v>521.79999999999814</v>
      </c>
      <c r="X361" s="98"/>
      <c r="Y361" s="98"/>
      <c r="Z361" s="98"/>
      <c r="AA361" s="230"/>
      <c r="AB361" s="230"/>
      <c r="AC361" s="230">
        <v>215.51999999999995</v>
      </c>
    </row>
    <row r="362" spans="2:29">
      <c r="B362" s="98">
        <v>392</v>
      </c>
      <c r="C362" s="98">
        <v>101.6</v>
      </c>
      <c r="D362" s="98">
        <v>540.1</v>
      </c>
      <c r="E362" s="98">
        <v>169.6</v>
      </c>
      <c r="F362" s="98">
        <v>172.9</v>
      </c>
      <c r="G362" s="98">
        <v>135.80000000000001</v>
      </c>
      <c r="H362" s="98">
        <v>101.5</v>
      </c>
      <c r="I362" s="98">
        <v>123.5</v>
      </c>
      <c r="J362" s="98">
        <v>168.6</v>
      </c>
      <c r="K362" s="209">
        <v>98.959999999999809</v>
      </c>
      <c r="L362" s="209">
        <v>108.80000000000024</v>
      </c>
      <c r="M362" s="209">
        <v>135.12000000000057</v>
      </c>
      <c r="N362" s="98"/>
      <c r="O362" s="98"/>
      <c r="P362" s="98"/>
      <c r="Q362" s="208">
        <v>89.800000000000239</v>
      </c>
      <c r="R362" s="98">
        <v>113.28000000000014</v>
      </c>
      <c r="S362" s="98">
        <v>125.80000000000024</v>
      </c>
      <c r="T362" s="98">
        <v>175.28000000000014</v>
      </c>
      <c r="U362" s="98">
        <v>89.800000000000239</v>
      </c>
      <c r="V362" s="98">
        <v>414</v>
      </c>
      <c r="W362" s="98">
        <v>521.59999999999809</v>
      </c>
      <c r="X362" s="98"/>
      <c r="Y362" s="98"/>
      <c r="Z362" s="98"/>
      <c r="AA362" s="230"/>
      <c r="AB362" s="230"/>
      <c r="AC362" s="230">
        <v>215.23999999999995</v>
      </c>
    </row>
    <row r="363" spans="2:29">
      <c r="B363" s="98">
        <v>393</v>
      </c>
      <c r="C363" s="98">
        <v>101.6</v>
      </c>
      <c r="D363" s="98">
        <v>539.29999999999995</v>
      </c>
      <c r="E363" s="98">
        <v>169.4</v>
      </c>
      <c r="F363" s="98">
        <v>172.7</v>
      </c>
      <c r="G363" s="98">
        <v>135.69999999999999</v>
      </c>
      <c r="H363" s="98">
        <v>101.4</v>
      </c>
      <c r="I363" s="98">
        <v>123.4</v>
      </c>
      <c r="J363" s="98">
        <v>168.4</v>
      </c>
      <c r="K363" s="208">
        <v>98.839999999999804</v>
      </c>
      <c r="L363" s="208">
        <v>108.70000000000024</v>
      </c>
      <c r="M363" s="208">
        <v>134.98000000000059</v>
      </c>
      <c r="N363" s="98"/>
      <c r="O363" s="98"/>
      <c r="P363" s="98"/>
      <c r="Q363" s="208">
        <v>89.700000000000244</v>
      </c>
      <c r="R363" s="98">
        <v>113.12000000000015</v>
      </c>
      <c r="S363" s="98">
        <v>125.70000000000024</v>
      </c>
      <c r="T363" s="98">
        <v>175.12000000000015</v>
      </c>
      <c r="U363" s="98">
        <v>89.700000000000244</v>
      </c>
      <c r="V363" s="98">
        <v>413.5</v>
      </c>
      <c r="W363" s="98">
        <v>521.39999999999804</v>
      </c>
      <c r="X363" s="98"/>
      <c r="Y363" s="98"/>
      <c r="Z363" s="98"/>
      <c r="AA363" s="230"/>
      <c r="AB363" s="230"/>
      <c r="AC363" s="230">
        <v>214.95999999999995</v>
      </c>
    </row>
    <row r="364" spans="2:29">
      <c r="B364" s="98">
        <v>394</v>
      </c>
      <c r="C364" s="98">
        <v>101.5</v>
      </c>
      <c r="D364" s="98">
        <v>538.6</v>
      </c>
      <c r="E364" s="98">
        <v>169.2</v>
      </c>
      <c r="F364" s="98">
        <v>172.4</v>
      </c>
      <c r="G364" s="98">
        <v>135.6</v>
      </c>
      <c r="H364" s="98">
        <v>101.4</v>
      </c>
      <c r="I364" s="98">
        <v>123.4</v>
      </c>
      <c r="J364" s="98">
        <v>168.2</v>
      </c>
      <c r="K364" s="209">
        <v>98.7199999999998</v>
      </c>
      <c r="L364" s="209">
        <v>108.60000000000025</v>
      </c>
      <c r="M364" s="209">
        <v>134.8400000000006</v>
      </c>
      <c r="N364" s="98"/>
      <c r="O364" s="98"/>
      <c r="P364" s="98"/>
      <c r="Q364" s="208">
        <v>89.60000000000025</v>
      </c>
      <c r="R364" s="98">
        <v>112.96000000000015</v>
      </c>
      <c r="S364" s="98">
        <v>125.60000000000025</v>
      </c>
      <c r="T364" s="98">
        <v>174.96000000000015</v>
      </c>
      <c r="U364" s="98">
        <v>89.60000000000025</v>
      </c>
      <c r="V364" s="98">
        <v>413</v>
      </c>
      <c r="W364" s="98">
        <v>521.199999999998</v>
      </c>
      <c r="X364" s="98"/>
      <c r="Y364" s="98"/>
      <c r="Z364" s="98"/>
      <c r="AA364" s="230"/>
      <c r="AB364" s="230"/>
      <c r="AC364" s="230">
        <v>214.67999999999995</v>
      </c>
    </row>
    <row r="365" spans="2:29">
      <c r="B365" s="98">
        <v>395</v>
      </c>
      <c r="C365" s="98">
        <v>101.4</v>
      </c>
      <c r="D365" s="98">
        <v>537.79999999999995</v>
      </c>
      <c r="E365" s="98">
        <v>169</v>
      </c>
      <c r="F365" s="98">
        <v>172.2</v>
      </c>
      <c r="G365" s="98">
        <v>135.5</v>
      </c>
      <c r="H365" s="98">
        <v>101.3</v>
      </c>
      <c r="I365" s="98">
        <v>123.3</v>
      </c>
      <c r="J365" s="98">
        <v>168</v>
      </c>
      <c r="K365" s="208">
        <v>98.599999999999795</v>
      </c>
      <c r="L365" s="208">
        <v>108.50000000000026</v>
      </c>
      <c r="M365" s="208">
        <v>134.70000000000061</v>
      </c>
      <c r="N365" s="98"/>
      <c r="O365" s="98"/>
      <c r="P365" s="98"/>
      <c r="Q365" s="208">
        <v>89.500000000000256</v>
      </c>
      <c r="R365" s="98">
        <v>112.80000000000015</v>
      </c>
      <c r="S365" s="98">
        <v>125.50000000000026</v>
      </c>
      <c r="T365" s="98">
        <v>174.80000000000015</v>
      </c>
      <c r="U365" s="98">
        <v>89.500000000000256</v>
      </c>
      <c r="V365" s="98">
        <v>412.5</v>
      </c>
      <c r="W365" s="98">
        <v>520.99999999999795</v>
      </c>
      <c r="X365" s="98"/>
      <c r="Y365" s="98"/>
      <c r="Z365" s="98"/>
      <c r="AA365" s="230"/>
      <c r="AB365" s="230"/>
      <c r="AC365" s="230">
        <v>214.39999999999995</v>
      </c>
    </row>
    <row r="366" spans="2:29">
      <c r="B366" s="98">
        <v>396</v>
      </c>
      <c r="C366" s="98">
        <v>101.3</v>
      </c>
      <c r="D366" s="98">
        <v>537</v>
      </c>
      <c r="E366" s="98">
        <v>168.8</v>
      </c>
      <c r="F366" s="98">
        <v>172</v>
      </c>
      <c r="G366" s="98">
        <v>135.4</v>
      </c>
      <c r="H366" s="98">
        <v>101.2</v>
      </c>
      <c r="I366" s="98">
        <v>123.2</v>
      </c>
      <c r="J366" s="98">
        <v>167.8</v>
      </c>
      <c r="K366" s="209">
        <v>98.479999999999791</v>
      </c>
      <c r="L366" s="209">
        <v>108.40000000000026</v>
      </c>
      <c r="M366" s="209">
        <v>134.56000000000063</v>
      </c>
      <c r="N366" s="98"/>
      <c r="O366" s="98"/>
      <c r="P366" s="98"/>
      <c r="Q366" s="208">
        <v>89.400000000000261</v>
      </c>
      <c r="R366" s="98">
        <v>112.64000000000016</v>
      </c>
      <c r="S366" s="98">
        <v>125.40000000000026</v>
      </c>
      <c r="T366" s="98">
        <v>174.64000000000016</v>
      </c>
      <c r="U366" s="98">
        <v>89.400000000000261</v>
      </c>
      <c r="V366" s="98">
        <v>412</v>
      </c>
      <c r="W366" s="98">
        <v>520.79999999999791</v>
      </c>
      <c r="X366" s="98"/>
      <c r="Y366" s="98"/>
      <c r="Z366" s="98"/>
      <c r="AA366" s="230"/>
      <c r="AB366" s="230"/>
      <c r="AC366" s="230">
        <v>214.11999999999995</v>
      </c>
    </row>
    <row r="367" spans="2:29">
      <c r="B367" s="98">
        <v>397</v>
      </c>
      <c r="C367" s="98">
        <v>101.2</v>
      </c>
      <c r="D367" s="98">
        <v>536.29999999999995</v>
      </c>
      <c r="E367" s="98">
        <v>168.6</v>
      </c>
      <c r="F367" s="98">
        <v>171.7</v>
      </c>
      <c r="G367" s="98">
        <v>135.30000000000001</v>
      </c>
      <c r="H367" s="98">
        <v>101.1</v>
      </c>
      <c r="I367" s="98">
        <v>123.1</v>
      </c>
      <c r="J367" s="98">
        <v>167.6</v>
      </c>
      <c r="K367" s="208">
        <v>98.359999999999786</v>
      </c>
      <c r="L367" s="208">
        <v>108.30000000000027</v>
      </c>
      <c r="M367" s="208">
        <v>134.42000000000064</v>
      </c>
      <c r="N367" s="98"/>
      <c r="O367" s="98"/>
      <c r="P367" s="98"/>
      <c r="Q367" s="208">
        <v>89.300000000000267</v>
      </c>
      <c r="R367" s="98">
        <v>112.48000000000016</v>
      </c>
      <c r="S367" s="98">
        <v>125.30000000000027</v>
      </c>
      <c r="T367" s="98">
        <v>174.48000000000016</v>
      </c>
      <c r="U367" s="98">
        <v>89.300000000000267</v>
      </c>
      <c r="V367" s="98">
        <v>411.5</v>
      </c>
      <c r="W367" s="98">
        <v>520.59999999999786</v>
      </c>
      <c r="X367" s="98"/>
      <c r="Y367" s="98"/>
      <c r="Z367" s="98"/>
      <c r="AA367" s="230"/>
      <c r="AB367" s="230"/>
      <c r="AC367" s="230">
        <v>213.83999999999995</v>
      </c>
    </row>
    <row r="368" spans="2:29">
      <c r="B368" s="98">
        <v>398</v>
      </c>
      <c r="C368" s="98">
        <v>101.2</v>
      </c>
      <c r="D368" s="98">
        <v>535.5</v>
      </c>
      <c r="E368" s="98">
        <v>168.4</v>
      </c>
      <c r="F368" s="98">
        <v>171.5</v>
      </c>
      <c r="G368" s="98">
        <v>135.19999999999999</v>
      </c>
      <c r="H368" s="98">
        <v>101.1</v>
      </c>
      <c r="I368" s="98">
        <v>123.1</v>
      </c>
      <c r="J368" s="98">
        <v>167.4</v>
      </c>
      <c r="K368" s="209">
        <v>98.239999999999782</v>
      </c>
      <c r="L368" s="209">
        <v>108.20000000000027</v>
      </c>
      <c r="M368" s="209">
        <v>134.28000000000065</v>
      </c>
      <c r="N368" s="98"/>
      <c r="O368" s="98"/>
      <c r="P368" s="98"/>
      <c r="Q368" s="208">
        <v>89.200000000000273</v>
      </c>
      <c r="R368" s="98">
        <v>112.32000000000016</v>
      </c>
      <c r="S368" s="98">
        <v>125.20000000000027</v>
      </c>
      <c r="T368" s="98">
        <v>174.32000000000016</v>
      </c>
      <c r="U368" s="98">
        <v>89.200000000000273</v>
      </c>
      <c r="V368" s="98">
        <v>411</v>
      </c>
      <c r="W368" s="98">
        <v>520.39999999999782</v>
      </c>
      <c r="X368" s="98"/>
      <c r="Y368" s="98"/>
      <c r="Z368" s="98"/>
      <c r="AA368" s="230"/>
      <c r="AB368" s="230"/>
      <c r="AC368" s="230">
        <v>213.55999999999995</v>
      </c>
    </row>
    <row r="369" spans="2:29">
      <c r="B369" s="98">
        <v>399</v>
      </c>
      <c r="C369" s="98">
        <v>101.1</v>
      </c>
      <c r="D369" s="98">
        <v>534.79999999999995</v>
      </c>
      <c r="E369" s="98">
        <v>168.2</v>
      </c>
      <c r="F369" s="98">
        <v>171.2</v>
      </c>
      <c r="G369" s="98">
        <v>135.1</v>
      </c>
      <c r="H369" s="98">
        <v>101</v>
      </c>
      <c r="I369" s="98">
        <v>123</v>
      </c>
      <c r="J369" s="98">
        <v>167.2</v>
      </c>
      <c r="K369" s="208">
        <v>98.119999999999777</v>
      </c>
      <c r="L369" s="208">
        <v>108.10000000000028</v>
      </c>
      <c r="M369" s="208">
        <v>134.14000000000067</v>
      </c>
      <c r="N369" s="98"/>
      <c r="O369" s="98"/>
      <c r="P369" s="98"/>
      <c r="Q369" s="208">
        <v>89.100000000000279</v>
      </c>
      <c r="R369" s="98">
        <v>112.16000000000017</v>
      </c>
      <c r="S369" s="98">
        <v>125.10000000000028</v>
      </c>
      <c r="T369" s="98">
        <v>174.16000000000017</v>
      </c>
      <c r="U369" s="98">
        <v>89.100000000000279</v>
      </c>
      <c r="V369" s="98">
        <v>410.5</v>
      </c>
      <c r="W369" s="98">
        <v>520.19999999999777</v>
      </c>
      <c r="X369" s="98"/>
      <c r="Y369" s="98"/>
      <c r="Z369" s="98"/>
      <c r="AA369" s="230"/>
      <c r="AB369" s="230"/>
      <c r="AC369" s="230">
        <v>213.27999999999994</v>
      </c>
    </row>
    <row r="370" spans="2:29">
      <c r="B370" s="98">
        <v>400</v>
      </c>
      <c r="C370" s="98">
        <v>101</v>
      </c>
      <c r="D370" s="98">
        <v>534</v>
      </c>
      <c r="E370" s="98">
        <v>168</v>
      </c>
      <c r="F370" s="98">
        <v>171</v>
      </c>
      <c r="G370" s="98">
        <v>135</v>
      </c>
      <c r="H370" s="98">
        <v>101</v>
      </c>
      <c r="I370" s="98">
        <v>122.9</v>
      </c>
      <c r="J370" s="98">
        <v>167</v>
      </c>
      <c r="K370" s="209">
        <v>98</v>
      </c>
      <c r="L370" s="209">
        <v>108</v>
      </c>
      <c r="M370" s="209">
        <v>134</v>
      </c>
      <c r="N370" s="98"/>
      <c r="O370" s="98"/>
      <c r="P370" s="98">
        <v>315</v>
      </c>
      <c r="Q370" s="209">
        <v>89</v>
      </c>
      <c r="R370" s="98">
        <v>112</v>
      </c>
      <c r="S370" s="98">
        <v>125</v>
      </c>
      <c r="T370" s="98">
        <v>174</v>
      </c>
      <c r="U370" s="98">
        <v>89</v>
      </c>
      <c r="V370" s="98">
        <v>410</v>
      </c>
      <c r="W370" s="98">
        <v>520</v>
      </c>
      <c r="X370" s="98"/>
      <c r="Y370" s="98"/>
      <c r="Z370" s="98"/>
      <c r="AA370" s="230"/>
      <c r="AB370" s="230">
        <v>475</v>
      </c>
      <c r="AC370" s="230">
        <v>213</v>
      </c>
    </row>
    <row r="371" spans="2:29">
      <c r="B371" s="98">
        <v>401</v>
      </c>
      <c r="C371" s="98">
        <v>101</v>
      </c>
      <c r="D371" s="98">
        <v>533.1</v>
      </c>
      <c r="E371" s="98">
        <v>167.8</v>
      </c>
      <c r="F371" s="98">
        <v>170.8</v>
      </c>
      <c r="G371" s="98">
        <v>134.9</v>
      </c>
      <c r="H371" s="98">
        <v>100.9</v>
      </c>
      <c r="I371" s="98">
        <v>122.9</v>
      </c>
      <c r="J371" s="98">
        <v>166.8</v>
      </c>
      <c r="K371" s="208">
        <v>97.94</v>
      </c>
      <c r="L371" s="208">
        <v>107.9</v>
      </c>
      <c r="M371" s="208">
        <v>133.88</v>
      </c>
      <c r="N371" s="98"/>
      <c r="O371" s="98"/>
      <c r="P371" s="98"/>
      <c r="Q371" s="208">
        <v>88.92</v>
      </c>
      <c r="R371" s="98">
        <v>111.92</v>
      </c>
      <c r="S371" s="98">
        <v>124.92</v>
      </c>
      <c r="T371" s="98">
        <v>173.88</v>
      </c>
      <c r="U371" s="98">
        <v>88.92</v>
      </c>
      <c r="V371" s="98">
        <v>409.4</v>
      </c>
      <c r="W371" s="98">
        <v>519.79999999999995</v>
      </c>
      <c r="X371" s="98"/>
      <c r="Y371" s="98"/>
      <c r="Z371" s="98"/>
      <c r="AA371" s="230"/>
      <c r="AB371" s="230"/>
      <c r="AC371" s="230"/>
    </row>
    <row r="372" spans="2:29">
      <c r="B372" s="98">
        <v>402</v>
      </c>
      <c r="C372" s="98">
        <v>100.9</v>
      </c>
      <c r="D372" s="98">
        <v>532.20000000000005</v>
      </c>
      <c r="E372" s="98">
        <v>167.6</v>
      </c>
      <c r="F372" s="98">
        <v>170.6</v>
      </c>
      <c r="G372" s="98">
        <v>134.80000000000001</v>
      </c>
      <c r="H372" s="98">
        <v>100.9</v>
      </c>
      <c r="I372" s="98">
        <v>122.8</v>
      </c>
      <c r="J372" s="98">
        <v>166.6</v>
      </c>
      <c r="K372" s="209">
        <v>97.88</v>
      </c>
      <c r="L372" s="209">
        <v>107.80000000000001</v>
      </c>
      <c r="M372" s="209">
        <v>133.76</v>
      </c>
      <c r="N372" s="98"/>
      <c r="O372" s="98"/>
      <c r="P372" s="98"/>
      <c r="Q372" s="208">
        <v>88.84</v>
      </c>
      <c r="R372" s="98">
        <v>111.84</v>
      </c>
      <c r="S372" s="98">
        <v>124.84</v>
      </c>
      <c r="T372" s="98">
        <v>173.76</v>
      </c>
      <c r="U372" s="98">
        <v>88.84</v>
      </c>
      <c r="V372" s="98">
        <v>408.79999999999995</v>
      </c>
      <c r="W372" s="98">
        <v>519.59999999999991</v>
      </c>
      <c r="X372" s="98"/>
      <c r="Y372" s="98"/>
      <c r="Z372" s="98"/>
      <c r="AA372" s="230"/>
      <c r="AB372" s="230"/>
      <c r="AC372" s="230"/>
    </row>
    <row r="373" spans="2:29">
      <c r="B373" s="98">
        <v>403</v>
      </c>
      <c r="C373" s="98">
        <v>100.9</v>
      </c>
      <c r="D373" s="98">
        <v>531.20000000000005</v>
      </c>
      <c r="E373" s="98">
        <v>167.4</v>
      </c>
      <c r="F373" s="98">
        <v>170.4</v>
      </c>
      <c r="G373" s="98">
        <v>134.80000000000001</v>
      </c>
      <c r="H373" s="98">
        <v>100.9</v>
      </c>
      <c r="I373" s="98">
        <v>122.7</v>
      </c>
      <c r="J373" s="98">
        <v>166.4</v>
      </c>
      <c r="K373" s="208">
        <v>97.82</v>
      </c>
      <c r="L373" s="208">
        <v>107.70000000000002</v>
      </c>
      <c r="M373" s="208">
        <v>133.63999999999999</v>
      </c>
      <c r="N373" s="98"/>
      <c r="O373" s="98"/>
      <c r="P373" s="98"/>
      <c r="Q373" s="208">
        <v>88.76</v>
      </c>
      <c r="R373" s="98">
        <v>111.76</v>
      </c>
      <c r="S373" s="98">
        <v>124.76</v>
      </c>
      <c r="T373" s="98">
        <v>173.64</v>
      </c>
      <c r="U373" s="98">
        <v>88.76</v>
      </c>
      <c r="V373" s="98">
        <v>408.19999999999993</v>
      </c>
      <c r="W373" s="98">
        <v>519.39999999999986</v>
      </c>
      <c r="X373" s="98"/>
      <c r="Y373" s="98"/>
      <c r="Z373" s="98"/>
      <c r="AA373" s="230"/>
      <c r="AB373" s="230"/>
      <c r="AC373" s="230"/>
    </row>
    <row r="374" spans="2:29">
      <c r="B374" s="98">
        <v>404</v>
      </c>
      <c r="C374" s="98">
        <v>100.8</v>
      </c>
      <c r="D374" s="98">
        <v>530.29999999999995</v>
      </c>
      <c r="E374" s="98">
        <v>167.2</v>
      </c>
      <c r="F374" s="98">
        <v>170.2</v>
      </c>
      <c r="G374" s="98">
        <v>134.69999999999999</v>
      </c>
      <c r="H374" s="98">
        <v>100.8</v>
      </c>
      <c r="I374" s="98">
        <v>122.6</v>
      </c>
      <c r="J374" s="98">
        <v>166.2</v>
      </c>
      <c r="K374" s="209">
        <v>97.759999999999991</v>
      </c>
      <c r="L374" s="209">
        <v>107.60000000000002</v>
      </c>
      <c r="M374" s="209">
        <v>133.51999999999998</v>
      </c>
      <c r="N374" s="98"/>
      <c r="O374" s="98"/>
      <c r="P374" s="98"/>
      <c r="Q374" s="208">
        <v>88.68</v>
      </c>
      <c r="R374" s="98">
        <v>111.68</v>
      </c>
      <c r="S374" s="98">
        <v>124.68</v>
      </c>
      <c r="T374" s="98">
        <v>173.51999999999998</v>
      </c>
      <c r="U374" s="98">
        <v>88.68</v>
      </c>
      <c r="V374" s="98">
        <v>407.59999999999991</v>
      </c>
      <c r="W374" s="98">
        <v>519.19999999999982</v>
      </c>
      <c r="X374" s="98"/>
      <c r="Y374" s="98"/>
      <c r="Z374" s="98"/>
      <c r="AA374" s="230"/>
      <c r="AB374" s="230"/>
      <c r="AC374" s="230"/>
    </row>
    <row r="375" spans="2:29">
      <c r="B375" s="98">
        <v>405</v>
      </c>
      <c r="C375" s="98">
        <v>100.8</v>
      </c>
      <c r="D375" s="98">
        <v>529.4</v>
      </c>
      <c r="E375" s="98">
        <v>167</v>
      </c>
      <c r="F375" s="98">
        <v>170</v>
      </c>
      <c r="G375" s="98">
        <v>134.6</v>
      </c>
      <c r="H375" s="98">
        <v>100.8</v>
      </c>
      <c r="I375" s="98">
        <v>122.6</v>
      </c>
      <c r="J375" s="98">
        <v>166</v>
      </c>
      <c r="K375" s="208">
        <v>97.699999999999989</v>
      </c>
      <c r="L375" s="208">
        <v>107.50000000000003</v>
      </c>
      <c r="M375" s="208">
        <v>133.39999999999998</v>
      </c>
      <c r="N375" s="98"/>
      <c r="O375" s="98"/>
      <c r="P375" s="98"/>
      <c r="Q375" s="208">
        <v>88.600000000000009</v>
      </c>
      <c r="R375" s="98">
        <v>111.60000000000001</v>
      </c>
      <c r="S375" s="98">
        <v>124.60000000000001</v>
      </c>
      <c r="T375" s="98">
        <v>173.39999999999998</v>
      </c>
      <c r="U375" s="98">
        <v>88.600000000000009</v>
      </c>
      <c r="V375" s="98">
        <v>406.99999999999989</v>
      </c>
      <c r="W375" s="98">
        <v>518.99999999999977</v>
      </c>
      <c r="X375" s="98"/>
      <c r="Y375" s="98"/>
      <c r="Z375" s="98"/>
      <c r="AA375" s="230"/>
      <c r="AB375" s="230"/>
      <c r="AC375" s="230"/>
    </row>
    <row r="376" spans="2:29">
      <c r="B376" s="98">
        <v>406</v>
      </c>
      <c r="C376" s="98">
        <v>100.8</v>
      </c>
      <c r="D376" s="98">
        <v>528.5</v>
      </c>
      <c r="E376" s="98">
        <v>166.8</v>
      </c>
      <c r="F376" s="98">
        <v>169.8</v>
      </c>
      <c r="G376" s="98">
        <v>134.5</v>
      </c>
      <c r="H376" s="98">
        <v>100.8</v>
      </c>
      <c r="I376" s="98">
        <v>122.5</v>
      </c>
      <c r="J376" s="98">
        <v>165.8</v>
      </c>
      <c r="K376" s="209">
        <v>97.639999999999986</v>
      </c>
      <c r="L376" s="209">
        <v>107.40000000000003</v>
      </c>
      <c r="M376" s="209">
        <v>133.27999999999997</v>
      </c>
      <c r="N376" s="98"/>
      <c r="O376" s="98"/>
      <c r="P376" s="98"/>
      <c r="Q376" s="208">
        <v>88.52000000000001</v>
      </c>
      <c r="R376" s="98">
        <v>111.52000000000001</v>
      </c>
      <c r="S376" s="98">
        <v>124.52000000000001</v>
      </c>
      <c r="T376" s="98">
        <v>173.27999999999997</v>
      </c>
      <c r="U376" s="98">
        <v>88.52000000000001</v>
      </c>
      <c r="V376" s="98">
        <v>406.39999999999986</v>
      </c>
      <c r="W376" s="98">
        <v>518.79999999999973</v>
      </c>
      <c r="X376" s="98"/>
      <c r="Y376" s="98"/>
      <c r="Z376" s="98"/>
      <c r="AA376" s="230"/>
      <c r="AB376" s="230"/>
      <c r="AC376" s="230"/>
    </row>
    <row r="377" spans="2:29">
      <c r="B377" s="98">
        <v>407</v>
      </c>
      <c r="C377" s="98">
        <v>100.7</v>
      </c>
      <c r="D377" s="98">
        <v>527.6</v>
      </c>
      <c r="E377" s="98">
        <v>166.6</v>
      </c>
      <c r="F377" s="98">
        <v>169.6</v>
      </c>
      <c r="G377" s="98">
        <v>134.4</v>
      </c>
      <c r="H377" s="98">
        <v>100.7</v>
      </c>
      <c r="I377" s="98">
        <v>122.4</v>
      </c>
      <c r="J377" s="98">
        <v>165.6</v>
      </c>
      <c r="K377" s="208">
        <v>97.579999999999984</v>
      </c>
      <c r="L377" s="208">
        <v>107.30000000000004</v>
      </c>
      <c r="M377" s="208">
        <v>133.15999999999997</v>
      </c>
      <c r="N377" s="98"/>
      <c r="O377" s="98"/>
      <c r="P377" s="98"/>
      <c r="Q377" s="208">
        <v>88.440000000000012</v>
      </c>
      <c r="R377" s="98">
        <v>111.44000000000001</v>
      </c>
      <c r="S377" s="98">
        <v>124.44000000000001</v>
      </c>
      <c r="T377" s="98">
        <v>173.15999999999997</v>
      </c>
      <c r="U377" s="98">
        <v>88.440000000000012</v>
      </c>
      <c r="V377" s="98">
        <v>405.79999999999984</v>
      </c>
      <c r="W377" s="98">
        <v>518.59999999999968</v>
      </c>
      <c r="X377" s="98"/>
      <c r="Y377" s="98"/>
      <c r="Z377" s="98"/>
      <c r="AA377" s="230"/>
      <c r="AB377" s="230"/>
      <c r="AC377" s="230"/>
    </row>
    <row r="378" spans="2:29">
      <c r="B378" s="98">
        <v>408</v>
      </c>
      <c r="C378" s="98">
        <v>100.7</v>
      </c>
      <c r="D378" s="98">
        <v>526.6</v>
      </c>
      <c r="E378" s="98">
        <v>166.4</v>
      </c>
      <c r="F378" s="98">
        <v>169.4</v>
      </c>
      <c r="G378" s="98">
        <v>134.4</v>
      </c>
      <c r="H378" s="98">
        <v>100.7</v>
      </c>
      <c r="I378" s="98">
        <v>122.4</v>
      </c>
      <c r="J378" s="98">
        <v>165.4</v>
      </c>
      <c r="K378" s="209">
        <v>97.519999999999982</v>
      </c>
      <c r="L378" s="209">
        <v>107.20000000000005</v>
      </c>
      <c r="M378" s="209">
        <v>133.03999999999996</v>
      </c>
      <c r="N378" s="98"/>
      <c r="O378" s="98"/>
      <c r="P378" s="98"/>
      <c r="Q378" s="208">
        <v>88.360000000000014</v>
      </c>
      <c r="R378" s="98">
        <v>111.36000000000001</v>
      </c>
      <c r="S378" s="98">
        <v>124.36000000000001</v>
      </c>
      <c r="T378" s="98">
        <v>173.03999999999996</v>
      </c>
      <c r="U378" s="98">
        <v>88.360000000000014</v>
      </c>
      <c r="V378" s="98">
        <v>405.19999999999982</v>
      </c>
      <c r="W378" s="98">
        <v>518.39999999999964</v>
      </c>
      <c r="X378" s="98"/>
      <c r="Y378" s="98"/>
      <c r="Z378" s="98"/>
      <c r="AA378" s="230"/>
      <c r="AB378" s="230"/>
      <c r="AC378" s="230"/>
    </row>
    <row r="379" spans="2:29">
      <c r="B379" s="98">
        <v>409</v>
      </c>
      <c r="C379" s="98">
        <v>100.6</v>
      </c>
      <c r="D379" s="98">
        <v>525.70000000000005</v>
      </c>
      <c r="E379" s="98">
        <v>166.2</v>
      </c>
      <c r="F379" s="98">
        <v>169.2</v>
      </c>
      <c r="G379" s="98">
        <v>134.30000000000001</v>
      </c>
      <c r="H379" s="98">
        <v>100.6</v>
      </c>
      <c r="I379" s="98">
        <v>122.3</v>
      </c>
      <c r="J379" s="98">
        <v>165.2</v>
      </c>
      <c r="K379" s="208">
        <v>97.45999999999998</v>
      </c>
      <c r="L379" s="208">
        <v>107.10000000000005</v>
      </c>
      <c r="M379" s="208">
        <v>132.91999999999996</v>
      </c>
      <c r="N379" s="98"/>
      <c r="O379" s="98"/>
      <c r="P379" s="98"/>
      <c r="Q379" s="208">
        <v>88.280000000000015</v>
      </c>
      <c r="R379" s="98">
        <v>111.28000000000002</v>
      </c>
      <c r="S379" s="98">
        <v>124.28000000000002</v>
      </c>
      <c r="T379" s="98">
        <v>172.91999999999996</v>
      </c>
      <c r="U379" s="98">
        <v>88.280000000000015</v>
      </c>
      <c r="V379" s="98">
        <v>404.5999999999998</v>
      </c>
      <c r="W379" s="98">
        <v>518.19999999999959</v>
      </c>
      <c r="X379" s="98"/>
      <c r="Y379" s="98"/>
      <c r="Z379" s="98"/>
      <c r="AA379" s="230"/>
      <c r="AB379" s="230"/>
      <c r="AC379" s="230"/>
    </row>
    <row r="380" spans="2:29">
      <c r="B380" s="98">
        <v>410</v>
      </c>
      <c r="C380" s="98">
        <v>100.6</v>
      </c>
      <c r="D380" s="98">
        <v>524.79999999999995</v>
      </c>
      <c r="E380" s="98">
        <v>166</v>
      </c>
      <c r="F380" s="98">
        <v>169</v>
      </c>
      <c r="G380" s="98">
        <v>134.19999999999999</v>
      </c>
      <c r="H380" s="98">
        <v>100.6</v>
      </c>
      <c r="I380" s="98">
        <v>122.2</v>
      </c>
      <c r="J380" s="98">
        <v>165</v>
      </c>
      <c r="K380" s="209">
        <v>97.399999999999977</v>
      </c>
      <c r="L380" s="209">
        <v>107.00000000000006</v>
      </c>
      <c r="M380" s="209">
        <v>132.79999999999995</v>
      </c>
      <c r="N380" s="98"/>
      <c r="O380" s="98"/>
      <c r="P380" s="98"/>
      <c r="Q380" s="208">
        <v>88.200000000000017</v>
      </c>
      <c r="R380" s="98">
        <v>111.20000000000002</v>
      </c>
      <c r="S380" s="98">
        <v>124.20000000000002</v>
      </c>
      <c r="T380" s="98">
        <v>172.79999999999995</v>
      </c>
      <c r="U380" s="98">
        <v>88.200000000000017</v>
      </c>
      <c r="V380" s="98">
        <v>403.99999999999977</v>
      </c>
      <c r="W380" s="98">
        <v>517.99999999999955</v>
      </c>
      <c r="X380" s="98"/>
      <c r="Y380" s="98"/>
      <c r="Z380" s="98"/>
      <c r="AA380" s="230"/>
      <c r="AB380" s="230"/>
      <c r="AC380" s="230"/>
    </row>
    <row r="381" spans="2:29">
      <c r="B381" s="98">
        <v>411</v>
      </c>
      <c r="C381" s="98">
        <v>100.6</v>
      </c>
      <c r="D381" s="98">
        <v>523.9</v>
      </c>
      <c r="E381" s="98">
        <v>165.8</v>
      </c>
      <c r="F381" s="98">
        <v>168.8</v>
      </c>
      <c r="G381" s="98">
        <v>134.1</v>
      </c>
      <c r="H381" s="98">
        <v>100.6</v>
      </c>
      <c r="I381" s="98">
        <v>122.1</v>
      </c>
      <c r="J381" s="98">
        <v>164.8</v>
      </c>
      <c r="K381" s="208">
        <v>97.339999999999975</v>
      </c>
      <c r="L381" s="208">
        <v>106.90000000000006</v>
      </c>
      <c r="M381" s="208">
        <v>132.67999999999995</v>
      </c>
      <c r="N381" s="98"/>
      <c r="O381" s="98"/>
      <c r="P381" s="98"/>
      <c r="Q381" s="208">
        <v>88.120000000000019</v>
      </c>
      <c r="R381" s="98">
        <v>111.12000000000002</v>
      </c>
      <c r="S381" s="98">
        <v>124.12000000000002</v>
      </c>
      <c r="T381" s="98">
        <v>172.67999999999995</v>
      </c>
      <c r="U381" s="98">
        <v>88.120000000000019</v>
      </c>
      <c r="V381" s="98">
        <v>403.39999999999975</v>
      </c>
      <c r="W381" s="98">
        <v>517.7999999999995</v>
      </c>
      <c r="X381" s="98"/>
      <c r="Y381" s="98"/>
      <c r="Z381" s="98"/>
      <c r="AA381" s="230"/>
      <c r="AB381" s="230"/>
      <c r="AC381" s="230"/>
    </row>
    <row r="382" spans="2:29">
      <c r="B382" s="98">
        <v>412</v>
      </c>
      <c r="C382" s="98">
        <v>100.5</v>
      </c>
      <c r="D382" s="98">
        <v>523</v>
      </c>
      <c r="E382" s="98">
        <v>165.6</v>
      </c>
      <c r="F382" s="98">
        <v>168.6</v>
      </c>
      <c r="G382" s="98">
        <v>134</v>
      </c>
      <c r="H382" s="98">
        <v>100.5</v>
      </c>
      <c r="I382" s="98">
        <v>122.1</v>
      </c>
      <c r="J382" s="98">
        <v>164.6</v>
      </c>
      <c r="K382" s="209">
        <v>97.279999999999973</v>
      </c>
      <c r="L382" s="209">
        <v>106.80000000000007</v>
      </c>
      <c r="M382" s="209">
        <v>132.55999999999995</v>
      </c>
      <c r="N382" s="98"/>
      <c r="O382" s="98"/>
      <c r="P382" s="98"/>
      <c r="Q382" s="208">
        <v>88.04000000000002</v>
      </c>
      <c r="R382" s="98">
        <v>111.04000000000002</v>
      </c>
      <c r="S382" s="98">
        <v>124.04000000000002</v>
      </c>
      <c r="T382" s="98">
        <v>172.55999999999995</v>
      </c>
      <c r="U382" s="98">
        <v>88.04000000000002</v>
      </c>
      <c r="V382" s="98">
        <v>402.79999999999973</v>
      </c>
      <c r="W382" s="98">
        <v>517.59999999999945</v>
      </c>
      <c r="X382" s="98"/>
      <c r="Y382" s="98"/>
      <c r="Z382" s="98"/>
      <c r="AA382" s="230"/>
      <c r="AB382" s="230"/>
      <c r="AC382" s="230"/>
    </row>
    <row r="383" spans="2:29">
      <c r="B383" s="98">
        <v>413</v>
      </c>
      <c r="C383" s="98">
        <v>100.5</v>
      </c>
      <c r="D383" s="98">
        <v>522</v>
      </c>
      <c r="E383" s="98">
        <v>165.4</v>
      </c>
      <c r="F383" s="98">
        <v>168.4</v>
      </c>
      <c r="G383" s="98">
        <v>134</v>
      </c>
      <c r="H383" s="98">
        <v>100.5</v>
      </c>
      <c r="I383" s="98">
        <v>122</v>
      </c>
      <c r="J383" s="98">
        <v>164.4</v>
      </c>
      <c r="K383" s="208">
        <v>97.21999999999997</v>
      </c>
      <c r="L383" s="208">
        <v>106.70000000000007</v>
      </c>
      <c r="M383" s="208">
        <v>132.43999999999994</v>
      </c>
      <c r="N383" s="98"/>
      <c r="O383" s="98"/>
      <c r="P383" s="98"/>
      <c r="Q383" s="208">
        <v>87.960000000000022</v>
      </c>
      <c r="R383" s="98">
        <v>110.96000000000002</v>
      </c>
      <c r="S383" s="98">
        <v>123.96000000000002</v>
      </c>
      <c r="T383" s="98">
        <v>172.43999999999994</v>
      </c>
      <c r="U383" s="98">
        <v>87.960000000000022</v>
      </c>
      <c r="V383" s="98">
        <v>402.1999999999997</v>
      </c>
      <c r="W383" s="98">
        <v>517.39999999999941</v>
      </c>
      <c r="X383" s="98"/>
      <c r="Y383" s="98"/>
      <c r="Z383" s="98"/>
      <c r="AA383" s="230"/>
      <c r="AB383" s="230"/>
      <c r="AC383" s="230"/>
    </row>
    <row r="384" spans="2:29">
      <c r="B384" s="98">
        <v>414</v>
      </c>
      <c r="C384" s="98">
        <v>100.4</v>
      </c>
      <c r="D384" s="98">
        <v>521.1</v>
      </c>
      <c r="E384" s="98">
        <v>165.2</v>
      </c>
      <c r="F384" s="98">
        <v>168.2</v>
      </c>
      <c r="G384" s="98">
        <v>133.9</v>
      </c>
      <c r="H384" s="98">
        <v>100.5</v>
      </c>
      <c r="I384" s="98">
        <v>121.9</v>
      </c>
      <c r="J384" s="98">
        <v>164.2</v>
      </c>
      <c r="K384" s="209">
        <v>97.159999999999968</v>
      </c>
      <c r="L384" s="209">
        <v>106.60000000000008</v>
      </c>
      <c r="M384" s="209">
        <v>132.31999999999994</v>
      </c>
      <c r="N384" s="98"/>
      <c r="O384" s="98"/>
      <c r="P384" s="98"/>
      <c r="Q384" s="208">
        <v>87.880000000000024</v>
      </c>
      <c r="R384" s="98">
        <v>110.88000000000002</v>
      </c>
      <c r="S384" s="98">
        <v>123.88000000000002</v>
      </c>
      <c r="T384" s="98">
        <v>172.31999999999994</v>
      </c>
      <c r="U384" s="98">
        <v>87.880000000000024</v>
      </c>
      <c r="V384" s="98">
        <v>401.59999999999968</v>
      </c>
      <c r="W384" s="98">
        <v>517.19999999999936</v>
      </c>
      <c r="X384" s="98"/>
      <c r="Y384" s="98"/>
      <c r="Z384" s="98"/>
      <c r="AA384" s="230"/>
      <c r="AB384" s="230"/>
      <c r="AC384" s="230"/>
    </row>
    <row r="385" spans="2:29">
      <c r="B385" s="98">
        <v>415</v>
      </c>
      <c r="C385" s="98">
        <v>100.4</v>
      </c>
      <c r="D385" s="98">
        <v>520.20000000000005</v>
      </c>
      <c r="E385" s="98">
        <v>165</v>
      </c>
      <c r="F385" s="98">
        <v>168</v>
      </c>
      <c r="G385" s="98">
        <v>133.80000000000001</v>
      </c>
      <c r="H385" s="98">
        <v>100.4</v>
      </c>
      <c r="I385" s="98">
        <v>121.9</v>
      </c>
      <c r="J385" s="98">
        <v>164</v>
      </c>
      <c r="K385" s="208">
        <v>97.099999999999966</v>
      </c>
      <c r="L385" s="208">
        <v>106.50000000000009</v>
      </c>
      <c r="M385" s="208">
        <v>132.19999999999993</v>
      </c>
      <c r="N385" s="98"/>
      <c r="O385" s="98"/>
      <c r="P385" s="98"/>
      <c r="Q385" s="208">
        <v>87.800000000000026</v>
      </c>
      <c r="R385" s="98">
        <v>110.80000000000003</v>
      </c>
      <c r="S385" s="98">
        <v>123.80000000000003</v>
      </c>
      <c r="T385" s="98">
        <v>172.19999999999993</v>
      </c>
      <c r="U385" s="98">
        <v>87.800000000000026</v>
      </c>
      <c r="V385" s="98">
        <v>400.99999999999966</v>
      </c>
      <c r="W385" s="98">
        <v>516.99999999999932</v>
      </c>
      <c r="X385" s="98"/>
      <c r="Y385" s="98"/>
      <c r="Z385" s="98"/>
      <c r="AA385" s="230"/>
      <c r="AB385" s="230"/>
      <c r="AC385" s="230"/>
    </row>
    <row r="386" spans="2:29">
      <c r="B386" s="98">
        <v>416</v>
      </c>
      <c r="C386" s="98">
        <v>100.4</v>
      </c>
      <c r="D386" s="98">
        <v>519.29999999999995</v>
      </c>
      <c r="E386" s="98">
        <v>164.8</v>
      </c>
      <c r="F386" s="98">
        <v>167.8</v>
      </c>
      <c r="G386" s="98">
        <v>133.69999999999999</v>
      </c>
      <c r="H386" s="98">
        <v>100.4</v>
      </c>
      <c r="I386" s="98">
        <v>121.8</v>
      </c>
      <c r="J386" s="98">
        <v>163.80000000000001</v>
      </c>
      <c r="K386" s="209">
        <v>97.039999999999964</v>
      </c>
      <c r="L386" s="209">
        <v>106.40000000000009</v>
      </c>
      <c r="M386" s="209">
        <v>132.07999999999993</v>
      </c>
      <c r="N386" s="98"/>
      <c r="O386" s="98"/>
      <c r="P386" s="98"/>
      <c r="Q386" s="208">
        <v>87.720000000000027</v>
      </c>
      <c r="R386" s="98">
        <v>110.72000000000003</v>
      </c>
      <c r="S386" s="98">
        <v>123.72000000000003</v>
      </c>
      <c r="T386" s="98">
        <v>172.07999999999993</v>
      </c>
      <c r="U386" s="98">
        <v>87.720000000000027</v>
      </c>
      <c r="V386" s="98">
        <v>400.39999999999964</v>
      </c>
      <c r="W386" s="98">
        <v>516.79999999999927</v>
      </c>
      <c r="X386" s="98"/>
      <c r="Y386" s="98"/>
      <c r="Z386" s="98"/>
      <c r="AA386" s="230"/>
      <c r="AB386" s="230"/>
      <c r="AC386" s="230"/>
    </row>
    <row r="387" spans="2:29">
      <c r="B387" s="98">
        <v>417</v>
      </c>
      <c r="C387" s="98">
        <v>100.3</v>
      </c>
      <c r="D387" s="98">
        <v>518.4</v>
      </c>
      <c r="E387" s="98">
        <v>164.6</v>
      </c>
      <c r="F387" s="98">
        <v>167.6</v>
      </c>
      <c r="G387" s="98">
        <v>133.6</v>
      </c>
      <c r="H387" s="98">
        <v>100.4</v>
      </c>
      <c r="I387" s="98">
        <v>121.7</v>
      </c>
      <c r="J387" s="98">
        <v>163.6</v>
      </c>
      <c r="K387" s="208">
        <v>96.979999999999961</v>
      </c>
      <c r="L387" s="208">
        <v>106.3000000000001</v>
      </c>
      <c r="M387" s="208">
        <v>131.95999999999992</v>
      </c>
      <c r="N387" s="98"/>
      <c r="O387" s="98"/>
      <c r="P387" s="98"/>
      <c r="Q387" s="208">
        <v>87.640000000000029</v>
      </c>
      <c r="R387" s="98">
        <v>110.64000000000003</v>
      </c>
      <c r="S387" s="98">
        <v>123.64000000000003</v>
      </c>
      <c r="T387" s="98">
        <v>171.95999999999992</v>
      </c>
      <c r="U387" s="98">
        <v>87.640000000000029</v>
      </c>
      <c r="V387" s="98">
        <v>399.79999999999961</v>
      </c>
      <c r="W387" s="98">
        <v>516.59999999999923</v>
      </c>
      <c r="X387" s="98"/>
      <c r="Y387" s="98"/>
      <c r="Z387" s="98"/>
      <c r="AA387" s="230"/>
      <c r="AB387" s="230"/>
      <c r="AC387" s="230"/>
    </row>
    <row r="388" spans="2:29">
      <c r="B388" s="98">
        <v>418</v>
      </c>
      <c r="C388" s="98">
        <v>100.3</v>
      </c>
      <c r="D388" s="98">
        <v>517.4</v>
      </c>
      <c r="E388" s="98">
        <v>164.4</v>
      </c>
      <c r="F388" s="98">
        <v>167.4</v>
      </c>
      <c r="G388" s="98">
        <v>133.6</v>
      </c>
      <c r="H388" s="98">
        <v>100.3</v>
      </c>
      <c r="I388" s="98">
        <v>121.6</v>
      </c>
      <c r="J388" s="98">
        <v>163.4</v>
      </c>
      <c r="K388" s="209">
        <v>96.919999999999959</v>
      </c>
      <c r="L388" s="209">
        <v>106.2000000000001</v>
      </c>
      <c r="M388" s="209">
        <v>131.83999999999992</v>
      </c>
      <c r="N388" s="98"/>
      <c r="O388" s="98"/>
      <c r="P388" s="98"/>
      <c r="Q388" s="208">
        <v>87.560000000000031</v>
      </c>
      <c r="R388" s="98">
        <v>110.56000000000003</v>
      </c>
      <c r="S388" s="98">
        <v>123.56000000000003</v>
      </c>
      <c r="T388" s="98">
        <v>171.83999999999992</v>
      </c>
      <c r="U388" s="98">
        <v>87.560000000000031</v>
      </c>
      <c r="V388" s="98">
        <v>399.19999999999959</v>
      </c>
      <c r="W388" s="98">
        <v>516.39999999999918</v>
      </c>
      <c r="X388" s="98"/>
      <c r="Y388" s="98"/>
      <c r="Z388" s="98"/>
      <c r="AA388" s="230"/>
      <c r="AB388" s="230"/>
      <c r="AC388" s="230"/>
    </row>
    <row r="389" spans="2:29">
      <c r="B389" s="98">
        <v>419</v>
      </c>
      <c r="C389" s="98">
        <v>100.2</v>
      </c>
      <c r="D389" s="98">
        <v>516.5</v>
      </c>
      <c r="E389" s="98">
        <v>164.2</v>
      </c>
      <c r="F389" s="98">
        <v>167.2</v>
      </c>
      <c r="G389" s="98">
        <v>133.5</v>
      </c>
      <c r="H389" s="98">
        <v>100.3</v>
      </c>
      <c r="I389" s="98">
        <v>121.6</v>
      </c>
      <c r="J389" s="98">
        <v>163.19999999999999</v>
      </c>
      <c r="K389" s="208">
        <v>96.859999999999957</v>
      </c>
      <c r="L389" s="208">
        <v>106.10000000000011</v>
      </c>
      <c r="M389" s="208">
        <v>131.71999999999991</v>
      </c>
      <c r="N389" s="98"/>
      <c r="O389" s="98"/>
      <c r="P389" s="98"/>
      <c r="Q389" s="208">
        <v>87.480000000000032</v>
      </c>
      <c r="R389" s="98">
        <v>110.48000000000003</v>
      </c>
      <c r="S389" s="98">
        <v>123.48000000000003</v>
      </c>
      <c r="T389" s="98">
        <v>171.71999999999991</v>
      </c>
      <c r="U389" s="98">
        <v>87.480000000000032</v>
      </c>
      <c r="V389" s="98">
        <v>398.59999999999957</v>
      </c>
      <c r="W389" s="98">
        <v>516.19999999999914</v>
      </c>
      <c r="X389" s="98"/>
      <c r="Y389" s="98"/>
      <c r="Z389" s="98"/>
      <c r="AA389" s="230"/>
      <c r="AB389" s="230"/>
      <c r="AC389" s="230"/>
    </row>
    <row r="390" spans="2:29">
      <c r="B390" s="98">
        <v>420</v>
      </c>
      <c r="C390" s="98">
        <v>100.2</v>
      </c>
      <c r="D390" s="98">
        <v>515.6</v>
      </c>
      <c r="E390" s="98">
        <v>164</v>
      </c>
      <c r="F390" s="98">
        <v>167</v>
      </c>
      <c r="G390" s="98">
        <v>133.4</v>
      </c>
      <c r="H390" s="98">
        <v>100.2</v>
      </c>
      <c r="I390" s="98">
        <v>121.5</v>
      </c>
      <c r="J390" s="98">
        <v>163</v>
      </c>
      <c r="K390" s="209">
        <v>96.799999999999955</v>
      </c>
      <c r="L390" s="209">
        <v>106.00000000000011</v>
      </c>
      <c r="M390" s="209">
        <v>131.59999999999991</v>
      </c>
      <c r="N390" s="98"/>
      <c r="O390" s="98"/>
      <c r="P390" s="98"/>
      <c r="Q390" s="208">
        <v>87.400000000000034</v>
      </c>
      <c r="R390" s="98">
        <v>110.40000000000003</v>
      </c>
      <c r="S390" s="98">
        <v>123.40000000000003</v>
      </c>
      <c r="T390" s="98">
        <v>171.59999999999991</v>
      </c>
      <c r="U390" s="98">
        <v>87.400000000000034</v>
      </c>
      <c r="V390" s="98">
        <v>397.99999999999955</v>
      </c>
      <c r="W390" s="98">
        <v>515.99999999999909</v>
      </c>
      <c r="X390" s="98"/>
      <c r="Y390" s="98"/>
      <c r="Z390" s="98"/>
      <c r="AA390" s="230"/>
      <c r="AB390" s="230"/>
      <c r="AC390" s="230"/>
    </row>
    <row r="391" spans="2:29">
      <c r="B391" s="98">
        <v>421</v>
      </c>
      <c r="C391" s="98">
        <v>100.2</v>
      </c>
      <c r="D391" s="98">
        <v>514.70000000000005</v>
      </c>
      <c r="E391" s="98">
        <v>163.80000000000001</v>
      </c>
      <c r="F391" s="98">
        <v>166.8</v>
      </c>
      <c r="G391" s="98">
        <v>133.30000000000001</v>
      </c>
      <c r="H391" s="98">
        <v>100.2</v>
      </c>
      <c r="I391" s="98">
        <v>121.4</v>
      </c>
      <c r="J391" s="98">
        <v>162.80000000000001</v>
      </c>
      <c r="K391" s="208">
        <v>96.739999999999952</v>
      </c>
      <c r="L391" s="208">
        <v>105.90000000000012</v>
      </c>
      <c r="M391" s="208">
        <v>131.4799999999999</v>
      </c>
      <c r="N391" s="98"/>
      <c r="O391" s="98"/>
      <c r="P391" s="98"/>
      <c r="Q391" s="208">
        <v>87.320000000000036</v>
      </c>
      <c r="R391" s="98">
        <v>110.32000000000004</v>
      </c>
      <c r="S391" s="98">
        <v>123.32000000000004</v>
      </c>
      <c r="T391" s="98">
        <v>171.4799999999999</v>
      </c>
      <c r="U391" s="98">
        <v>87.320000000000036</v>
      </c>
      <c r="V391" s="98">
        <v>397.39999999999952</v>
      </c>
      <c r="W391" s="98">
        <v>515.79999999999905</v>
      </c>
      <c r="X391" s="98"/>
      <c r="Y391" s="98"/>
      <c r="Z391" s="98"/>
      <c r="AA391" s="230"/>
      <c r="AB391" s="230"/>
      <c r="AC391" s="230"/>
    </row>
    <row r="392" spans="2:29">
      <c r="B392" s="98">
        <v>422</v>
      </c>
      <c r="C392" s="98">
        <v>100.1</v>
      </c>
      <c r="D392" s="98">
        <v>513.79999999999995</v>
      </c>
      <c r="E392" s="98">
        <v>163.6</v>
      </c>
      <c r="F392" s="98">
        <v>166.6</v>
      </c>
      <c r="G392" s="98">
        <v>133.19999999999999</v>
      </c>
      <c r="H392" s="98">
        <v>100.2</v>
      </c>
      <c r="I392" s="98">
        <v>121.4</v>
      </c>
      <c r="J392" s="98">
        <v>162.6</v>
      </c>
      <c r="K392" s="209">
        <v>96.67999999999995</v>
      </c>
      <c r="L392" s="209">
        <v>105.80000000000013</v>
      </c>
      <c r="M392" s="209">
        <v>131.3599999999999</v>
      </c>
      <c r="N392" s="98"/>
      <c r="O392" s="98"/>
      <c r="P392" s="98"/>
      <c r="Q392" s="208">
        <v>87.240000000000038</v>
      </c>
      <c r="R392" s="98">
        <v>110.24000000000004</v>
      </c>
      <c r="S392" s="98">
        <v>123.24000000000004</v>
      </c>
      <c r="T392" s="98">
        <v>171.3599999999999</v>
      </c>
      <c r="U392" s="98">
        <v>87.240000000000038</v>
      </c>
      <c r="V392" s="98">
        <v>396.7999999999995</v>
      </c>
      <c r="W392" s="98">
        <v>515.599999999999</v>
      </c>
      <c r="X392" s="98"/>
      <c r="Y392" s="98"/>
      <c r="Z392" s="98"/>
      <c r="AA392" s="230"/>
      <c r="AB392" s="230"/>
      <c r="AC392" s="230"/>
    </row>
    <row r="393" spans="2:29">
      <c r="B393" s="98">
        <v>423</v>
      </c>
      <c r="C393" s="98">
        <v>100.1</v>
      </c>
      <c r="D393" s="98">
        <v>512.79999999999995</v>
      </c>
      <c r="E393" s="98">
        <v>163.4</v>
      </c>
      <c r="F393" s="98">
        <v>166.4</v>
      </c>
      <c r="G393" s="98">
        <v>133.19999999999999</v>
      </c>
      <c r="H393" s="98">
        <v>100.1</v>
      </c>
      <c r="I393" s="98">
        <v>121.3</v>
      </c>
      <c r="J393" s="98">
        <v>162.4</v>
      </c>
      <c r="K393" s="208">
        <v>96.619999999999948</v>
      </c>
      <c r="L393" s="208">
        <v>105.70000000000013</v>
      </c>
      <c r="M393" s="208">
        <v>131.2399999999999</v>
      </c>
      <c r="N393" s="98"/>
      <c r="O393" s="98"/>
      <c r="P393" s="98"/>
      <c r="Q393" s="208">
        <v>87.160000000000039</v>
      </c>
      <c r="R393" s="98">
        <v>110.16000000000004</v>
      </c>
      <c r="S393" s="98">
        <v>123.16000000000004</v>
      </c>
      <c r="T393" s="98">
        <v>171.2399999999999</v>
      </c>
      <c r="U393" s="98">
        <v>87.160000000000039</v>
      </c>
      <c r="V393" s="98">
        <v>396.19999999999948</v>
      </c>
      <c r="W393" s="98">
        <v>515.39999999999895</v>
      </c>
      <c r="X393" s="98"/>
      <c r="Y393" s="98"/>
      <c r="Z393" s="98"/>
      <c r="AA393" s="230"/>
      <c r="AB393" s="230"/>
      <c r="AC393" s="230"/>
    </row>
    <row r="394" spans="2:29">
      <c r="B394" s="98">
        <v>424</v>
      </c>
      <c r="C394" s="98">
        <v>100</v>
      </c>
      <c r="D394" s="98">
        <v>511.9</v>
      </c>
      <c r="E394" s="98">
        <v>163.19999999999999</v>
      </c>
      <c r="F394" s="98">
        <v>166.2</v>
      </c>
      <c r="G394" s="98">
        <v>133.1</v>
      </c>
      <c r="H394" s="98">
        <v>100.1</v>
      </c>
      <c r="I394" s="98">
        <v>121.2</v>
      </c>
      <c r="J394" s="98">
        <v>162.19999999999999</v>
      </c>
      <c r="K394" s="209">
        <v>96.559999999999945</v>
      </c>
      <c r="L394" s="209">
        <v>105.60000000000014</v>
      </c>
      <c r="M394" s="209">
        <v>131.11999999999989</v>
      </c>
      <c r="N394" s="98"/>
      <c r="O394" s="98"/>
      <c r="P394" s="98"/>
      <c r="Q394" s="208">
        <v>87.080000000000041</v>
      </c>
      <c r="R394" s="98">
        <v>110.08000000000004</v>
      </c>
      <c r="S394" s="98">
        <v>123.08000000000004</v>
      </c>
      <c r="T394" s="98">
        <v>171.11999999999989</v>
      </c>
      <c r="U394" s="98">
        <v>87.080000000000041</v>
      </c>
      <c r="V394" s="98">
        <v>395.59999999999945</v>
      </c>
      <c r="W394" s="98">
        <v>515.19999999999891</v>
      </c>
      <c r="X394" s="98"/>
      <c r="Y394" s="98"/>
      <c r="Z394" s="98"/>
      <c r="AA394" s="230"/>
      <c r="AB394" s="230"/>
      <c r="AC394" s="230"/>
    </row>
    <row r="395" spans="2:29">
      <c r="B395" s="98">
        <v>425</v>
      </c>
      <c r="C395" s="98">
        <v>100</v>
      </c>
      <c r="D395" s="98">
        <v>511</v>
      </c>
      <c r="E395" s="98">
        <v>163</v>
      </c>
      <c r="F395" s="98">
        <v>166</v>
      </c>
      <c r="G395" s="98">
        <v>133</v>
      </c>
      <c r="H395" s="98">
        <v>100.1</v>
      </c>
      <c r="I395" s="98">
        <v>121.1</v>
      </c>
      <c r="J395" s="98">
        <v>162</v>
      </c>
      <c r="K395" s="208">
        <v>96.499999999999943</v>
      </c>
      <c r="L395" s="208">
        <v>105.50000000000014</v>
      </c>
      <c r="M395" s="208">
        <v>130.99999999999989</v>
      </c>
      <c r="N395" s="98"/>
      <c r="O395" s="98"/>
      <c r="P395" s="98"/>
      <c r="Q395" s="208">
        <v>87.000000000000043</v>
      </c>
      <c r="R395" s="98">
        <v>110.00000000000004</v>
      </c>
      <c r="S395" s="98">
        <v>123.00000000000004</v>
      </c>
      <c r="T395" s="98">
        <v>170.99999999999989</v>
      </c>
      <c r="U395" s="98">
        <v>87.000000000000043</v>
      </c>
      <c r="V395" s="98">
        <v>394.99999999999943</v>
      </c>
      <c r="W395" s="98">
        <v>514.99999999999886</v>
      </c>
      <c r="X395" s="98"/>
      <c r="Y395" s="98"/>
      <c r="Z395" s="98"/>
      <c r="AA395" s="230"/>
      <c r="AB395" s="230"/>
      <c r="AC395" s="230"/>
    </row>
    <row r="396" spans="2:29">
      <c r="B396" s="98">
        <v>426</v>
      </c>
      <c r="C396" s="98">
        <v>100</v>
      </c>
      <c r="D396" s="98">
        <v>510</v>
      </c>
      <c r="E396" s="98">
        <v>162.80000000000001</v>
      </c>
      <c r="F396" s="98">
        <v>165.8</v>
      </c>
      <c r="G396" s="98">
        <v>132.9</v>
      </c>
      <c r="H396" s="98">
        <v>100</v>
      </c>
      <c r="I396" s="98">
        <v>121.1</v>
      </c>
      <c r="J396" s="98">
        <v>161.80000000000001</v>
      </c>
      <c r="K396" s="209">
        <v>96.439999999999941</v>
      </c>
      <c r="L396" s="209">
        <v>105.40000000000015</v>
      </c>
      <c r="M396" s="209">
        <v>130.87999999999988</v>
      </c>
      <c r="N396" s="98"/>
      <c r="O396" s="98"/>
      <c r="P396" s="98"/>
      <c r="Q396" s="208">
        <v>86.920000000000044</v>
      </c>
      <c r="R396" s="98">
        <v>109.92000000000004</v>
      </c>
      <c r="S396" s="98">
        <v>122.92000000000004</v>
      </c>
      <c r="T396" s="98">
        <v>170.87999999999988</v>
      </c>
      <c r="U396" s="98">
        <v>86.920000000000044</v>
      </c>
      <c r="V396" s="98">
        <v>394.39999999999941</v>
      </c>
      <c r="W396" s="98">
        <v>514.79999999999882</v>
      </c>
      <c r="X396" s="98"/>
      <c r="Y396" s="98"/>
      <c r="Z396" s="98"/>
      <c r="AA396" s="230"/>
      <c r="AB396" s="230"/>
      <c r="AC396" s="230"/>
    </row>
    <row r="397" spans="2:29">
      <c r="B397" s="98">
        <v>427</v>
      </c>
      <c r="C397" s="98">
        <v>99.9</v>
      </c>
      <c r="D397" s="98">
        <v>508.9</v>
      </c>
      <c r="E397" s="98">
        <v>162.6</v>
      </c>
      <c r="F397" s="98">
        <v>165.7</v>
      </c>
      <c r="G397" s="98">
        <v>132.80000000000001</v>
      </c>
      <c r="H397" s="98">
        <v>100</v>
      </c>
      <c r="I397" s="98">
        <v>121</v>
      </c>
      <c r="J397" s="98">
        <v>161.69999999999999</v>
      </c>
      <c r="K397" s="208">
        <v>96.379999999999939</v>
      </c>
      <c r="L397" s="208">
        <v>105.30000000000015</v>
      </c>
      <c r="M397" s="208">
        <v>130.75999999999988</v>
      </c>
      <c r="N397" s="98"/>
      <c r="O397" s="98"/>
      <c r="P397" s="98"/>
      <c r="Q397" s="208">
        <v>86.840000000000046</v>
      </c>
      <c r="R397" s="98">
        <v>109.84000000000005</v>
      </c>
      <c r="S397" s="98">
        <v>122.84000000000005</v>
      </c>
      <c r="T397" s="98">
        <v>170.75999999999988</v>
      </c>
      <c r="U397" s="98">
        <v>86.840000000000046</v>
      </c>
      <c r="V397" s="98">
        <v>393.79999999999939</v>
      </c>
      <c r="W397" s="98">
        <v>514.59999999999877</v>
      </c>
      <c r="X397" s="98"/>
      <c r="Y397" s="98"/>
      <c r="Z397" s="98"/>
      <c r="AA397" s="230"/>
      <c r="AB397" s="230"/>
      <c r="AC397" s="230"/>
    </row>
    <row r="398" spans="2:29">
      <c r="B398" s="98">
        <v>428</v>
      </c>
      <c r="C398" s="98">
        <v>99.9</v>
      </c>
      <c r="D398" s="98">
        <v>507.9</v>
      </c>
      <c r="E398" s="98">
        <v>162.4</v>
      </c>
      <c r="F398" s="98">
        <v>165.5</v>
      </c>
      <c r="G398" s="98">
        <v>132.80000000000001</v>
      </c>
      <c r="H398" s="98">
        <v>100</v>
      </c>
      <c r="I398" s="98">
        <v>120.9</v>
      </c>
      <c r="J398" s="98">
        <v>161.5</v>
      </c>
      <c r="K398" s="209">
        <v>96.319999999999936</v>
      </c>
      <c r="L398" s="209">
        <v>105.20000000000016</v>
      </c>
      <c r="M398" s="209">
        <v>130.63999999999987</v>
      </c>
      <c r="N398" s="98"/>
      <c r="O398" s="98"/>
      <c r="P398" s="98"/>
      <c r="Q398" s="208">
        <v>86.760000000000048</v>
      </c>
      <c r="R398" s="98">
        <v>109.76000000000005</v>
      </c>
      <c r="S398" s="98">
        <v>122.76000000000005</v>
      </c>
      <c r="T398" s="98">
        <v>170.63999999999987</v>
      </c>
      <c r="U398" s="98">
        <v>86.760000000000048</v>
      </c>
      <c r="V398" s="98">
        <v>393.19999999999936</v>
      </c>
      <c r="W398" s="98">
        <v>514.39999999999873</v>
      </c>
      <c r="X398" s="98"/>
      <c r="Y398" s="98"/>
      <c r="Z398" s="98"/>
      <c r="AA398" s="230"/>
      <c r="AB398" s="230"/>
      <c r="AC398" s="230"/>
    </row>
    <row r="399" spans="2:29">
      <c r="B399" s="98">
        <v>429</v>
      </c>
      <c r="C399" s="98">
        <v>99.8</v>
      </c>
      <c r="D399" s="98">
        <v>506.8</v>
      </c>
      <c r="E399" s="98">
        <v>162.19999999999999</v>
      </c>
      <c r="F399" s="98">
        <v>165.4</v>
      </c>
      <c r="G399" s="98">
        <v>132.69999999999999</v>
      </c>
      <c r="H399" s="98">
        <v>99.9</v>
      </c>
      <c r="I399" s="98">
        <v>120.9</v>
      </c>
      <c r="J399" s="98">
        <v>161.4</v>
      </c>
      <c r="K399" s="208">
        <v>96.259999999999934</v>
      </c>
      <c r="L399" s="208">
        <v>105.10000000000016</v>
      </c>
      <c r="M399" s="208">
        <v>130.51999999999987</v>
      </c>
      <c r="N399" s="98"/>
      <c r="O399" s="98"/>
      <c r="P399" s="98"/>
      <c r="Q399" s="208">
        <v>86.680000000000049</v>
      </c>
      <c r="R399" s="98">
        <v>109.68000000000005</v>
      </c>
      <c r="S399" s="98">
        <v>122.68000000000005</v>
      </c>
      <c r="T399" s="98">
        <v>170.51999999999987</v>
      </c>
      <c r="U399" s="98">
        <v>86.680000000000049</v>
      </c>
      <c r="V399" s="98">
        <v>392.59999999999934</v>
      </c>
      <c r="W399" s="98">
        <v>514.19999999999868</v>
      </c>
      <c r="X399" s="98"/>
      <c r="Y399" s="98"/>
      <c r="Z399" s="98"/>
      <c r="AA399" s="230"/>
      <c r="AB399" s="230"/>
      <c r="AC399" s="230"/>
    </row>
    <row r="400" spans="2:29">
      <c r="B400" s="98">
        <v>430</v>
      </c>
      <c r="C400" s="98">
        <v>99.8</v>
      </c>
      <c r="D400" s="98">
        <v>505.8</v>
      </c>
      <c r="E400" s="98">
        <v>162</v>
      </c>
      <c r="F400" s="98">
        <v>165.2</v>
      </c>
      <c r="G400" s="98">
        <v>132.6</v>
      </c>
      <c r="H400" s="98">
        <v>99.9</v>
      </c>
      <c r="I400" s="98">
        <v>120.8</v>
      </c>
      <c r="J400" s="98">
        <v>161.19999999999999</v>
      </c>
      <c r="K400" s="209">
        <v>96.199999999999932</v>
      </c>
      <c r="L400" s="209">
        <v>105.00000000000017</v>
      </c>
      <c r="M400" s="209">
        <v>130.39999999999986</v>
      </c>
      <c r="N400" s="98"/>
      <c r="O400" s="98"/>
      <c r="P400" s="98"/>
      <c r="Q400" s="208">
        <v>86.600000000000051</v>
      </c>
      <c r="R400" s="98">
        <v>109.60000000000005</v>
      </c>
      <c r="S400" s="98">
        <v>122.60000000000005</v>
      </c>
      <c r="T400" s="98">
        <v>170.39999999999986</v>
      </c>
      <c r="U400" s="98">
        <v>86.600000000000051</v>
      </c>
      <c r="V400" s="98">
        <v>391.99999999999932</v>
      </c>
      <c r="W400" s="98">
        <v>513.99999999999864</v>
      </c>
      <c r="X400" s="98"/>
      <c r="Y400" s="98"/>
      <c r="Z400" s="98"/>
      <c r="AA400" s="230"/>
      <c r="AB400" s="230"/>
      <c r="AC400" s="230"/>
    </row>
    <row r="401" spans="2:29">
      <c r="B401" s="98">
        <v>431</v>
      </c>
      <c r="C401" s="98">
        <v>99.7</v>
      </c>
      <c r="D401" s="98">
        <v>504.8</v>
      </c>
      <c r="E401" s="98">
        <v>161.80000000000001</v>
      </c>
      <c r="F401" s="98">
        <v>165</v>
      </c>
      <c r="G401" s="98">
        <v>132.5</v>
      </c>
      <c r="H401" s="98">
        <v>99.9</v>
      </c>
      <c r="I401" s="98">
        <v>120.7</v>
      </c>
      <c r="J401" s="98">
        <v>161</v>
      </c>
      <c r="K401" s="208">
        <v>96.13999999999993</v>
      </c>
      <c r="L401" s="208">
        <v>104.90000000000018</v>
      </c>
      <c r="M401" s="208">
        <v>130.27999999999986</v>
      </c>
      <c r="N401" s="98"/>
      <c r="O401" s="98"/>
      <c r="P401" s="98"/>
      <c r="Q401" s="208">
        <v>86.520000000000053</v>
      </c>
      <c r="R401" s="98">
        <v>109.52000000000005</v>
      </c>
      <c r="S401" s="98">
        <v>122.52000000000005</v>
      </c>
      <c r="T401" s="98">
        <v>170.27999999999986</v>
      </c>
      <c r="U401" s="98">
        <v>86.520000000000053</v>
      </c>
      <c r="V401" s="98">
        <v>391.3999999999993</v>
      </c>
      <c r="W401" s="98">
        <v>513.79999999999859</v>
      </c>
      <c r="X401" s="98"/>
      <c r="Y401" s="98"/>
      <c r="Z401" s="98"/>
      <c r="AA401" s="230"/>
      <c r="AB401" s="230"/>
      <c r="AC401" s="230"/>
    </row>
    <row r="402" spans="2:29">
      <c r="B402" s="98">
        <v>432</v>
      </c>
      <c r="C402" s="98">
        <v>99.7</v>
      </c>
      <c r="D402" s="98">
        <v>503.7</v>
      </c>
      <c r="E402" s="98">
        <v>161.6</v>
      </c>
      <c r="F402" s="98">
        <v>164.9</v>
      </c>
      <c r="G402" s="98">
        <v>132.4</v>
      </c>
      <c r="H402" s="98">
        <v>99.8</v>
      </c>
      <c r="I402" s="98">
        <v>120.6</v>
      </c>
      <c r="J402" s="98">
        <v>160.9</v>
      </c>
      <c r="K402" s="209">
        <v>96.079999999999927</v>
      </c>
      <c r="L402" s="209">
        <v>104.80000000000018</v>
      </c>
      <c r="M402" s="209">
        <v>130.15999999999985</v>
      </c>
      <c r="N402" s="98"/>
      <c r="O402" s="98"/>
      <c r="P402" s="98"/>
      <c r="Q402" s="208">
        <v>86.440000000000055</v>
      </c>
      <c r="R402" s="98">
        <v>109.44000000000005</v>
      </c>
      <c r="S402" s="98">
        <v>122.44000000000005</v>
      </c>
      <c r="T402" s="98">
        <v>170.15999999999985</v>
      </c>
      <c r="U402" s="98">
        <v>86.440000000000055</v>
      </c>
      <c r="V402" s="98">
        <v>390.79999999999927</v>
      </c>
      <c r="W402" s="98">
        <v>513.59999999999854</v>
      </c>
      <c r="X402" s="98"/>
      <c r="Y402" s="98"/>
      <c r="Z402" s="98"/>
      <c r="AA402" s="230"/>
      <c r="AB402" s="230"/>
      <c r="AC402" s="230"/>
    </row>
    <row r="403" spans="2:29">
      <c r="B403" s="98">
        <v>433</v>
      </c>
      <c r="C403" s="98">
        <v>99.6</v>
      </c>
      <c r="D403" s="98">
        <v>502.7</v>
      </c>
      <c r="E403" s="98">
        <v>161.4</v>
      </c>
      <c r="F403" s="98">
        <v>164.7</v>
      </c>
      <c r="G403" s="98">
        <v>132.4</v>
      </c>
      <c r="H403" s="98">
        <v>99.8</v>
      </c>
      <c r="I403" s="98">
        <v>120.6</v>
      </c>
      <c r="J403" s="98">
        <v>160.69999999999999</v>
      </c>
      <c r="K403" s="208">
        <v>96.019999999999925</v>
      </c>
      <c r="L403" s="208">
        <v>104.70000000000019</v>
      </c>
      <c r="M403" s="208">
        <v>130.03999999999985</v>
      </c>
      <c r="N403" s="98"/>
      <c r="O403" s="98"/>
      <c r="P403" s="98"/>
      <c r="Q403" s="208">
        <v>86.360000000000056</v>
      </c>
      <c r="R403" s="98">
        <v>109.36000000000006</v>
      </c>
      <c r="S403" s="98">
        <v>122.36000000000006</v>
      </c>
      <c r="T403" s="98">
        <v>170.03999999999985</v>
      </c>
      <c r="U403" s="98">
        <v>86.360000000000056</v>
      </c>
      <c r="V403" s="98">
        <v>390.19999999999925</v>
      </c>
      <c r="W403" s="98">
        <v>513.3999999999985</v>
      </c>
      <c r="X403" s="98"/>
      <c r="Y403" s="98"/>
      <c r="Z403" s="98"/>
      <c r="AA403" s="230"/>
      <c r="AB403" s="230"/>
      <c r="AC403" s="230"/>
    </row>
    <row r="404" spans="2:29">
      <c r="B404" s="98">
        <v>434</v>
      </c>
      <c r="C404" s="98">
        <v>99.6</v>
      </c>
      <c r="D404" s="98">
        <v>501.6</v>
      </c>
      <c r="E404" s="98">
        <v>161.19999999999999</v>
      </c>
      <c r="F404" s="98">
        <v>164.6</v>
      </c>
      <c r="G404" s="98">
        <v>132.30000000000001</v>
      </c>
      <c r="H404" s="98">
        <v>99.7</v>
      </c>
      <c r="I404" s="98">
        <v>120.5</v>
      </c>
      <c r="J404" s="98">
        <v>160.6</v>
      </c>
      <c r="K404" s="209">
        <v>95.959999999999923</v>
      </c>
      <c r="L404" s="209">
        <v>104.60000000000019</v>
      </c>
      <c r="M404" s="209">
        <v>129.91999999999985</v>
      </c>
      <c r="N404" s="98"/>
      <c r="O404" s="98"/>
      <c r="P404" s="98"/>
      <c r="Q404" s="208">
        <v>86.280000000000058</v>
      </c>
      <c r="R404" s="98">
        <v>109.28000000000006</v>
      </c>
      <c r="S404" s="98">
        <v>122.28000000000006</v>
      </c>
      <c r="T404" s="98">
        <v>169.91999999999985</v>
      </c>
      <c r="U404" s="98">
        <v>86.280000000000058</v>
      </c>
      <c r="V404" s="98">
        <v>389.59999999999923</v>
      </c>
      <c r="W404" s="98">
        <v>513.19999999999845</v>
      </c>
      <c r="X404" s="98"/>
      <c r="Y404" s="98"/>
      <c r="Z404" s="98"/>
      <c r="AA404" s="230"/>
      <c r="AB404" s="230"/>
      <c r="AC404" s="230"/>
    </row>
    <row r="405" spans="2:29">
      <c r="B405" s="98">
        <v>435</v>
      </c>
      <c r="C405" s="98">
        <v>99.6</v>
      </c>
      <c r="D405" s="98">
        <v>500.6</v>
      </c>
      <c r="E405" s="98">
        <v>161</v>
      </c>
      <c r="F405" s="98">
        <v>164.4</v>
      </c>
      <c r="G405" s="98">
        <v>132.19999999999999</v>
      </c>
      <c r="H405" s="98">
        <v>99.7</v>
      </c>
      <c r="I405" s="98">
        <v>120.4</v>
      </c>
      <c r="J405" s="98">
        <v>160.4</v>
      </c>
      <c r="K405" s="208">
        <v>95.89999999999992</v>
      </c>
      <c r="L405" s="208">
        <v>104.5000000000002</v>
      </c>
      <c r="M405" s="208">
        <v>129.79999999999984</v>
      </c>
      <c r="N405" s="98"/>
      <c r="O405" s="98"/>
      <c r="P405" s="98"/>
      <c r="Q405" s="208">
        <v>86.20000000000006</v>
      </c>
      <c r="R405" s="98">
        <v>109.20000000000006</v>
      </c>
      <c r="S405" s="98">
        <v>122.20000000000006</v>
      </c>
      <c r="T405" s="98">
        <v>169.79999999999984</v>
      </c>
      <c r="U405" s="98">
        <v>86.20000000000006</v>
      </c>
      <c r="V405" s="98">
        <v>388.9999999999992</v>
      </c>
      <c r="W405" s="98">
        <v>512.99999999999841</v>
      </c>
      <c r="X405" s="98"/>
      <c r="Y405" s="98"/>
      <c r="Z405" s="98"/>
      <c r="AA405" s="230"/>
      <c r="AB405" s="230"/>
      <c r="AC405" s="230"/>
    </row>
    <row r="406" spans="2:29">
      <c r="B406" s="98">
        <v>436</v>
      </c>
      <c r="C406" s="98">
        <v>99.5</v>
      </c>
      <c r="D406" s="98">
        <v>499.6</v>
      </c>
      <c r="E406" s="98">
        <v>160.80000000000001</v>
      </c>
      <c r="F406" s="98">
        <v>164.2</v>
      </c>
      <c r="G406" s="98">
        <v>132.1</v>
      </c>
      <c r="H406" s="98">
        <v>99.7</v>
      </c>
      <c r="I406" s="98">
        <v>120.4</v>
      </c>
      <c r="J406" s="98">
        <v>160.19999999999999</v>
      </c>
      <c r="K406" s="209">
        <v>95.839999999999918</v>
      </c>
      <c r="L406" s="209">
        <v>104.4000000000002</v>
      </c>
      <c r="M406" s="209">
        <v>129.67999999999984</v>
      </c>
      <c r="N406" s="98"/>
      <c r="O406" s="98"/>
      <c r="P406" s="98"/>
      <c r="Q406" s="208">
        <v>86.120000000000061</v>
      </c>
      <c r="R406" s="98">
        <v>109.12000000000006</v>
      </c>
      <c r="S406" s="98">
        <v>122.12000000000006</v>
      </c>
      <c r="T406" s="98">
        <v>169.67999999999984</v>
      </c>
      <c r="U406" s="98">
        <v>86.120000000000061</v>
      </c>
      <c r="V406" s="98">
        <v>388.39999999999918</v>
      </c>
      <c r="W406" s="98">
        <v>512.79999999999836</v>
      </c>
      <c r="X406" s="98"/>
      <c r="Y406" s="98"/>
      <c r="Z406" s="98"/>
      <c r="AA406" s="230"/>
      <c r="AB406" s="230"/>
      <c r="AC406" s="230"/>
    </row>
    <row r="407" spans="2:29">
      <c r="B407" s="98">
        <v>437</v>
      </c>
      <c r="C407" s="98">
        <v>99.5</v>
      </c>
      <c r="D407" s="98">
        <v>498.5</v>
      </c>
      <c r="E407" s="98">
        <v>160.6</v>
      </c>
      <c r="F407" s="98">
        <v>164.1</v>
      </c>
      <c r="G407" s="98">
        <v>132</v>
      </c>
      <c r="H407" s="98">
        <v>99.6</v>
      </c>
      <c r="I407" s="98">
        <v>120.3</v>
      </c>
      <c r="J407" s="98">
        <v>160.1</v>
      </c>
      <c r="K407" s="208">
        <v>95.779999999999916</v>
      </c>
      <c r="L407" s="208">
        <v>104.30000000000021</v>
      </c>
      <c r="M407" s="208">
        <v>129.55999999999983</v>
      </c>
      <c r="N407" s="98"/>
      <c r="O407" s="98"/>
      <c r="P407" s="98"/>
      <c r="Q407" s="208">
        <v>86.040000000000063</v>
      </c>
      <c r="R407" s="98">
        <v>109.04000000000006</v>
      </c>
      <c r="S407" s="98">
        <v>122.04000000000006</v>
      </c>
      <c r="T407" s="98">
        <v>169.55999999999983</v>
      </c>
      <c r="U407" s="98">
        <v>86.040000000000063</v>
      </c>
      <c r="V407" s="98">
        <v>387.79999999999916</v>
      </c>
      <c r="W407" s="98">
        <v>512.59999999999832</v>
      </c>
      <c r="X407" s="98"/>
      <c r="Y407" s="98"/>
      <c r="Z407" s="98"/>
      <c r="AA407" s="230"/>
      <c r="AB407" s="230"/>
      <c r="AC407" s="230"/>
    </row>
    <row r="408" spans="2:29">
      <c r="B408" s="98">
        <v>438</v>
      </c>
      <c r="C408" s="98">
        <v>99.4</v>
      </c>
      <c r="D408" s="98">
        <v>497.5</v>
      </c>
      <c r="E408" s="98">
        <v>160.4</v>
      </c>
      <c r="F408" s="98">
        <v>163.9</v>
      </c>
      <c r="G408" s="98">
        <v>132</v>
      </c>
      <c r="H408" s="98">
        <v>99.6</v>
      </c>
      <c r="I408" s="98">
        <v>120.2</v>
      </c>
      <c r="J408" s="98">
        <v>159.9</v>
      </c>
      <c r="K408" s="209">
        <v>95.719999999999914</v>
      </c>
      <c r="L408" s="209">
        <v>104.20000000000022</v>
      </c>
      <c r="M408" s="209">
        <v>129.43999999999983</v>
      </c>
      <c r="N408" s="98"/>
      <c r="O408" s="98"/>
      <c r="P408" s="98"/>
      <c r="Q408" s="208">
        <v>85.960000000000065</v>
      </c>
      <c r="R408" s="98">
        <v>108.96000000000006</v>
      </c>
      <c r="S408" s="98">
        <v>121.96000000000006</v>
      </c>
      <c r="T408" s="98">
        <v>169.43999999999983</v>
      </c>
      <c r="U408" s="98">
        <v>85.960000000000065</v>
      </c>
      <c r="V408" s="98">
        <v>387.19999999999914</v>
      </c>
      <c r="W408" s="98">
        <v>512.39999999999827</v>
      </c>
      <c r="X408" s="98"/>
      <c r="Y408" s="98"/>
      <c r="Z408" s="98"/>
      <c r="AA408" s="230"/>
      <c r="AB408" s="230"/>
      <c r="AC408" s="230"/>
    </row>
    <row r="409" spans="2:29">
      <c r="B409" s="98">
        <v>439</v>
      </c>
      <c r="C409" s="98">
        <v>99.4</v>
      </c>
      <c r="D409" s="98">
        <v>496.4</v>
      </c>
      <c r="E409" s="98">
        <v>160.19999999999999</v>
      </c>
      <c r="F409" s="98">
        <v>163.80000000000001</v>
      </c>
      <c r="G409" s="98">
        <v>131.9</v>
      </c>
      <c r="H409" s="98">
        <v>99.6</v>
      </c>
      <c r="I409" s="98">
        <v>120.1</v>
      </c>
      <c r="J409" s="98">
        <v>159.80000000000001</v>
      </c>
      <c r="K409" s="208">
        <v>95.659999999999911</v>
      </c>
      <c r="L409" s="208">
        <v>104.10000000000022</v>
      </c>
      <c r="M409" s="208">
        <v>129.31999999999982</v>
      </c>
      <c r="N409" s="98"/>
      <c r="O409" s="98"/>
      <c r="P409" s="98"/>
      <c r="Q409" s="208">
        <v>85.880000000000067</v>
      </c>
      <c r="R409" s="98">
        <v>108.88000000000007</v>
      </c>
      <c r="S409" s="98">
        <v>121.88000000000007</v>
      </c>
      <c r="T409" s="98">
        <v>169.31999999999982</v>
      </c>
      <c r="U409" s="98">
        <v>85.880000000000067</v>
      </c>
      <c r="V409" s="98">
        <v>386.59999999999911</v>
      </c>
      <c r="W409" s="98">
        <v>512.19999999999823</v>
      </c>
      <c r="X409" s="98"/>
      <c r="Y409" s="98"/>
      <c r="Z409" s="98"/>
      <c r="AA409" s="230"/>
      <c r="AB409" s="230"/>
      <c r="AC409" s="230"/>
    </row>
    <row r="410" spans="2:29">
      <c r="B410" s="98">
        <v>440</v>
      </c>
      <c r="C410" s="98">
        <v>99.3</v>
      </c>
      <c r="D410" s="98">
        <v>495.4</v>
      </c>
      <c r="E410" s="98">
        <v>160</v>
      </c>
      <c r="F410" s="98">
        <v>163.6</v>
      </c>
      <c r="G410" s="98">
        <v>131.80000000000001</v>
      </c>
      <c r="H410" s="98">
        <v>99.5</v>
      </c>
      <c r="I410" s="98">
        <v>120.1</v>
      </c>
      <c r="J410" s="98">
        <v>159.6</v>
      </c>
      <c r="K410" s="209">
        <v>95.599999999999909</v>
      </c>
      <c r="L410" s="209">
        <v>104.00000000000023</v>
      </c>
      <c r="M410" s="209">
        <v>129.19999999999982</v>
      </c>
      <c r="N410" s="98"/>
      <c r="O410" s="98"/>
      <c r="P410" s="98"/>
      <c r="Q410" s="208">
        <v>85.800000000000068</v>
      </c>
      <c r="R410" s="98">
        <v>108.80000000000007</v>
      </c>
      <c r="S410" s="98">
        <v>121.80000000000007</v>
      </c>
      <c r="T410" s="98">
        <v>169.19999999999982</v>
      </c>
      <c r="U410" s="98">
        <v>85.800000000000068</v>
      </c>
      <c r="V410" s="98">
        <v>385.99999999999909</v>
      </c>
      <c r="W410" s="98">
        <v>511.99999999999824</v>
      </c>
      <c r="X410" s="98"/>
      <c r="Y410" s="98"/>
      <c r="Z410" s="98"/>
      <c r="AA410" s="230"/>
      <c r="AB410" s="230"/>
      <c r="AC410" s="230"/>
    </row>
    <row r="411" spans="2:29">
      <c r="B411" s="98">
        <v>441</v>
      </c>
      <c r="C411" s="98">
        <v>99.3</v>
      </c>
      <c r="D411" s="98">
        <v>494.4</v>
      </c>
      <c r="E411" s="98">
        <v>159.80000000000001</v>
      </c>
      <c r="F411" s="98">
        <v>163.4</v>
      </c>
      <c r="G411" s="98">
        <v>131.69999999999999</v>
      </c>
      <c r="H411" s="98">
        <v>99.5</v>
      </c>
      <c r="I411" s="98">
        <v>120</v>
      </c>
      <c r="J411" s="98">
        <v>159.4</v>
      </c>
      <c r="K411" s="208">
        <v>95.539999999999907</v>
      </c>
      <c r="L411" s="208">
        <v>103.90000000000023</v>
      </c>
      <c r="M411" s="208">
        <v>129.07999999999981</v>
      </c>
      <c r="N411" s="98"/>
      <c r="O411" s="98"/>
      <c r="P411" s="98"/>
      <c r="Q411" s="208">
        <v>85.72000000000007</v>
      </c>
      <c r="R411" s="98">
        <v>108.72000000000007</v>
      </c>
      <c r="S411" s="98">
        <v>121.72000000000007</v>
      </c>
      <c r="T411" s="98">
        <v>169.07999999999981</v>
      </c>
      <c r="U411" s="98">
        <v>85.72000000000007</v>
      </c>
      <c r="V411" s="98">
        <v>385.39999999999907</v>
      </c>
      <c r="W411" s="98">
        <v>511.79999999999825</v>
      </c>
      <c r="X411" s="98"/>
      <c r="Y411" s="98"/>
      <c r="Z411" s="98"/>
      <c r="AA411" s="230"/>
      <c r="AB411" s="230"/>
      <c r="AC411" s="230"/>
    </row>
    <row r="412" spans="2:29">
      <c r="B412" s="98">
        <v>442</v>
      </c>
      <c r="C412" s="98">
        <v>99.3</v>
      </c>
      <c r="D412" s="98">
        <v>493.3</v>
      </c>
      <c r="E412" s="98">
        <v>159.6</v>
      </c>
      <c r="F412" s="98">
        <v>163.30000000000001</v>
      </c>
      <c r="G412" s="98">
        <v>131.6</v>
      </c>
      <c r="H412" s="98">
        <v>99.4</v>
      </c>
      <c r="I412" s="98">
        <v>119.9</v>
      </c>
      <c r="J412" s="98">
        <v>159.30000000000001</v>
      </c>
      <c r="K412" s="209">
        <v>95.479999999999905</v>
      </c>
      <c r="L412" s="209">
        <v>103.80000000000024</v>
      </c>
      <c r="M412" s="209">
        <v>128.95999999999981</v>
      </c>
      <c r="N412" s="98"/>
      <c r="O412" s="98"/>
      <c r="P412" s="98"/>
      <c r="Q412" s="208">
        <v>85.640000000000072</v>
      </c>
      <c r="R412" s="98">
        <v>108.64000000000007</v>
      </c>
      <c r="S412" s="98">
        <v>121.64000000000007</v>
      </c>
      <c r="T412" s="98">
        <v>168.95999999999981</v>
      </c>
      <c r="U412" s="98">
        <v>85.640000000000072</v>
      </c>
      <c r="V412" s="98">
        <v>384.79999999999905</v>
      </c>
      <c r="W412" s="98">
        <v>511.59999999999826</v>
      </c>
      <c r="X412" s="98"/>
      <c r="Y412" s="98"/>
      <c r="Z412" s="98"/>
      <c r="AA412" s="230"/>
      <c r="AB412" s="230"/>
      <c r="AC412" s="230"/>
    </row>
    <row r="413" spans="2:29">
      <c r="B413" s="98">
        <v>443</v>
      </c>
      <c r="C413" s="98">
        <v>99.2</v>
      </c>
      <c r="D413" s="98">
        <v>492.3</v>
      </c>
      <c r="E413" s="98">
        <v>159.4</v>
      </c>
      <c r="F413" s="98">
        <v>163.1</v>
      </c>
      <c r="G413" s="98">
        <v>131.6</v>
      </c>
      <c r="H413" s="98">
        <v>99.4</v>
      </c>
      <c r="I413" s="98">
        <v>119.9</v>
      </c>
      <c r="J413" s="98">
        <v>159.1</v>
      </c>
      <c r="K413" s="208">
        <v>95.419999999999902</v>
      </c>
      <c r="L413" s="208">
        <v>103.70000000000024</v>
      </c>
      <c r="M413" s="208">
        <v>128.8399999999998</v>
      </c>
      <c r="N413" s="98"/>
      <c r="O413" s="98"/>
      <c r="P413" s="98"/>
      <c r="Q413" s="208">
        <v>85.560000000000073</v>
      </c>
      <c r="R413" s="98">
        <v>108.56000000000007</v>
      </c>
      <c r="S413" s="98">
        <v>121.56000000000007</v>
      </c>
      <c r="T413" s="98">
        <v>168.8399999999998</v>
      </c>
      <c r="U413" s="98">
        <v>85.560000000000073</v>
      </c>
      <c r="V413" s="98">
        <v>384.19999999999902</v>
      </c>
      <c r="W413" s="98">
        <v>511.39999999999827</v>
      </c>
      <c r="X413" s="98"/>
      <c r="Y413" s="98"/>
      <c r="Z413" s="98"/>
      <c r="AA413" s="230"/>
      <c r="AB413" s="230"/>
      <c r="AC413" s="230"/>
    </row>
    <row r="414" spans="2:29">
      <c r="B414" s="98">
        <v>444</v>
      </c>
      <c r="C414" s="98">
        <v>99.2</v>
      </c>
      <c r="D414" s="98">
        <v>491.2</v>
      </c>
      <c r="E414" s="98">
        <v>159.19999999999999</v>
      </c>
      <c r="F414" s="98">
        <v>163</v>
      </c>
      <c r="G414" s="98">
        <v>131.5</v>
      </c>
      <c r="H414" s="98">
        <v>99.4</v>
      </c>
      <c r="I414" s="98">
        <v>119.8</v>
      </c>
      <c r="J414" s="98">
        <v>159</v>
      </c>
      <c r="K414" s="209">
        <v>95.3599999999999</v>
      </c>
      <c r="L414" s="209">
        <v>103.60000000000025</v>
      </c>
      <c r="M414" s="209">
        <v>128.7199999999998</v>
      </c>
      <c r="N414" s="98"/>
      <c r="O414" s="98"/>
      <c r="P414" s="98"/>
      <c r="Q414" s="208">
        <v>85.480000000000075</v>
      </c>
      <c r="R414" s="98">
        <v>108.48000000000008</v>
      </c>
      <c r="S414" s="98">
        <v>121.48000000000008</v>
      </c>
      <c r="T414" s="98">
        <v>168.7199999999998</v>
      </c>
      <c r="U414" s="98">
        <v>85.480000000000075</v>
      </c>
      <c r="V414" s="98">
        <v>383.599999999999</v>
      </c>
      <c r="W414" s="98">
        <v>511.19999999999828</v>
      </c>
      <c r="X414" s="98"/>
      <c r="Y414" s="98"/>
      <c r="Z414" s="98"/>
      <c r="AA414" s="230"/>
      <c r="AB414" s="230"/>
      <c r="AC414" s="230"/>
    </row>
    <row r="415" spans="2:29">
      <c r="B415" s="98">
        <v>445</v>
      </c>
      <c r="C415" s="98">
        <v>99.1</v>
      </c>
      <c r="D415" s="98">
        <v>490.2</v>
      </c>
      <c r="E415" s="98">
        <v>159</v>
      </c>
      <c r="F415" s="98">
        <v>162.80000000000001</v>
      </c>
      <c r="G415" s="98">
        <v>131.4</v>
      </c>
      <c r="H415" s="98">
        <v>99.3</v>
      </c>
      <c r="I415" s="98">
        <v>119.7</v>
      </c>
      <c r="J415" s="98">
        <v>158.80000000000001</v>
      </c>
      <c r="K415" s="208">
        <v>95.299999999999898</v>
      </c>
      <c r="L415" s="208">
        <v>103.50000000000026</v>
      </c>
      <c r="M415" s="208">
        <v>128.5999999999998</v>
      </c>
      <c r="N415" s="98"/>
      <c r="O415" s="98"/>
      <c r="P415" s="98"/>
      <c r="Q415" s="208">
        <v>85.400000000000077</v>
      </c>
      <c r="R415" s="98">
        <v>108.40000000000008</v>
      </c>
      <c r="S415" s="98">
        <v>121.40000000000008</v>
      </c>
      <c r="T415" s="98">
        <v>168.5999999999998</v>
      </c>
      <c r="U415" s="98">
        <v>85.400000000000077</v>
      </c>
      <c r="V415" s="98">
        <v>382.99999999999898</v>
      </c>
      <c r="W415" s="98">
        <v>510.99999999999829</v>
      </c>
      <c r="X415" s="98"/>
      <c r="Y415" s="98"/>
      <c r="Z415" s="98"/>
      <c r="AA415" s="230"/>
      <c r="AB415" s="230"/>
      <c r="AC415" s="230"/>
    </row>
    <row r="416" spans="2:29">
      <c r="B416" s="98">
        <v>446</v>
      </c>
      <c r="C416" s="98">
        <v>99.1</v>
      </c>
      <c r="D416" s="98">
        <v>489.2</v>
      </c>
      <c r="E416" s="98">
        <v>158.80000000000001</v>
      </c>
      <c r="F416" s="98">
        <v>162.6</v>
      </c>
      <c r="G416" s="98">
        <v>131.30000000000001</v>
      </c>
      <c r="H416" s="98">
        <v>99.3</v>
      </c>
      <c r="I416" s="98">
        <v>119.6</v>
      </c>
      <c r="J416" s="98">
        <v>158.6</v>
      </c>
      <c r="K416" s="209">
        <v>95.239999999999895</v>
      </c>
      <c r="L416" s="209">
        <v>103.40000000000026</v>
      </c>
      <c r="M416" s="209">
        <v>128.47999999999979</v>
      </c>
      <c r="N416" s="98"/>
      <c r="O416" s="98"/>
      <c r="P416" s="98"/>
      <c r="Q416" s="208">
        <v>85.320000000000078</v>
      </c>
      <c r="R416" s="98">
        <v>108.32000000000008</v>
      </c>
      <c r="S416" s="98">
        <v>121.32000000000008</v>
      </c>
      <c r="T416" s="98">
        <v>168.47999999999979</v>
      </c>
      <c r="U416" s="98">
        <v>85.320000000000078</v>
      </c>
      <c r="V416" s="98">
        <v>382.39999999999895</v>
      </c>
      <c r="W416" s="98">
        <v>510.79999999999831</v>
      </c>
      <c r="X416" s="98"/>
      <c r="Y416" s="98"/>
      <c r="Z416" s="98"/>
      <c r="AA416" s="230"/>
      <c r="AB416" s="230"/>
      <c r="AC416" s="230"/>
    </row>
    <row r="417" spans="2:29">
      <c r="B417" s="98">
        <v>447</v>
      </c>
      <c r="C417" s="98">
        <v>99</v>
      </c>
      <c r="D417" s="98">
        <v>488.1</v>
      </c>
      <c r="E417" s="98">
        <v>158.6</v>
      </c>
      <c r="F417" s="98">
        <v>162.5</v>
      </c>
      <c r="G417" s="98">
        <v>131.19999999999999</v>
      </c>
      <c r="H417" s="98">
        <v>99.3</v>
      </c>
      <c r="I417" s="98">
        <v>119.6</v>
      </c>
      <c r="J417" s="98">
        <v>158.5</v>
      </c>
      <c r="K417" s="208">
        <v>95.179999999999893</v>
      </c>
      <c r="L417" s="208">
        <v>103.30000000000027</v>
      </c>
      <c r="M417" s="208">
        <v>128.35999999999979</v>
      </c>
      <c r="N417" s="98"/>
      <c r="O417" s="98"/>
      <c r="P417" s="98"/>
      <c r="Q417" s="208">
        <v>85.24000000000008</v>
      </c>
      <c r="R417" s="98">
        <v>108.24000000000008</v>
      </c>
      <c r="S417" s="98">
        <v>121.24000000000008</v>
      </c>
      <c r="T417" s="98">
        <v>168.35999999999979</v>
      </c>
      <c r="U417" s="98">
        <v>85.24000000000008</v>
      </c>
      <c r="V417" s="98">
        <v>381.79999999999893</v>
      </c>
      <c r="W417" s="98">
        <v>510.59999999999832</v>
      </c>
      <c r="X417" s="98"/>
      <c r="Y417" s="98"/>
      <c r="Z417" s="98"/>
      <c r="AA417" s="230"/>
      <c r="AB417" s="230"/>
      <c r="AC417" s="230"/>
    </row>
    <row r="418" spans="2:29">
      <c r="B418" s="98">
        <v>448</v>
      </c>
      <c r="C418" s="98">
        <v>99</v>
      </c>
      <c r="D418" s="98">
        <v>487.1</v>
      </c>
      <c r="E418" s="98">
        <v>158.4</v>
      </c>
      <c r="F418" s="98">
        <v>162.30000000000001</v>
      </c>
      <c r="G418" s="98">
        <v>131.19999999999999</v>
      </c>
      <c r="H418" s="98">
        <v>99.2</v>
      </c>
      <c r="I418" s="98">
        <v>119.5</v>
      </c>
      <c r="J418" s="98">
        <v>158.30000000000001</v>
      </c>
      <c r="K418" s="209">
        <v>95.119999999999891</v>
      </c>
      <c r="L418" s="209">
        <v>103.20000000000027</v>
      </c>
      <c r="M418" s="209">
        <v>128.23999999999978</v>
      </c>
      <c r="N418" s="98"/>
      <c r="O418" s="98"/>
      <c r="P418" s="98"/>
      <c r="Q418" s="208">
        <v>85.160000000000082</v>
      </c>
      <c r="R418" s="98">
        <v>108.16000000000008</v>
      </c>
      <c r="S418" s="98">
        <v>121.16000000000008</v>
      </c>
      <c r="T418" s="98">
        <v>168.23999999999978</v>
      </c>
      <c r="U418" s="98">
        <v>85.160000000000082</v>
      </c>
      <c r="V418" s="98">
        <v>381.19999999999891</v>
      </c>
      <c r="W418" s="98">
        <v>510.39999999999833</v>
      </c>
      <c r="X418" s="98"/>
      <c r="Y418" s="98"/>
      <c r="Z418" s="98"/>
      <c r="AA418" s="230"/>
      <c r="AB418" s="230"/>
      <c r="AC418" s="230"/>
    </row>
    <row r="419" spans="2:29">
      <c r="B419" s="98">
        <v>449</v>
      </c>
      <c r="C419" s="98">
        <v>98.9</v>
      </c>
      <c r="D419" s="98">
        <v>486</v>
      </c>
      <c r="E419" s="98">
        <v>158.19999999999999</v>
      </c>
      <c r="F419" s="98">
        <v>162.19999999999999</v>
      </c>
      <c r="G419" s="98">
        <v>131.1</v>
      </c>
      <c r="H419" s="98">
        <v>99.2</v>
      </c>
      <c r="I419" s="98">
        <v>119.4</v>
      </c>
      <c r="J419" s="98">
        <v>158.19999999999999</v>
      </c>
      <c r="K419" s="208">
        <v>95.059999999999889</v>
      </c>
      <c r="L419" s="208">
        <v>103.10000000000028</v>
      </c>
      <c r="M419" s="208">
        <v>128.11999999999978</v>
      </c>
      <c r="N419" s="98"/>
      <c r="O419" s="98"/>
      <c r="P419" s="98"/>
      <c r="Q419" s="208">
        <v>85.080000000000084</v>
      </c>
      <c r="R419" s="98">
        <v>108.08000000000008</v>
      </c>
      <c r="S419" s="98">
        <v>121.08000000000008</v>
      </c>
      <c r="T419" s="98">
        <v>168.11999999999978</v>
      </c>
      <c r="U419" s="98">
        <v>85.080000000000084</v>
      </c>
      <c r="V419" s="98">
        <v>380.59999999999889</v>
      </c>
      <c r="W419" s="98">
        <v>510.19999999999834</v>
      </c>
      <c r="X419" s="98"/>
      <c r="Y419" s="98"/>
      <c r="Z419" s="98"/>
      <c r="AA419" s="230"/>
      <c r="AB419" s="230"/>
      <c r="AC419" s="230"/>
    </row>
    <row r="420" spans="2:29">
      <c r="B420" s="98">
        <v>450</v>
      </c>
      <c r="C420" s="98">
        <v>98.9</v>
      </c>
      <c r="D420" s="98">
        <v>485</v>
      </c>
      <c r="E420" s="98">
        <v>158</v>
      </c>
      <c r="F420" s="98">
        <v>162</v>
      </c>
      <c r="G420" s="98">
        <v>131</v>
      </c>
      <c r="H420" s="98">
        <v>99.1</v>
      </c>
      <c r="I420" s="98">
        <v>119.4</v>
      </c>
      <c r="J420" s="98">
        <v>158</v>
      </c>
      <c r="K420" s="209">
        <v>95</v>
      </c>
      <c r="L420" s="209">
        <v>103</v>
      </c>
      <c r="M420" s="209">
        <v>128</v>
      </c>
      <c r="N420" s="98"/>
      <c r="O420" s="98"/>
      <c r="P420" s="98"/>
      <c r="Q420" s="209">
        <v>85</v>
      </c>
      <c r="R420" s="98">
        <v>108</v>
      </c>
      <c r="S420" s="98">
        <v>121</v>
      </c>
      <c r="T420" s="98">
        <v>168</v>
      </c>
      <c r="U420" s="98">
        <v>85</v>
      </c>
      <c r="V420" s="98">
        <v>380</v>
      </c>
      <c r="W420" s="98">
        <v>510</v>
      </c>
      <c r="X420" s="98"/>
      <c r="Y420" s="98"/>
      <c r="Z420" s="98"/>
      <c r="AA420" s="230"/>
      <c r="AB420" s="230">
        <v>420</v>
      </c>
      <c r="AC420" s="230"/>
    </row>
    <row r="421" spans="2:29">
      <c r="B421" s="98">
        <v>451</v>
      </c>
      <c r="C421" s="98">
        <v>98.8</v>
      </c>
      <c r="D421" s="98">
        <v>483.7</v>
      </c>
      <c r="E421" s="98">
        <v>157.80000000000001</v>
      </c>
      <c r="F421" s="98">
        <v>161.80000000000001</v>
      </c>
      <c r="G421" s="98">
        <v>131</v>
      </c>
      <c r="H421" s="98">
        <v>99.1</v>
      </c>
      <c r="I421" s="98">
        <v>119.3</v>
      </c>
      <c r="J421" s="98">
        <v>157.80000000000001</v>
      </c>
      <c r="K421" s="208">
        <v>94.94</v>
      </c>
      <c r="L421" s="208">
        <v>102.94</v>
      </c>
      <c r="M421" s="208">
        <v>127.88</v>
      </c>
      <c r="N421" s="98"/>
      <c r="O421" s="98"/>
      <c r="P421" s="98"/>
      <c r="Q421" s="208">
        <v>84.92</v>
      </c>
      <c r="R421" s="98">
        <v>107.94</v>
      </c>
      <c r="S421" s="98">
        <v>120.96</v>
      </c>
      <c r="T421" s="98">
        <v>167.96</v>
      </c>
      <c r="U421" s="98">
        <v>84.92</v>
      </c>
      <c r="V421" s="98">
        <v>379.4</v>
      </c>
      <c r="W421" s="98">
        <v>509.6</v>
      </c>
      <c r="X421" s="98"/>
      <c r="Y421" s="98"/>
      <c r="Z421" s="98"/>
      <c r="AA421" s="230"/>
      <c r="AB421" s="230"/>
      <c r="AC421" s="230"/>
    </row>
    <row r="422" spans="2:29">
      <c r="B422" s="98">
        <v>452</v>
      </c>
      <c r="C422" s="98">
        <v>98.8</v>
      </c>
      <c r="D422" s="98">
        <v>482.4</v>
      </c>
      <c r="E422" s="98">
        <v>157.6</v>
      </c>
      <c r="F422" s="98">
        <v>161.69999999999999</v>
      </c>
      <c r="G422" s="98">
        <v>130.9</v>
      </c>
      <c r="H422" s="98">
        <v>99.1</v>
      </c>
      <c r="I422" s="98">
        <v>119.2</v>
      </c>
      <c r="J422" s="98">
        <v>157.69999999999999</v>
      </c>
      <c r="K422" s="209">
        <v>94.88</v>
      </c>
      <c r="L422" s="209">
        <v>102.88</v>
      </c>
      <c r="M422" s="209">
        <v>127.75999999999999</v>
      </c>
      <c r="N422" s="98"/>
      <c r="O422" s="98"/>
      <c r="P422" s="98"/>
      <c r="Q422" s="208">
        <v>84.84</v>
      </c>
      <c r="R422" s="98">
        <v>107.88</v>
      </c>
      <c r="S422" s="98">
        <v>120.91999999999999</v>
      </c>
      <c r="T422" s="98">
        <v>167.92000000000002</v>
      </c>
      <c r="U422" s="98">
        <v>84.84</v>
      </c>
      <c r="V422" s="98">
        <v>378.79999999999995</v>
      </c>
      <c r="W422" s="98">
        <v>509.20000000000005</v>
      </c>
      <c r="X422" s="98"/>
      <c r="Y422" s="98"/>
      <c r="Z422" s="98"/>
      <c r="AA422" s="230"/>
      <c r="AB422" s="230"/>
      <c r="AC422" s="230"/>
    </row>
    <row r="423" spans="2:29">
      <c r="B423" s="98">
        <v>453</v>
      </c>
      <c r="C423" s="98">
        <v>98.7</v>
      </c>
      <c r="D423" s="98">
        <v>481</v>
      </c>
      <c r="E423" s="98">
        <v>157.4</v>
      </c>
      <c r="F423" s="98">
        <v>161.5</v>
      </c>
      <c r="G423" s="98">
        <v>130.9</v>
      </c>
      <c r="H423" s="98">
        <v>99</v>
      </c>
      <c r="I423" s="98">
        <v>119.1</v>
      </c>
      <c r="J423" s="98">
        <v>157.5</v>
      </c>
      <c r="K423" s="208">
        <v>94.82</v>
      </c>
      <c r="L423" s="208">
        <v>102.82</v>
      </c>
      <c r="M423" s="208">
        <v>127.63999999999999</v>
      </c>
      <c r="N423" s="98"/>
      <c r="O423" s="98"/>
      <c r="P423" s="98"/>
      <c r="Q423" s="208">
        <v>84.76</v>
      </c>
      <c r="R423" s="98">
        <v>107.82</v>
      </c>
      <c r="S423" s="98">
        <v>120.87999999999998</v>
      </c>
      <c r="T423" s="98">
        <v>167.88000000000002</v>
      </c>
      <c r="U423" s="98">
        <v>84.76</v>
      </c>
      <c r="V423" s="98">
        <v>378.19999999999993</v>
      </c>
      <c r="W423" s="98">
        <v>508.80000000000007</v>
      </c>
      <c r="X423" s="98"/>
      <c r="Y423" s="98"/>
      <c r="Z423" s="98"/>
      <c r="AA423" s="230"/>
      <c r="AB423" s="230"/>
      <c r="AC423" s="230"/>
    </row>
    <row r="424" spans="2:29">
      <c r="B424" s="98">
        <v>454</v>
      </c>
      <c r="C424" s="98">
        <v>98.6</v>
      </c>
      <c r="D424" s="98">
        <v>479.7</v>
      </c>
      <c r="E424" s="98">
        <v>157.19999999999999</v>
      </c>
      <c r="F424" s="98">
        <v>161.4</v>
      </c>
      <c r="G424" s="98">
        <v>130.80000000000001</v>
      </c>
      <c r="H424" s="98">
        <v>99</v>
      </c>
      <c r="I424" s="98">
        <v>119.1</v>
      </c>
      <c r="J424" s="98">
        <v>157.4</v>
      </c>
      <c r="K424" s="209">
        <v>94.759999999999991</v>
      </c>
      <c r="L424" s="209">
        <v>102.75999999999999</v>
      </c>
      <c r="M424" s="209">
        <v>127.51999999999998</v>
      </c>
      <c r="N424" s="98"/>
      <c r="O424" s="98"/>
      <c r="P424" s="98"/>
      <c r="Q424" s="208">
        <v>84.68</v>
      </c>
      <c r="R424" s="98">
        <v>107.75999999999999</v>
      </c>
      <c r="S424" s="98">
        <v>120.83999999999997</v>
      </c>
      <c r="T424" s="98">
        <v>167.84000000000003</v>
      </c>
      <c r="U424" s="98">
        <v>84.68</v>
      </c>
      <c r="V424" s="98">
        <v>377.59999999999991</v>
      </c>
      <c r="W424" s="98">
        <v>508.40000000000009</v>
      </c>
      <c r="X424" s="98"/>
      <c r="Y424" s="98"/>
      <c r="Z424" s="98"/>
      <c r="AA424" s="230"/>
      <c r="AB424" s="230"/>
      <c r="AC424" s="230"/>
    </row>
    <row r="425" spans="2:29">
      <c r="B425" s="98">
        <v>455</v>
      </c>
      <c r="C425" s="98">
        <v>98.5</v>
      </c>
      <c r="D425" s="98">
        <v>478.4</v>
      </c>
      <c r="E425" s="98">
        <v>157</v>
      </c>
      <c r="F425" s="98">
        <v>161.19999999999999</v>
      </c>
      <c r="G425" s="98">
        <v>130.80000000000001</v>
      </c>
      <c r="H425" s="98">
        <v>98.9</v>
      </c>
      <c r="I425" s="98">
        <v>119</v>
      </c>
      <c r="J425" s="98">
        <v>157.19999999999999</v>
      </c>
      <c r="K425" s="208">
        <v>94.699999999999989</v>
      </c>
      <c r="L425" s="208">
        <v>102.69999999999999</v>
      </c>
      <c r="M425" s="208">
        <v>127.39999999999998</v>
      </c>
      <c r="N425" s="98"/>
      <c r="O425" s="98"/>
      <c r="P425" s="98"/>
      <c r="Q425" s="208">
        <v>84.600000000000009</v>
      </c>
      <c r="R425" s="98">
        <v>107.69999999999999</v>
      </c>
      <c r="S425" s="98">
        <v>120.79999999999997</v>
      </c>
      <c r="T425" s="98">
        <v>167.80000000000004</v>
      </c>
      <c r="U425" s="98">
        <v>84.600000000000009</v>
      </c>
      <c r="V425" s="98">
        <v>376.99999999999989</v>
      </c>
      <c r="W425" s="98">
        <v>508.00000000000011</v>
      </c>
      <c r="X425" s="98"/>
      <c r="Y425" s="98"/>
      <c r="Z425" s="98"/>
      <c r="AA425" s="230"/>
      <c r="AB425" s="230"/>
      <c r="AC425" s="230"/>
    </row>
    <row r="426" spans="2:29">
      <c r="B426" s="98">
        <v>456</v>
      </c>
      <c r="C426" s="98">
        <v>98.5</v>
      </c>
      <c r="D426" s="98">
        <v>477.1</v>
      </c>
      <c r="E426" s="98">
        <v>156.80000000000001</v>
      </c>
      <c r="F426" s="98">
        <v>161</v>
      </c>
      <c r="G426" s="98">
        <v>130.80000000000001</v>
      </c>
      <c r="H426" s="98">
        <v>98.9</v>
      </c>
      <c r="I426" s="98">
        <v>118.9</v>
      </c>
      <c r="J426" s="98">
        <v>157</v>
      </c>
      <c r="K426" s="209">
        <v>94.639999999999986</v>
      </c>
      <c r="L426" s="209">
        <v>102.63999999999999</v>
      </c>
      <c r="M426" s="209">
        <v>127.27999999999997</v>
      </c>
      <c r="N426" s="98"/>
      <c r="O426" s="98"/>
      <c r="P426" s="98"/>
      <c r="Q426" s="208">
        <v>84.52000000000001</v>
      </c>
      <c r="R426" s="98">
        <v>107.63999999999999</v>
      </c>
      <c r="S426" s="98">
        <v>120.75999999999996</v>
      </c>
      <c r="T426" s="98">
        <v>167.76000000000005</v>
      </c>
      <c r="U426" s="98">
        <v>84.52000000000001</v>
      </c>
      <c r="V426" s="98">
        <v>376.39999999999986</v>
      </c>
      <c r="W426" s="98">
        <v>507.60000000000014</v>
      </c>
      <c r="X426" s="98"/>
      <c r="Y426" s="98"/>
      <c r="Z426" s="98"/>
      <c r="AA426" s="230"/>
      <c r="AB426" s="230"/>
      <c r="AC426" s="230"/>
    </row>
    <row r="427" spans="2:29">
      <c r="B427" s="98">
        <v>457</v>
      </c>
      <c r="C427" s="98">
        <v>98.4</v>
      </c>
      <c r="D427" s="98">
        <v>475.8</v>
      </c>
      <c r="E427" s="98">
        <v>156.6</v>
      </c>
      <c r="F427" s="98">
        <v>160.9</v>
      </c>
      <c r="G427" s="98">
        <v>130.69999999999999</v>
      </c>
      <c r="H427" s="98">
        <v>98.8</v>
      </c>
      <c r="I427" s="98">
        <v>118.9</v>
      </c>
      <c r="J427" s="98">
        <v>156.9</v>
      </c>
      <c r="K427" s="208">
        <v>94.579999999999984</v>
      </c>
      <c r="L427" s="208">
        <v>102.57999999999998</v>
      </c>
      <c r="M427" s="208">
        <v>127.15999999999997</v>
      </c>
      <c r="N427" s="98"/>
      <c r="O427" s="98"/>
      <c r="P427" s="98"/>
      <c r="Q427" s="208">
        <v>84.440000000000012</v>
      </c>
      <c r="R427" s="98">
        <v>107.57999999999998</v>
      </c>
      <c r="S427" s="98">
        <v>120.71999999999996</v>
      </c>
      <c r="T427" s="98">
        <v>167.72000000000006</v>
      </c>
      <c r="U427" s="98">
        <v>84.440000000000012</v>
      </c>
      <c r="V427" s="98">
        <v>375.79999999999984</v>
      </c>
      <c r="W427" s="98">
        <v>507.20000000000016</v>
      </c>
      <c r="X427" s="98"/>
      <c r="Y427" s="98"/>
      <c r="Z427" s="98"/>
      <c r="AA427" s="230"/>
      <c r="AB427" s="230"/>
      <c r="AC427" s="230"/>
    </row>
    <row r="428" spans="2:29">
      <c r="B428" s="98">
        <v>458</v>
      </c>
      <c r="C428" s="98">
        <v>98.3</v>
      </c>
      <c r="D428" s="98">
        <v>474.4</v>
      </c>
      <c r="E428" s="98">
        <v>156.4</v>
      </c>
      <c r="F428" s="98">
        <v>160.69999999999999</v>
      </c>
      <c r="G428" s="98">
        <v>130.69999999999999</v>
      </c>
      <c r="H428" s="98">
        <v>98.7</v>
      </c>
      <c r="I428" s="98">
        <v>118.8</v>
      </c>
      <c r="J428" s="98">
        <v>156.69999999999999</v>
      </c>
      <c r="K428" s="209">
        <v>94.519999999999982</v>
      </c>
      <c r="L428" s="209">
        <v>102.51999999999998</v>
      </c>
      <c r="M428" s="209">
        <v>127.03999999999996</v>
      </c>
      <c r="N428" s="98"/>
      <c r="O428" s="98"/>
      <c r="P428" s="98"/>
      <c r="Q428" s="208">
        <v>84.360000000000014</v>
      </c>
      <c r="R428" s="98">
        <v>107.51999999999998</v>
      </c>
      <c r="S428" s="98">
        <v>120.67999999999995</v>
      </c>
      <c r="T428" s="98">
        <v>167.68000000000006</v>
      </c>
      <c r="U428" s="98">
        <v>84.360000000000014</v>
      </c>
      <c r="V428" s="98">
        <v>375.19999999999982</v>
      </c>
      <c r="W428" s="98">
        <v>506.80000000000018</v>
      </c>
      <c r="X428" s="98"/>
      <c r="Y428" s="98"/>
      <c r="Z428" s="98"/>
      <c r="AA428" s="230"/>
      <c r="AB428" s="230"/>
      <c r="AC428" s="230"/>
    </row>
    <row r="429" spans="2:29">
      <c r="B429" s="98">
        <v>459</v>
      </c>
      <c r="C429" s="98">
        <v>98.3</v>
      </c>
      <c r="D429" s="98">
        <v>473.1</v>
      </c>
      <c r="E429" s="98">
        <v>156.19999999999999</v>
      </c>
      <c r="F429" s="98">
        <v>160.6</v>
      </c>
      <c r="G429" s="98">
        <v>130.6</v>
      </c>
      <c r="H429" s="98">
        <v>98.6</v>
      </c>
      <c r="I429" s="98">
        <v>118.7</v>
      </c>
      <c r="J429" s="98">
        <v>156.6</v>
      </c>
      <c r="K429" s="208">
        <v>94.45999999999998</v>
      </c>
      <c r="L429" s="208">
        <v>102.45999999999998</v>
      </c>
      <c r="M429" s="208">
        <v>126.91999999999996</v>
      </c>
      <c r="N429" s="98"/>
      <c r="O429" s="98"/>
      <c r="P429" s="98"/>
      <c r="Q429" s="208">
        <v>84.280000000000015</v>
      </c>
      <c r="R429" s="98">
        <v>107.45999999999998</v>
      </c>
      <c r="S429" s="98">
        <v>120.63999999999994</v>
      </c>
      <c r="T429" s="98">
        <v>167.64000000000007</v>
      </c>
      <c r="U429" s="98">
        <v>84.280000000000015</v>
      </c>
      <c r="V429" s="98">
        <v>374.5999999999998</v>
      </c>
      <c r="W429" s="98">
        <v>506.4000000000002</v>
      </c>
      <c r="X429" s="98"/>
      <c r="Y429" s="98"/>
      <c r="Z429" s="98"/>
      <c r="AA429" s="230"/>
      <c r="AB429" s="230"/>
      <c r="AC429" s="230"/>
    </row>
    <row r="430" spans="2:29">
      <c r="B430" s="98">
        <v>460</v>
      </c>
      <c r="C430" s="98">
        <v>98.2</v>
      </c>
      <c r="D430" s="98">
        <v>471.8</v>
      </c>
      <c r="E430" s="98">
        <v>156</v>
      </c>
      <c r="F430" s="98">
        <v>160.4</v>
      </c>
      <c r="G430" s="98">
        <v>130.6</v>
      </c>
      <c r="H430" s="98">
        <v>98.6</v>
      </c>
      <c r="I430" s="98">
        <v>118.6</v>
      </c>
      <c r="J430" s="98">
        <v>156.4</v>
      </c>
      <c r="K430" s="209">
        <v>94.399999999999977</v>
      </c>
      <c r="L430" s="209">
        <v>102.39999999999998</v>
      </c>
      <c r="M430" s="209">
        <v>126.79999999999995</v>
      </c>
      <c r="N430" s="98"/>
      <c r="O430" s="98"/>
      <c r="P430" s="98"/>
      <c r="Q430" s="208">
        <v>84.200000000000017</v>
      </c>
      <c r="R430" s="98">
        <v>107.39999999999998</v>
      </c>
      <c r="S430" s="98">
        <v>120.59999999999994</v>
      </c>
      <c r="T430" s="98">
        <v>167.60000000000008</v>
      </c>
      <c r="U430" s="98">
        <v>84.200000000000017</v>
      </c>
      <c r="V430" s="98">
        <v>373.99999999999977</v>
      </c>
      <c r="W430" s="98">
        <v>506.00000000000023</v>
      </c>
      <c r="X430" s="98"/>
      <c r="Y430" s="98"/>
      <c r="Z430" s="98"/>
      <c r="AA430" s="230"/>
      <c r="AB430" s="230"/>
      <c r="AC430" s="230"/>
    </row>
    <row r="431" spans="2:29">
      <c r="B431" s="98">
        <v>461</v>
      </c>
      <c r="C431" s="98">
        <v>98.1</v>
      </c>
      <c r="D431" s="98">
        <v>470.5</v>
      </c>
      <c r="E431" s="98">
        <v>155.80000000000001</v>
      </c>
      <c r="F431" s="98">
        <v>160.19999999999999</v>
      </c>
      <c r="G431" s="98">
        <v>130.6</v>
      </c>
      <c r="H431" s="98">
        <v>98.5</v>
      </c>
      <c r="I431" s="98">
        <v>118.6</v>
      </c>
      <c r="J431" s="98">
        <v>156.19999999999999</v>
      </c>
      <c r="K431" s="208">
        <v>94.339999999999975</v>
      </c>
      <c r="L431" s="208">
        <v>102.33999999999997</v>
      </c>
      <c r="M431" s="208">
        <v>126.67999999999995</v>
      </c>
      <c r="N431" s="98"/>
      <c r="O431" s="98"/>
      <c r="P431" s="98"/>
      <c r="Q431" s="208">
        <v>84.120000000000019</v>
      </c>
      <c r="R431" s="98">
        <v>107.33999999999997</v>
      </c>
      <c r="S431" s="98">
        <v>120.55999999999993</v>
      </c>
      <c r="T431" s="98">
        <v>167.56000000000009</v>
      </c>
      <c r="U431" s="98">
        <v>84.120000000000019</v>
      </c>
      <c r="V431" s="98">
        <v>373.39999999999975</v>
      </c>
      <c r="W431" s="98">
        <v>505.60000000000025</v>
      </c>
      <c r="X431" s="98"/>
      <c r="Y431" s="98"/>
      <c r="Z431" s="98"/>
      <c r="AA431" s="230"/>
      <c r="AB431" s="230"/>
      <c r="AC431" s="230"/>
    </row>
    <row r="432" spans="2:29">
      <c r="B432" s="98">
        <v>462</v>
      </c>
      <c r="C432" s="98">
        <v>98</v>
      </c>
      <c r="D432" s="98">
        <v>469.2</v>
      </c>
      <c r="E432" s="98">
        <v>155.6</v>
      </c>
      <c r="F432" s="98">
        <v>160.1</v>
      </c>
      <c r="G432" s="98">
        <v>130.5</v>
      </c>
      <c r="H432" s="98">
        <v>98.4</v>
      </c>
      <c r="I432" s="98">
        <v>118.5</v>
      </c>
      <c r="J432" s="98">
        <v>156.1</v>
      </c>
      <c r="K432" s="209">
        <v>94.279999999999973</v>
      </c>
      <c r="L432" s="209">
        <v>102.27999999999997</v>
      </c>
      <c r="M432" s="209">
        <v>126.55999999999995</v>
      </c>
      <c r="N432" s="98"/>
      <c r="O432" s="98"/>
      <c r="P432" s="98"/>
      <c r="Q432" s="208">
        <v>84.04000000000002</v>
      </c>
      <c r="R432" s="98">
        <v>107.27999999999997</v>
      </c>
      <c r="S432" s="98">
        <v>120.51999999999992</v>
      </c>
      <c r="T432" s="98">
        <v>167.5200000000001</v>
      </c>
      <c r="U432" s="98">
        <v>84.04000000000002</v>
      </c>
      <c r="V432" s="98">
        <v>372.79999999999973</v>
      </c>
      <c r="W432" s="98">
        <v>505.20000000000027</v>
      </c>
      <c r="X432" s="98"/>
      <c r="Y432" s="98"/>
      <c r="Z432" s="98"/>
      <c r="AA432" s="230"/>
      <c r="AB432" s="230"/>
      <c r="AC432" s="230"/>
    </row>
    <row r="433" spans="2:29">
      <c r="B433" s="98">
        <v>463</v>
      </c>
      <c r="C433" s="98">
        <v>98</v>
      </c>
      <c r="D433" s="98">
        <v>467.8</v>
      </c>
      <c r="E433" s="98">
        <v>155.4</v>
      </c>
      <c r="F433" s="98">
        <v>159.9</v>
      </c>
      <c r="G433" s="98">
        <v>130.5</v>
      </c>
      <c r="H433" s="98">
        <v>98.4</v>
      </c>
      <c r="I433" s="98">
        <v>118.4</v>
      </c>
      <c r="J433" s="98">
        <v>155.9</v>
      </c>
      <c r="K433" s="208">
        <v>94.21999999999997</v>
      </c>
      <c r="L433" s="208">
        <v>102.21999999999997</v>
      </c>
      <c r="M433" s="208">
        <v>126.43999999999994</v>
      </c>
      <c r="N433" s="98"/>
      <c r="O433" s="98"/>
      <c r="P433" s="98"/>
      <c r="Q433" s="208">
        <v>83.960000000000022</v>
      </c>
      <c r="R433" s="98">
        <v>107.21999999999997</v>
      </c>
      <c r="S433" s="98">
        <v>120.47999999999992</v>
      </c>
      <c r="T433" s="98">
        <v>167.4800000000001</v>
      </c>
      <c r="U433" s="98">
        <v>83.960000000000022</v>
      </c>
      <c r="V433" s="98">
        <v>372.1999999999997</v>
      </c>
      <c r="W433" s="98">
        <v>504.8000000000003</v>
      </c>
      <c r="X433" s="98"/>
      <c r="Y433" s="98"/>
      <c r="Z433" s="98"/>
      <c r="AA433" s="230"/>
      <c r="AB433" s="230"/>
      <c r="AC433" s="230"/>
    </row>
    <row r="434" spans="2:29">
      <c r="B434" s="98">
        <v>464</v>
      </c>
      <c r="C434" s="98">
        <v>97.9</v>
      </c>
      <c r="D434" s="98">
        <v>466.5</v>
      </c>
      <c r="E434" s="98">
        <v>155.19999999999999</v>
      </c>
      <c r="F434" s="98">
        <v>159.80000000000001</v>
      </c>
      <c r="G434" s="98">
        <v>130.4</v>
      </c>
      <c r="H434" s="98">
        <v>98.3</v>
      </c>
      <c r="I434" s="98">
        <v>118.4</v>
      </c>
      <c r="J434" s="98">
        <v>155.80000000000001</v>
      </c>
      <c r="K434" s="209">
        <v>94.159999999999968</v>
      </c>
      <c r="L434" s="209">
        <v>102.15999999999997</v>
      </c>
      <c r="M434" s="209">
        <v>126.31999999999994</v>
      </c>
      <c r="N434" s="98"/>
      <c r="O434" s="98"/>
      <c r="P434" s="98"/>
      <c r="Q434" s="208">
        <v>83.880000000000024</v>
      </c>
      <c r="R434" s="98">
        <v>107.15999999999997</v>
      </c>
      <c r="S434" s="98">
        <v>120.43999999999991</v>
      </c>
      <c r="T434" s="98">
        <v>167.44000000000011</v>
      </c>
      <c r="U434" s="98">
        <v>83.880000000000024</v>
      </c>
      <c r="V434" s="98">
        <v>371.59999999999968</v>
      </c>
      <c r="W434" s="98">
        <v>504.40000000000032</v>
      </c>
      <c r="X434" s="98"/>
      <c r="Y434" s="98"/>
      <c r="Z434" s="98"/>
      <c r="AA434" s="230"/>
      <c r="AB434" s="230"/>
      <c r="AC434" s="230"/>
    </row>
    <row r="435" spans="2:29">
      <c r="B435" s="98">
        <v>465</v>
      </c>
      <c r="C435" s="98">
        <v>97.8</v>
      </c>
      <c r="D435" s="98">
        <v>465.2</v>
      </c>
      <c r="E435" s="98">
        <v>155</v>
      </c>
      <c r="F435" s="98">
        <v>159.6</v>
      </c>
      <c r="G435" s="98">
        <v>130.4</v>
      </c>
      <c r="H435" s="98">
        <v>98.2</v>
      </c>
      <c r="I435" s="98">
        <v>118.3</v>
      </c>
      <c r="J435" s="98">
        <v>155.6</v>
      </c>
      <c r="K435" s="208">
        <v>94.099999999999966</v>
      </c>
      <c r="L435" s="208">
        <v>102.09999999999997</v>
      </c>
      <c r="M435" s="208">
        <v>126.19999999999993</v>
      </c>
      <c r="N435" s="98"/>
      <c r="O435" s="98"/>
      <c r="P435" s="98"/>
      <c r="Q435" s="208">
        <v>83.800000000000026</v>
      </c>
      <c r="R435" s="98">
        <v>107.09999999999997</v>
      </c>
      <c r="S435" s="98">
        <v>120.39999999999991</v>
      </c>
      <c r="T435" s="98">
        <v>167.40000000000012</v>
      </c>
      <c r="U435" s="98">
        <v>83.800000000000026</v>
      </c>
      <c r="V435" s="98">
        <v>370.99999999999966</v>
      </c>
      <c r="W435" s="98">
        <v>504.00000000000034</v>
      </c>
      <c r="X435" s="98"/>
      <c r="Y435" s="98"/>
      <c r="Z435" s="98"/>
      <c r="AA435" s="230"/>
      <c r="AB435" s="230"/>
      <c r="AC435" s="230"/>
    </row>
    <row r="436" spans="2:29">
      <c r="B436" s="98">
        <v>466</v>
      </c>
      <c r="C436" s="98">
        <v>97.7</v>
      </c>
      <c r="D436" s="98">
        <v>463.9</v>
      </c>
      <c r="E436" s="98">
        <v>154.80000000000001</v>
      </c>
      <c r="F436" s="98">
        <v>159.4</v>
      </c>
      <c r="G436" s="98">
        <v>130.4</v>
      </c>
      <c r="H436" s="98">
        <v>98.1</v>
      </c>
      <c r="I436" s="98">
        <v>118.2</v>
      </c>
      <c r="J436" s="98">
        <v>155.4</v>
      </c>
      <c r="K436" s="209">
        <v>94.039999999999964</v>
      </c>
      <c r="L436" s="209">
        <v>102.03999999999996</v>
      </c>
      <c r="M436" s="209">
        <v>126.07999999999993</v>
      </c>
      <c r="N436" s="98"/>
      <c r="O436" s="98"/>
      <c r="P436" s="98"/>
      <c r="Q436" s="208">
        <v>83.720000000000027</v>
      </c>
      <c r="R436" s="98">
        <v>107.03999999999996</v>
      </c>
      <c r="S436" s="98">
        <v>120.3599999999999</v>
      </c>
      <c r="T436" s="98">
        <v>167.36000000000013</v>
      </c>
      <c r="U436" s="98">
        <v>83.720000000000027</v>
      </c>
      <c r="V436" s="98">
        <v>370.39999999999964</v>
      </c>
      <c r="W436" s="98">
        <v>503.60000000000036</v>
      </c>
      <c r="X436" s="98"/>
      <c r="Y436" s="98"/>
      <c r="Z436" s="98"/>
      <c r="AA436" s="230"/>
      <c r="AB436" s="230"/>
      <c r="AC436" s="230"/>
    </row>
    <row r="437" spans="2:29">
      <c r="B437" s="98">
        <v>467</v>
      </c>
      <c r="C437" s="98">
        <v>97.7</v>
      </c>
      <c r="D437" s="98">
        <v>462.6</v>
      </c>
      <c r="E437" s="98">
        <v>154.6</v>
      </c>
      <c r="F437" s="98">
        <v>159.30000000000001</v>
      </c>
      <c r="G437" s="98">
        <v>130.30000000000001</v>
      </c>
      <c r="H437" s="98">
        <v>98.1</v>
      </c>
      <c r="I437" s="98">
        <v>118.1</v>
      </c>
      <c r="J437" s="98">
        <v>155.30000000000001</v>
      </c>
      <c r="K437" s="208">
        <v>93.979999999999961</v>
      </c>
      <c r="L437" s="208">
        <v>101.97999999999996</v>
      </c>
      <c r="M437" s="208">
        <v>125.95999999999992</v>
      </c>
      <c r="N437" s="98"/>
      <c r="O437" s="98"/>
      <c r="P437" s="98"/>
      <c r="Q437" s="208">
        <v>83.640000000000029</v>
      </c>
      <c r="R437" s="98">
        <v>106.97999999999996</v>
      </c>
      <c r="S437" s="98">
        <v>120.31999999999989</v>
      </c>
      <c r="T437" s="98">
        <v>167.32000000000014</v>
      </c>
      <c r="U437" s="98">
        <v>83.640000000000029</v>
      </c>
      <c r="V437" s="98">
        <v>369.79999999999961</v>
      </c>
      <c r="W437" s="98">
        <v>503.20000000000039</v>
      </c>
      <c r="X437" s="98"/>
      <c r="Y437" s="98"/>
      <c r="Z437" s="98"/>
      <c r="AA437" s="230"/>
      <c r="AB437" s="230"/>
      <c r="AC437" s="230"/>
    </row>
    <row r="438" spans="2:29">
      <c r="B438" s="98">
        <v>468</v>
      </c>
      <c r="C438" s="98">
        <v>97.6</v>
      </c>
      <c r="D438" s="98">
        <v>461.2</v>
      </c>
      <c r="E438" s="98">
        <v>154.4</v>
      </c>
      <c r="F438" s="98">
        <v>159.1</v>
      </c>
      <c r="G438" s="98">
        <v>130.30000000000001</v>
      </c>
      <c r="H438" s="98">
        <v>98</v>
      </c>
      <c r="I438" s="98">
        <v>118.1</v>
      </c>
      <c r="J438" s="98">
        <v>155.1</v>
      </c>
      <c r="K438" s="209">
        <v>93.919999999999959</v>
      </c>
      <c r="L438" s="209">
        <v>101.91999999999996</v>
      </c>
      <c r="M438" s="209">
        <v>125.83999999999992</v>
      </c>
      <c r="N438" s="98"/>
      <c r="O438" s="98"/>
      <c r="P438" s="98"/>
      <c r="Q438" s="208">
        <v>83.560000000000031</v>
      </c>
      <c r="R438" s="98">
        <v>106.91999999999996</v>
      </c>
      <c r="S438" s="98">
        <v>120.27999999999989</v>
      </c>
      <c r="T438" s="98">
        <v>167.28000000000014</v>
      </c>
      <c r="U438" s="98">
        <v>83.560000000000031</v>
      </c>
      <c r="V438" s="98">
        <v>369.19999999999959</v>
      </c>
      <c r="W438" s="98">
        <v>502.80000000000041</v>
      </c>
      <c r="X438" s="98"/>
      <c r="Y438" s="98"/>
      <c r="Z438" s="98"/>
      <c r="AA438" s="230"/>
      <c r="AB438" s="230"/>
      <c r="AC438" s="230"/>
    </row>
    <row r="439" spans="2:29">
      <c r="B439" s="98">
        <v>469</v>
      </c>
      <c r="C439" s="98">
        <v>97.5</v>
      </c>
      <c r="D439" s="98">
        <v>459.9</v>
      </c>
      <c r="E439" s="98">
        <v>154.19999999999999</v>
      </c>
      <c r="F439" s="98">
        <v>159</v>
      </c>
      <c r="G439" s="98">
        <v>130.19999999999999</v>
      </c>
      <c r="H439" s="98">
        <v>97.9</v>
      </c>
      <c r="I439" s="98">
        <v>118</v>
      </c>
      <c r="J439" s="98">
        <v>155</v>
      </c>
      <c r="K439" s="208">
        <v>93.859999999999957</v>
      </c>
      <c r="L439" s="208">
        <v>101.85999999999996</v>
      </c>
      <c r="M439" s="208">
        <v>125.71999999999991</v>
      </c>
      <c r="N439" s="98"/>
      <c r="O439" s="98"/>
      <c r="P439" s="98"/>
      <c r="Q439" s="208">
        <v>83.480000000000032</v>
      </c>
      <c r="R439" s="98">
        <v>106.85999999999996</v>
      </c>
      <c r="S439" s="98">
        <v>120.23999999999988</v>
      </c>
      <c r="T439" s="98">
        <v>167.24000000000015</v>
      </c>
      <c r="U439" s="98">
        <v>83.480000000000032</v>
      </c>
      <c r="V439" s="98">
        <v>368.59999999999957</v>
      </c>
      <c r="W439" s="98">
        <v>502.40000000000043</v>
      </c>
      <c r="X439" s="98"/>
      <c r="Y439" s="98"/>
      <c r="Z439" s="98"/>
      <c r="AA439" s="230"/>
      <c r="AB439" s="230"/>
      <c r="AC439" s="230"/>
    </row>
    <row r="440" spans="2:29">
      <c r="B440" s="98">
        <v>470</v>
      </c>
      <c r="C440" s="98">
        <v>97.5</v>
      </c>
      <c r="D440" s="98">
        <v>458.6</v>
      </c>
      <c r="E440" s="98">
        <v>154</v>
      </c>
      <c r="F440" s="98">
        <v>158.80000000000001</v>
      </c>
      <c r="G440" s="98">
        <v>130.19999999999999</v>
      </c>
      <c r="H440" s="98">
        <v>97.9</v>
      </c>
      <c r="I440" s="98">
        <v>117.9</v>
      </c>
      <c r="J440" s="98">
        <v>154.80000000000001</v>
      </c>
      <c r="K440" s="209">
        <v>93.799999999999955</v>
      </c>
      <c r="L440" s="209">
        <v>101.79999999999995</v>
      </c>
      <c r="M440" s="209">
        <v>125.59999999999991</v>
      </c>
      <c r="N440" s="98"/>
      <c r="O440" s="98"/>
      <c r="P440" s="98"/>
      <c r="Q440" s="208">
        <v>83.400000000000034</v>
      </c>
      <c r="R440" s="98">
        <v>106.79999999999995</v>
      </c>
      <c r="S440" s="98">
        <v>120.19999999999987</v>
      </c>
      <c r="T440" s="98">
        <v>167.20000000000016</v>
      </c>
      <c r="U440" s="98">
        <v>83.400000000000034</v>
      </c>
      <c r="V440" s="98">
        <v>367.99999999999955</v>
      </c>
      <c r="W440" s="98">
        <v>502.00000000000045</v>
      </c>
      <c r="X440" s="98"/>
      <c r="Y440" s="98"/>
      <c r="Z440" s="98"/>
      <c r="AA440" s="230"/>
      <c r="AB440" s="230"/>
      <c r="AC440" s="230"/>
    </row>
    <row r="441" spans="2:29">
      <c r="B441" s="98">
        <v>471</v>
      </c>
      <c r="C441" s="98">
        <v>97.4</v>
      </c>
      <c r="D441" s="98">
        <v>457.3</v>
      </c>
      <c r="E441" s="98">
        <v>153.80000000000001</v>
      </c>
      <c r="F441" s="98">
        <v>158.6</v>
      </c>
      <c r="G441" s="98">
        <v>130.19999999999999</v>
      </c>
      <c r="H441" s="98">
        <v>97.8</v>
      </c>
      <c r="I441" s="98">
        <v>117.9</v>
      </c>
      <c r="J441" s="98">
        <v>154.6</v>
      </c>
      <c r="K441" s="208">
        <v>93.739999999999952</v>
      </c>
      <c r="L441" s="208">
        <v>101.73999999999995</v>
      </c>
      <c r="M441" s="208">
        <v>125.4799999999999</v>
      </c>
      <c r="N441" s="98"/>
      <c r="O441" s="98"/>
      <c r="P441" s="98"/>
      <c r="Q441" s="208">
        <v>83.320000000000036</v>
      </c>
      <c r="R441" s="98">
        <v>106.73999999999995</v>
      </c>
      <c r="S441" s="98">
        <v>120.15999999999987</v>
      </c>
      <c r="T441" s="98">
        <v>167.16000000000017</v>
      </c>
      <c r="U441" s="98">
        <v>83.320000000000036</v>
      </c>
      <c r="V441" s="98">
        <v>367.39999999999952</v>
      </c>
      <c r="W441" s="98">
        <v>501.60000000000048</v>
      </c>
      <c r="X441" s="98"/>
      <c r="Y441" s="98"/>
      <c r="Z441" s="98"/>
      <c r="AA441" s="230"/>
      <c r="AB441" s="230"/>
      <c r="AC441" s="230"/>
    </row>
    <row r="442" spans="2:29">
      <c r="B442" s="98">
        <v>472</v>
      </c>
      <c r="C442" s="98">
        <v>97.3</v>
      </c>
      <c r="D442" s="98">
        <v>456</v>
      </c>
      <c r="E442" s="98">
        <v>153.6</v>
      </c>
      <c r="F442" s="98">
        <v>158.5</v>
      </c>
      <c r="G442" s="98">
        <v>130.1</v>
      </c>
      <c r="H442" s="98">
        <v>97.7</v>
      </c>
      <c r="I442" s="98">
        <v>117.8</v>
      </c>
      <c r="J442" s="98">
        <v>154.5</v>
      </c>
      <c r="K442" s="209">
        <v>93.67999999999995</v>
      </c>
      <c r="L442" s="209">
        <v>101.67999999999995</v>
      </c>
      <c r="M442" s="209">
        <v>125.3599999999999</v>
      </c>
      <c r="N442" s="98"/>
      <c r="O442" s="98"/>
      <c r="P442" s="98"/>
      <c r="Q442" s="208">
        <v>83.240000000000038</v>
      </c>
      <c r="R442" s="98">
        <v>106.67999999999995</v>
      </c>
      <c r="S442" s="98">
        <v>120.11999999999986</v>
      </c>
      <c r="T442" s="98">
        <v>167.12000000000018</v>
      </c>
      <c r="U442" s="98">
        <v>83.240000000000038</v>
      </c>
      <c r="V442" s="98">
        <v>366.7999999999995</v>
      </c>
      <c r="W442" s="98">
        <v>501.2000000000005</v>
      </c>
      <c r="X442" s="98"/>
      <c r="Y442" s="98"/>
      <c r="Z442" s="98"/>
      <c r="AA442" s="230"/>
      <c r="AB442" s="230"/>
      <c r="AC442" s="230"/>
    </row>
    <row r="443" spans="2:29">
      <c r="B443" s="98">
        <v>473</v>
      </c>
      <c r="C443" s="98">
        <v>97.2</v>
      </c>
      <c r="D443" s="98">
        <v>454.6</v>
      </c>
      <c r="E443" s="98">
        <v>153.4</v>
      </c>
      <c r="F443" s="98">
        <v>158.30000000000001</v>
      </c>
      <c r="G443" s="98">
        <v>130.1</v>
      </c>
      <c r="H443" s="98">
        <v>97.6</v>
      </c>
      <c r="I443" s="98">
        <v>117.7</v>
      </c>
      <c r="J443" s="98">
        <v>154.30000000000001</v>
      </c>
      <c r="K443" s="208">
        <v>93.619999999999948</v>
      </c>
      <c r="L443" s="208">
        <v>101.61999999999995</v>
      </c>
      <c r="M443" s="208">
        <v>125.2399999999999</v>
      </c>
      <c r="N443" s="98"/>
      <c r="O443" s="98"/>
      <c r="P443" s="98"/>
      <c r="Q443" s="208">
        <v>83.160000000000039</v>
      </c>
      <c r="R443" s="98">
        <v>106.61999999999995</v>
      </c>
      <c r="S443" s="98">
        <v>120.07999999999986</v>
      </c>
      <c r="T443" s="98">
        <v>167.08000000000018</v>
      </c>
      <c r="U443" s="98">
        <v>83.160000000000039</v>
      </c>
      <c r="V443" s="98">
        <v>366.19999999999948</v>
      </c>
      <c r="W443" s="98">
        <v>500.80000000000052</v>
      </c>
      <c r="X443" s="98"/>
      <c r="Y443" s="98"/>
      <c r="Z443" s="98"/>
      <c r="AA443" s="230"/>
      <c r="AB443" s="230"/>
      <c r="AC443" s="230"/>
    </row>
    <row r="444" spans="2:29">
      <c r="B444" s="98">
        <v>474</v>
      </c>
      <c r="C444" s="98">
        <v>97.2</v>
      </c>
      <c r="D444" s="98">
        <v>453.3</v>
      </c>
      <c r="E444" s="98">
        <v>153.19999999999999</v>
      </c>
      <c r="F444" s="98">
        <v>158.19999999999999</v>
      </c>
      <c r="G444" s="98">
        <v>130</v>
      </c>
      <c r="H444" s="98">
        <v>97.6</v>
      </c>
      <c r="I444" s="98">
        <v>117.6</v>
      </c>
      <c r="J444" s="98">
        <v>154.19999999999999</v>
      </c>
      <c r="K444" s="209">
        <v>93.559999999999945</v>
      </c>
      <c r="L444" s="209">
        <v>101.55999999999995</v>
      </c>
      <c r="M444" s="209">
        <v>125.11999999999989</v>
      </c>
      <c r="N444" s="98"/>
      <c r="O444" s="98"/>
      <c r="P444" s="98"/>
      <c r="Q444" s="208">
        <v>83.080000000000041</v>
      </c>
      <c r="R444" s="98">
        <v>106.55999999999995</v>
      </c>
      <c r="S444" s="98">
        <v>120.03999999999985</v>
      </c>
      <c r="T444" s="98">
        <v>167.04000000000019</v>
      </c>
      <c r="U444" s="98">
        <v>83.080000000000041</v>
      </c>
      <c r="V444" s="98">
        <v>365.59999999999945</v>
      </c>
      <c r="W444" s="98">
        <v>500.40000000000055</v>
      </c>
      <c r="X444" s="98"/>
      <c r="Y444" s="98"/>
      <c r="Z444" s="98"/>
      <c r="AA444" s="230"/>
      <c r="AB444" s="230"/>
      <c r="AC444" s="230"/>
    </row>
    <row r="445" spans="2:29">
      <c r="B445" s="98">
        <v>475</v>
      </c>
      <c r="C445" s="98">
        <v>97.1</v>
      </c>
      <c r="D445" s="98">
        <v>452</v>
      </c>
      <c r="E445" s="98">
        <v>153</v>
      </c>
      <c r="F445" s="98">
        <v>158</v>
      </c>
      <c r="G445" s="98">
        <v>130</v>
      </c>
      <c r="H445" s="98">
        <v>97.5</v>
      </c>
      <c r="I445" s="98">
        <v>117.6</v>
      </c>
      <c r="J445" s="98">
        <v>154</v>
      </c>
      <c r="K445" s="208">
        <v>93.499999999999943</v>
      </c>
      <c r="L445" s="208">
        <v>101.49999999999994</v>
      </c>
      <c r="M445" s="208">
        <v>124.99999999999989</v>
      </c>
      <c r="N445" s="98"/>
      <c r="O445" s="98"/>
      <c r="P445" s="98"/>
      <c r="Q445" s="208">
        <v>83.000000000000043</v>
      </c>
      <c r="R445" s="98">
        <v>106.49999999999994</v>
      </c>
      <c r="S445" s="98">
        <v>119.99999999999984</v>
      </c>
      <c r="T445" s="98">
        <v>167.0000000000002</v>
      </c>
      <c r="U445" s="98">
        <v>83.000000000000043</v>
      </c>
      <c r="V445" s="98">
        <v>364.99999999999943</v>
      </c>
      <c r="W445" s="98">
        <v>500.00000000000057</v>
      </c>
      <c r="X445" s="98"/>
      <c r="Y445" s="98"/>
      <c r="Z445" s="98"/>
      <c r="AA445" s="230"/>
      <c r="AB445" s="230"/>
      <c r="AC445" s="230"/>
    </row>
    <row r="446" spans="2:29">
      <c r="B446" s="98">
        <v>476</v>
      </c>
      <c r="C446" s="98">
        <v>97</v>
      </c>
      <c r="D446" s="98">
        <v>450.6</v>
      </c>
      <c r="E446" s="98">
        <v>152.80000000000001</v>
      </c>
      <c r="F446" s="98">
        <v>157.80000000000001</v>
      </c>
      <c r="G446" s="98">
        <v>130</v>
      </c>
      <c r="H446" s="98">
        <v>97.4</v>
      </c>
      <c r="I446" s="98">
        <v>117.5</v>
      </c>
      <c r="J446" s="98">
        <v>153.80000000000001</v>
      </c>
      <c r="K446" s="209">
        <v>93.439999999999941</v>
      </c>
      <c r="L446" s="209">
        <v>101.43999999999994</v>
      </c>
      <c r="M446" s="209">
        <v>124.87999999999988</v>
      </c>
      <c r="N446" s="98"/>
      <c r="O446" s="98"/>
      <c r="P446" s="98"/>
      <c r="Q446" s="208">
        <v>82.920000000000044</v>
      </c>
      <c r="R446" s="98">
        <v>106.43999999999994</v>
      </c>
      <c r="S446" s="98">
        <v>119.95999999999984</v>
      </c>
      <c r="T446" s="98">
        <v>166.96000000000021</v>
      </c>
      <c r="U446" s="98">
        <v>82.920000000000044</v>
      </c>
      <c r="V446" s="98">
        <v>364.39999999999941</v>
      </c>
      <c r="W446" s="98">
        <v>499.60000000000059</v>
      </c>
      <c r="X446" s="98"/>
      <c r="Y446" s="98"/>
      <c r="Z446" s="98"/>
      <c r="AA446" s="230"/>
      <c r="AB446" s="230"/>
      <c r="AC446" s="230"/>
    </row>
    <row r="447" spans="2:29">
      <c r="B447" s="98">
        <v>477</v>
      </c>
      <c r="C447" s="98">
        <v>96.9</v>
      </c>
      <c r="D447" s="98">
        <v>449.1</v>
      </c>
      <c r="E447" s="98">
        <v>152.6</v>
      </c>
      <c r="F447" s="98">
        <v>157.69999999999999</v>
      </c>
      <c r="G447" s="98">
        <v>129.9</v>
      </c>
      <c r="H447" s="98">
        <v>97.4</v>
      </c>
      <c r="I447" s="98">
        <v>117.4</v>
      </c>
      <c r="J447" s="98">
        <v>153.69999999999999</v>
      </c>
      <c r="K447" s="208">
        <v>93.379999999999939</v>
      </c>
      <c r="L447" s="208">
        <v>101.37999999999994</v>
      </c>
      <c r="M447" s="208">
        <v>124.75999999999988</v>
      </c>
      <c r="N447" s="98"/>
      <c r="O447" s="98"/>
      <c r="P447" s="98"/>
      <c r="Q447" s="208">
        <v>82.840000000000046</v>
      </c>
      <c r="R447" s="98">
        <v>106.37999999999994</v>
      </c>
      <c r="S447" s="98">
        <v>119.91999999999983</v>
      </c>
      <c r="T447" s="98">
        <v>166.92000000000021</v>
      </c>
      <c r="U447" s="98">
        <v>82.840000000000046</v>
      </c>
      <c r="V447" s="98">
        <v>363.79999999999939</v>
      </c>
      <c r="W447" s="98">
        <v>499.20000000000061</v>
      </c>
      <c r="X447" s="98"/>
      <c r="Y447" s="98"/>
      <c r="Z447" s="98"/>
      <c r="AA447" s="230"/>
      <c r="AB447" s="230"/>
      <c r="AC447" s="230"/>
    </row>
    <row r="448" spans="2:29">
      <c r="B448" s="98">
        <v>478</v>
      </c>
      <c r="C448" s="98">
        <v>96.9</v>
      </c>
      <c r="D448" s="98">
        <v>447.7</v>
      </c>
      <c r="E448" s="98">
        <v>152.4</v>
      </c>
      <c r="F448" s="98">
        <v>157.5</v>
      </c>
      <c r="G448" s="98">
        <v>129.9</v>
      </c>
      <c r="H448" s="98">
        <v>97.3</v>
      </c>
      <c r="I448" s="98">
        <v>117.4</v>
      </c>
      <c r="J448" s="98">
        <v>153.5</v>
      </c>
      <c r="K448" s="209">
        <v>93.319999999999936</v>
      </c>
      <c r="L448" s="209">
        <v>101.31999999999994</v>
      </c>
      <c r="M448" s="209">
        <v>124.63999999999987</v>
      </c>
      <c r="N448" s="98"/>
      <c r="O448" s="98"/>
      <c r="P448" s="98"/>
      <c r="Q448" s="208">
        <v>82.760000000000048</v>
      </c>
      <c r="R448" s="98">
        <v>106.31999999999994</v>
      </c>
      <c r="S448" s="98">
        <v>119.87999999999982</v>
      </c>
      <c r="T448" s="98">
        <v>166.88000000000022</v>
      </c>
      <c r="U448" s="98">
        <v>82.760000000000048</v>
      </c>
      <c r="V448" s="98">
        <v>363.19999999999936</v>
      </c>
      <c r="W448" s="98">
        <v>498.80000000000064</v>
      </c>
      <c r="X448" s="98"/>
      <c r="Y448" s="98"/>
      <c r="Z448" s="98"/>
      <c r="AA448" s="230"/>
      <c r="AB448" s="230"/>
      <c r="AC448" s="230"/>
    </row>
    <row r="449" spans="2:29">
      <c r="B449" s="98">
        <v>479</v>
      </c>
      <c r="C449" s="98">
        <v>96.8</v>
      </c>
      <c r="D449" s="98">
        <v>446.2</v>
      </c>
      <c r="E449" s="98">
        <v>152.19999999999999</v>
      </c>
      <c r="F449" s="98">
        <v>157.4</v>
      </c>
      <c r="G449" s="98">
        <v>129.80000000000001</v>
      </c>
      <c r="H449" s="98">
        <v>97.2</v>
      </c>
      <c r="I449" s="98">
        <v>117.3</v>
      </c>
      <c r="J449" s="98">
        <v>153.4</v>
      </c>
      <c r="K449" s="208">
        <v>93.259999999999934</v>
      </c>
      <c r="L449" s="208">
        <v>101.25999999999993</v>
      </c>
      <c r="M449" s="208">
        <v>124.51999999999987</v>
      </c>
      <c r="N449" s="98"/>
      <c r="O449" s="98"/>
      <c r="P449" s="98"/>
      <c r="Q449" s="208">
        <v>82.680000000000049</v>
      </c>
      <c r="R449" s="98">
        <v>106.25999999999993</v>
      </c>
      <c r="S449" s="98">
        <v>119.83999999999982</v>
      </c>
      <c r="T449" s="98">
        <v>166.84000000000023</v>
      </c>
      <c r="U449" s="98">
        <v>82.680000000000049</v>
      </c>
      <c r="V449" s="98">
        <v>362.59999999999934</v>
      </c>
      <c r="W449" s="98">
        <v>498.40000000000066</v>
      </c>
      <c r="X449" s="98"/>
      <c r="Y449" s="98"/>
      <c r="Z449" s="98"/>
      <c r="AA449" s="230"/>
      <c r="AB449" s="230"/>
      <c r="AC449" s="230"/>
    </row>
    <row r="450" spans="2:29">
      <c r="B450" s="98">
        <v>480</v>
      </c>
      <c r="C450" s="98">
        <v>96.7</v>
      </c>
      <c r="D450" s="98">
        <v>444.8</v>
      </c>
      <c r="E450" s="98">
        <v>152</v>
      </c>
      <c r="F450" s="98">
        <v>157.19999999999999</v>
      </c>
      <c r="G450" s="98">
        <v>129.80000000000001</v>
      </c>
      <c r="H450" s="98">
        <v>97.1</v>
      </c>
      <c r="I450" s="98">
        <v>117.2</v>
      </c>
      <c r="J450" s="98">
        <v>153.19999999999999</v>
      </c>
      <c r="K450" s="209">
        <v>93.199999999999932</v>
      </c>
      <c r="L450" s="209">
        <v>101.19999999999993</v>
      </c>
      <c r="M450" s="209">
        <v>124.39999999999986</v>
      </c>
      <c r="N450" s="98"/>
      <c r="O450" s="98"/>
      <c r="P450" s="98"/>
      <c r="Q450" s="208">
        <v>82.600000000000051</v>
      </c>
      <c r="R450" s="98">
        <v>106.19999999999993</v>
      </c>
      <c r="S450" s="98">
        <v>119.79999999999981</v>
      </c>
      <c r="T450" s="98">
        <v>166.80000000000024</v>
      </c>
      <c r="U450" s="98">
        <v>82.600000000000051</v>
      </c>
      <c r="V450" s="98">
        <v>361.99999999999932</v>
      </c>
      <c r="W450" s="98">
        <v>498.00000000000068</v>
      </c>
      <c r="X450" s="98"/>
      <c r="Y450" s="98"/>
      <c r="Z450" s="98"/>
      <c r="AA450" s="230"/>
      <c r="AB450" s="230"/>
      <c r="AC450" s="230"/>
    </row>
    <row r="451" spans="2:29">
      <c r="B451" s="98">
        <v>481</v>
      </c>
      <c r="C451" s="98">
        <v>96.6</v>
      </c>
      <c r="D451" s="98">
        <v>443.4</v>
      </c>
      <c r="E451" s="98">
        <v>151.80000000000001</v>
      </c>
      <c r="F451" s="98">
        <v>157</v>
      </c>
      <c r="G451" s="98">
        <v>129.80000000000001</v>
      </c>
      <c r="H451" s="98">
        <v>97.1</v>
      </c>
      <c r="I451" s="98">
        <v>117.1</v>
      </c>
      <c r="J451" s="98">
        <v>153</v>
      </c>
      <c r="K451" s="208">
        <v>93.13999999999993</v>
      </c>
      <c r="L451" s="208">
        <v>101.13999999999993</v>
      </c>
      <c r="M451" s="208">
        <v>124.27999999999986</v>
      </c>
      <c r="N451" s="98"/>
      <c r="O451" s="98"/>
      <c r="P451" s="98"/>
      <c r="Q451" s="208">
        <v>82.520000000000053</v>
      </c>
      <c r="R451" s="98">
        <v>106.13999999999993</v>
      </c>
      <c r="S451" s="98">
        <v>119.75999999999981</v>
      </c>
      <c r="T451" s="98">
        <v>166.76000000000025</v>
      </c>
      <c r="U451" s="98">
        <v>82.520000000000053</v>
      </c>
      <c r="V451" s="98">
        <v>361.3999999999993</v>
      </c>
      <c r="W451" s="98">
        <v>497.6000000000007</v>
      </c>
      <c r="X451" s="98"/>
      <c r="Y451" s="98"/>
      <c r="Z451" s="98"/>
      <c r="AA451" s="230"/>
      <c r="AB451" s="230"/>
      <c r="AC451" s="230"/>
    </row>
    <row r="452" spans="2:29">
      <c r="B452" s="98">
        <v>482</v>
      </c>
      <c r="C452" s="98">
        <v>96.6</v>
      </c>
      <c r="D452" s="98">
        <v>441.9</v>
      </c>
      <c r="E452" s="98">
        <v>151.6</v>
      </c>
      <c r="F452" s="98">
        <v>156.9</v>
      </c>
      <c r="G452" s="98">
        <v>129.69999999999999</v>
      </c>
      <c r="H452" s="98">
        <v>97</v>
      </c>
      <c r="I452" s="98">
        <v>117.1</v>
      </c>
      <c r="J452" s="98">
        <v>152.9</v>
      </c>
      <c r="K452" s="209">
        <v>93.079999999999927</v>
      </c>
      <c r="L452" s="209">
        <v>101.07999999999993</v>
      </c>
      <c r="M452" s="209">
        <v>124.15999999999985</v>
      </c>
      <c r="N452" s="98"/>
      <c r="O452" s="98"/>
      <c r="P452" s="98"/>
      <c r="Q452" s="208">
        <v>82.440000000000055</v>
      </c>
      <c r="R452" s="98">
        <v>106.07999999999993</v>
      </c>
      <c r="S452" s="98">
        <v>119.7199999999998</v>
      </c>
      <c r="T452" s="98">
        <v>166.72000000000025</v>
      </c>
      <c r="U452" s="98">
        <v>82.440000000000055</v>
      </c>
      <c r="V452" s="98">
        <v>360.79999999999927</v>
      </c>
      <c r="W452" s="98">
        <v>497.20000000000073</v>
      </c>
      <c r="X452" s="98"/>
      <c r="Y452" s="98"/>
      <c r="Z452" s="98"/>
      <c r="AA452" s="230"/>
      <c r="AB452" s="230"/>
      <c r="AC452" s="230"/>
    </row>
    <row r="453" spans="2:29">
      <c r="B453" s="98">
        <v>483</v>
      </c>
      <c r="C453" s="98">
        <v>96.5</v>
      </c>
      <c r="D453" s="98">
        <v>440.5</v>
      </c>
      <c r="E453" s="98">
        <v>151.4</v>
      </c>
      <c r="F453" s="98">
        <v>156.69999999999999</v>
      </c>
      <c r="G453" s="98">
        <v>129.69999999999999</v>
      </c>
      <c r="H453" s="98">
        <v>96.9</v>
      </c>
      <c r="I453" s="98">
        <v>117</v>
      </c>
      <c r="J453" s="98">
        <v>152.69999999999999</v>
      </c>
      <c r="K453" s="208">
        <v>93.019999999999925</v>
      </c>
      <c r="L453" s="208">
        <v>101.01999999999992</v>
      </c>
      <c r="M453" s="208">
        <v>124.03999999999985</v>
      </c>
      <c r="N453" s="98"/>
      <c r="O453" s="98"/>
      <c r="P453" s="98"/>
      <c r="Q453" s="208">
        <v>82.360000000000056</v>
      </c>
      <c r="R453" s="98">
        <v>106.01999999999992</v>
      </c>
      <c r="S453" s="98">
        <v>119.67999999999979</v>
      </c>
      <c r="T453" s="98">
        <v>166.68000000000026</v>
      </c>
      <c r="U453" s="98">
        <v>82.360000000000056</v>
      </c>
      <c r="V453" s="98">
        <v>360.19999999999925</v>
      </c>
      <c r="W453" s="98">
        <v>496.80000000000075</v>
      </c>
      <c r="X453" s="98"/>
      <c r="Y453" s="98"/>
      <c r="Z453" s="98"/>
      <c r="AA453" s="230"/>
      <c r="AB453" s="230"/>
      <c r="AC453" s="230"/>
    </row>
    <row r="454" spans="2:29">
      <c r="B454" s="98">
        <v>484</v>
      </c>
      <c r="C454" s="98">
        <v>96.4</v>
      </c>
      <c r="D454" s="98">
        <v>439</v>
      </c>
      <c r="E454" s="98">
        <v>151.19999999999999</v>
      </c>
      <c r="F454" s="98">
        <v>156.6</v>
      </c>
      <c r="G454" s="98">
        <v>129.6</v>
      </c>
      <c r="H454" s="98">
        <v>96.9</v>
      </c>
      <c r="I454" s="98">
        <v>116.9</v>
      </c>
      <c r="J454" s="98">
        <v>152.6</v>
      </c>
      <c r="K454" s="209">
        <v>92.959999999999923</v>
      </c>
      <c r="L454" s="209">
        <v>100.95999999999992</v>
      </c>
      <c r="M454" s="209">
        <v>123.91999999999985</v>
      </c>
      <c r="N454" s="98"/>
      <c r="O454" s="98"/>
      <c r="P454" s="98"/>
      <c r="Q454" s="208">
        <v>82.280000000000058</v>
      </c>
      <c r="R454" s="98">
        <v>105.95999999999992</v>
      </c>
      <c r="S454" s="98">
        <v>119.63999999999979</v>
      </c>
      <c r="T454" s="98">
        <v>166.64000000000027</v>
      </c>
      <c r="U454" s="98">
        <v>82.280000000000058</v>
      </c>
      <c r="V454" s="98">
        <v>359.59999999999923</v>
      </c>
      <c r="W454" s="98">
        <v>496.40000000000077</v>
      </c>
      <c r="X454" s="98"/>
      <c r="Y454" s="98"/>
      <c r="Z454" s="98"/>
      <c r="AA454" s="230"/>
      <c r="AB454" s="230"/>
      <c r="AC454" s="230"/>
    </row>
    <row r="455" spans="2:29">
      <c r="B455" s="98">
        <v>485</v>
      </c>
      <c r="C455" s="98">
        <v>96.3</v>
      </c>
      <c r="D455" s="98">
        <v>437.6</v>
      </c>
      <c r="E455" s="98">
        <v>151</v>
      </c>
      <c r="F455" s="98">
        <v>156.4</v>
      </c>
      <c r="G455" s="98">
        <v>129.6</v>
      </c>
      <c r="H455" s="98">
        <v>96.8</v>
      </c>
      <c r="I455" s="98">
        <v>116.9</v>
      </c>
      <c r="J455" s="98">
        <v>152.4</v>
      </c>
      <c r="K455" s="208">
        <v>92.89999999999992</v>
      </c>
      <c r="L455" s="208">
        <v>100.89999999999992</v>
      </c>
      <c r="M455" s="208">
        <v>123.79999999999984</v>
      </c>
      <c r="N455" s="98"/>
      <c r="O455" s="98"/>
      <c r="P455" s="98"/>
      <c r="Q455" s="208">
        <v>82.20000000000006</v>
      </c>
      <c r="R455" s="98">
        <v>105.89999999999992</v>
      </c>
      <c r="S455" s="98">
        <v>119.59999999999978</v>
      </c>
      <c r="T455" s="98">
        <v>166.60000000000028</v>
      </c>
      <c r="U455" s="98">
        <v>82.20000000000006</v>
      </c>
      <c r="V455" s="98">
        <v>358.9999999999992</v>
      </c>
      <c r="W455" s="98">
        <v>496.0000000000008</v>
      </c>
      <c r="X455" s="98"/>
      <c r="Y455" s="98"/>
      <c r="Z455" s="98"/>
      <c r="AA455" s="230"/>
      <c r="AB455" s="230"/>
      <c r="AC455" s="230"/>
    </row>
    <row r="456" spans="2:29">
      <c r="B456" s="98">
        <v>486</v>
      </c>
      <c r="C456" s="98">
        <v>96.3</v>
      </c>
      <c r="D456" s="98">
        <v>436.2</v>
      </c>
      <c r="E456" s="98">
        <v>150.80000000000001</v>
      </c>
      <c r="F456" s="98">
        <v>156.19999999999999</v>
      </c>
      <c r="G456" s="98">
        <v>129.6</v>
      </c>
      <c r="H456" s="98">
        <v>96.7</v>
      </c>
      <c r="I456" s="98">
        <v>116.8</v>
      </c>
      <c r="J456" s="98">
        <v>152.19999999999999</v>
      </c>
      <c r="K456" s="209">
        <v>92.839999999999918</v>
      </c>
      <c r="L456" s="209">
        <v>100.83999999999992</v>
      </c>
      <c r="M456" s="209">
        <v>123.67999999999984</v>
      </c>
      <c r="N456" s="98"/>
      <c r="O456" s="98"/>
      <c r="P456" s="98"/>
      <c r="Q456" s="208">
        <v>82.120000000000061</v>
      </c>
      <c r="R456" s="98">
        <v>105.83999999999992</v>
      </c>
      <c r="S456" s="98">
        <v>119.55999999999977</v>
      </c>
      <c r="T456" s="98">
        <v>166.56000000000029</v>
      </c>
      <c r="U456" s="98">
        <v>82.120000000000061</v>
      </c>
      <c r="V456" s="98">
        <v>358.39999999999918</v>
      </c>
      <c r="W456" s="98">
        <v>495.60000000000082</v>
      </c>
      <c r="X456" s="98"/>
      <c r="Y456" s="98"/>
      <c r="Z456" s="98"/>
      <c r="AA456" s="230"/>
      <c r="AB456" s="230"/>
      <c r="AC456" s="230"/>
    </row>
    <row r="457" spans="2:29">
      <c r="B457" s="98">
        <v>487</v>
      </c>
      <c r="C457" s="98">
        <v>96.2</v>
      </c>
      <c r="D457" s="98">
        <v>434.7</v>
      </c>
      <c r="E457" s="98">
        <v>150.6</v>
      </c>
      <c r="F457" s="98">
        <v>156.1</v>
      </c>
      <c r="G457" s="98">
        <v>129.5</v>
      </c>
      <c r="H457" s="98">
        <v>96.6</v>
      </c>
      <c r="I457" s="98">
        <v>116.7</v>
      </c>
      <c r="J457" s="98">
        <v>152.1</v>
      </c>
      <c r="K457" s="208">
        <v>92.779999999999916</v>
      </c>
      <c r="L457" s="208">
        <v>100.77999999999992</v>
      </c>
      <c r="M457" s="208">
        <v>123.55999999999983</v>
      </c>
      <c r="N457" s="98"/>
      <c r="O457" s="98"/>
      <c r="P457" s="98"/>
      <c r="Q457" s="208">
        <v>82.040000000000063</v>
      </c>
      <c r="R457" s="98">
        <v>105.77999999999992</v>
      </c>
      <c r="S457" s="98">
        <v>119.51999999999977</v>
      </c>
      <c r="T457" s="98">
        <v>166.52000000000029</v>
      </c>
      <c r="U457" s="98">
        <v>82.040000000000063</v>
      </c>
      <c r="V457" s="98">
        <v>357.79999999999916</v>
      </c>
      <c r="W457" s="98">
        <v>495.20000000000084</v>
      </c>
      <c r="X457" s="98"/>
      <c r="Y457" s="98"/>
      <c r="Z457" s="98"/>
      <c r="AA457" s="230"/>
      <c r="AB457" s="230"/>
      <c r="AC457" s="230"/>
    </row>
    <row r="458" spans="2:29">
      <c r="B458" s="98">
        <v>488</v>
      </c>
      <c r="C458" s="98">
        <v>96.1</v>
      </c>
      <c r="D458" s="98">
        <v>433.3</v>
      </c>
      <c r="E458" s="98">
        <v>150.4</v>
      </c>
      <c r="F458" s="98">
        <v>155.9</v>
      </c>
      <c r="G458" s="98">
        <v>129.5</v>
      </c>
      <c r="H458" s="98">
        <v>96.6</v>
      </c>
      <c r="I458" s="98">
        <v>116.6</v>
      </c>
      <c r="J458" s="98">
        <v>151.9</v>
      </c>
      <c r="K458" s="209">
        <v>92.719999999999914</v>
      </c>
      <c r="L458" s="209">
        <v>100.71999999999991</v>
      </c>
      <c r="M458" s="209">
        <v>123.43999999999983</v>
      </c>
      <c r="N458" s="98"/>
      <c r="O458" s="98"/>
      <c r="P458" s="98"/>
      <c r="Q458" s="208">
        <v>81.960000000000065</v>
      </c>
      <c r="R458" s="98">
        <v>105.71999999999991</v>
      </c>
      <c r="S458" s="98">
        <v>119.47999999999976</v>
      </c>
      <c r="T458" s="98">
        <v>166.4800000000003</v>
      </c>
      <c r="U458" s="98">
        <v>81.960000000000065</v>
      </c>
      <c r="V458" s="98">
        <v>357.19999999999914</v>
      </c>
      <c r="W458" s="98">
        <v>494.80000000000086</v>
      </c>
      <c r="X458" s="98"/>
      <c r="Y458" s="98"/>
      <c r="Z458" s="98"/>
      <c r="AA458" s="230"/>
      <c r="AB458" s="230"/>
      <c r="AC458" s="230"/>
    </row>
    <row r="459" spans="2:29">
      <c r="B459" s="98">
        <v>489</v>
      </c>
      <c r="C459" s="98">
        <v>96</v>
      </c>
      <c r="D459" s="98">
        <v>431.8</v>
      </c>
      <c r="E459" s="98">
        <v>150.19999999999999</v>
      </c>
      <c r="F459" s="98">
        <v>155.80000000000001</v>
      </c>
      <c r="G459" s="98">
        <v>129.4</v>
      </c>
      <c r="H459" s="98">
        <v>96.5</v>
      </c>
      <c r="I459" s="98">
        <v>116.6</v>
      </c>
      <c r="J459" s="98">
        <v>151.80000000000001</v>
      </c>
      <c r="K459" s="208">
        <v>92.659999999999911</v>
      </c>
      <c r="L459" s="208">
        <v>100.65999999999991</v>
      </c>
      <c r="M459" s="208">
        <v>123.31999999999982</v>
      </c>
      <c r="N459" s="98"/>
      <c r="O459" s="98"/>
      <c r="P459" s="98"/>
      <c r="Q459" s="208">
        <v>81.880000000000067</v>
      </c>
      <c r="R459" s="98">
        <v>105.65999999999991</v>
      </c>
      <c r="S459" s="98">
        <v>119.43999999999976</v>
      </c>
      <c r="T459" s="98">
        <v>166.44000000000031</v>
      </c>
      <c r="U459" s="98">
        <v>81.880000000000067</v>
      </c>
      <c r="V459" s="98">
        <v>356.59999999999911</v>
      </c>
      <c r="W459" s="98">
        <v>494.40000000000089</v>
      </c>
      <c r="X459" s="98"/>
      <c r="Y459" s="98"/>
      <c r="Z459" s="98"/>
      <c r="AA459" s="230"/>
      <c r="AB459" s="230"/>
      <c r="AC459" s="230"/>
    </row>
    <row r="460" spans="2:29">
      <c r="B460" s="98">
        <v>490</v>
      </c>
      <c r="C460" s="98">
        <v>96</v>
      </c>
      <c r="D460" s="98">
        <v>430.4</v>
      </c>
      <c r="E460" s="98">
        <v>150</v>
      </c>
      <c r="F460" s="98">
        <v>155.6</v>
      </c>
      <c r="G460" s="98">
        <v>129.4</v>
      </c>
      <c r="H460" s="98">
        <v>96.4</v>
      </c>
      <c r="I460" s="98">
        <v>116.5</v>
      </c>
      <c r="J460" s="98">
        <v>151.6</v>
      </c>
      <c r="K460" s="209">
        <v>92.599999999999909</v>
      </c>
      <c r="L460" s="209">
        <v>100.59999999999991</v>
      </c>
      <c r="M460" s="209">
        <v>123.19999999999982</v>
      </c>
      <c r="N460" s="98"/>
      <c r="O460" s="98"/>
      <c r="P460" s="98"/>
      <c r="Q460" s="208">
        <v>81.800000000000068</v>
      </c>
      <c r="R460" s="98">
        <v>105.59999999999991</v>
      </c>
      <c r="S460" s="98">
        <v>119.39999999999975</v>
      </c>
      <c r="T460" s="98">
        <v>166.40000000000032</v>
      </c>
      <c r="U460" s="98">
        <v>81.800000000000068</v>
      </c>
      <c r="V460" s="98">
        <v>355.99999999999909</v>
      </c>
      <c r="W460" s="98">
        <v>494.00000000000091</v>
      </c>
      <c r="X460" s="98"/>
      <c r="Y460" s="98"/>
      <c r="Z460" s="98"/>
      <c r="AA460" s="230"/>
      <c r="AB460" s="230"/>
      <c r="AC460" s="230"/>
    </row>
    <row r="461" spans="2:29">
      <c r="B461" s="98">
        <v>491</v>
      </c>
      <c r="C461" s="98">
        <v>95.9</v>
      </c>
      <c r="D461" s="98">
        <v>429</v>
      </c>
      <c r="E461" s="98">
        <v>149.80000000000001</v>
      </c>
      <c r="F461" s="98">
        <v>155.4</v>
      </c>
      <c r="G461" s="98">
        <v>129.4</v>
      </c>
      <c r="H461" s="98">
        <v>96.4</v>
      </c>
      <c r="I461" s="98">
        <v>116.4</v>
      </c>
      <c r="J461" s="98">
        <v>151.4</v>
      </c>
      <c r="K461" s="208">
        <v>92.539999999999907</v>
      </c>
      <c r="L461" s="208">
        <v>100.53999999999991</v>
      </c>
      <c r="M461" s="208">
        <v>123.07999999999981</v>
      </c>
      <c r="N461" s="98"/>
      <c r="O461" s="98"/>
      <c r="P461" s="98"/>
      <c r="Q461" s="208">
        <v>81.72000000000007</v>
      </c>
      <c r="R461" s="98">
        <v>105.53999999999991</v>
      </c>
      <c r="S461" s="98">
        <v>119.35999999999974</v>
      </c>
      <c r="T461" s="98">
        <v>166.36000000000033</v>
      </c>
      <c r="U461" s="98">
        <v>81.72000000000007</v>
      </c>
      <c r="V461" s="98">
        <v>355.39999999999907</v>
      </c>
      <c r="W461" s="98">
        <v>493.60000000000093</v>
      </c>
      <c r="X461" s="98"/>
      <c r="Y461" s="98"/>
      <c r="Z461" s="98"/>
      <c r="AA461" s="230"/>
      <c r="AB461" s="230"/>
      <c r="AC461" s="230"/>
    </row>
    <row r="462" spans="2:29">
      <c r="B462" s="98">
        <v>492</v>
      </c>
      <c r="C462" s="98">
        <v>95.8</v>
      </c>
      <c r="D462" s="98">
        <v>427.5</v>
      </c>
      <c r="E462" s="98">
        <v>149.6</v>
      </c>
      <c r="F462" s="98">
        <v>155.30000000000001</v>
      </c>
      <c r="G462" s="98">
        <v>129.30000000000001</v>
      </c>
      <c r="H462" s="98">
        <v>96.3</v>
      </c>
      <c r="I462" s="98">
        <v>116.4</v>
      </c>
      <c r="J462" s="98">
        <v>151.30000000000001</v>
      </c>
      <c r="K462" s="209">
        <v>92.479999999999905</v>
      </c>
      <c r="L462" s="209">
        <v>100.4799999999999</v>
      </c>
      <c r="M462" s="209">
        <v>122.95999999999981</v>
      </c>
      <c r="N462" s="98"/>
      <c r="O462" s="98"/>
      <c r="P462" s="98"/>
      <c r="Q462" s="208">
        <v>81.640000000000072</v>
      </c>
      <c r="R462" s="98">
        <v>105.4799999999999</v>
      </c>
      <c r="S462" s="98">
        <v>119.31999999999974</v>
      </c>
      <c r="T462" s="98">
        <v>166.32000000000033</v>
      </c>
      <c r="U462" s="98">
        <v>81.640000000000072</v>
      </c>
      <c r="V462" s="98">
        <v>354.79999999999905</v>
      </c>
      <c r="W462" s="98">
        <v>493.20000000000095</v>
      </c>
      <c r="X462" s="98"/>
      <c r="Y462" s="98"/>
      <c r="Z462" s="98"/>
      <c r="AA462" s="230"/>
      <c r="AB462" s="230"/>
      <c r="AC462" s="230"/>
    </row>
    <row r="463" spans="2:29">
      <c r="B463" s="98">
        <v>493</v>
      </c>
      <c r="C463" s="98">
        <v>95.7</v>
      </c>
      <c r="D463" s="98">
        <v>426.1</v>
      </c>
      <c r="E463" s="98">
        <v>149.4</v>
      </c>
      <c r="F463" s="98">
        <v>155.1</v>
      </c>
      <c r="G463" s="98">
        <v>129.30000000000001</v>
      </c>
      <c r="H463" s="98">
        <v>96.2</v>
      </c>
      <c r="I463" s="98">
        <v>116.3</v>
      </c>
      <c r="J463" s="98">
        <v>151.1</v>
      </c>
      <c r="K463" s="208">
        <v>92.419999999999902</v>
      </c>
      <c r="L463" s="208">
        <v>100.4199999999999</v>
      </c>
      <c r="M463" s="208">
        <v>122.8399999999998</v>
      </c>
      <c r="N463" s="98"/>
      <c r="O463" s="98"/>
      <c r="P463" s="98"/>
      <c r="Q463" s="208">
        <v>81.560000000000073</v>
      </c>
      <c r="R463" s="98">
        <v>105.4199999999999</v>
      </c>
      <c r="S463" s="98">
        <v>119.27999999999973</v>
      </c>
      <c r="T463" s="98">
        <v>166.28000000000034</v>
      </c>
      <c r="U463" s="98">
        <v>81.560000000000073</v>
      </c>
      <c r="V463" s="98">
        <v>354.19999999999902</v>
      </c>
      <c r="W463" s="98">
        <v>492.80000000000098</v>
      </c>
      <c r="X463" s="98"/>
      <c r="Y463" s="98"/>
      <c r="Z463" s="98"/>
      <c r="AA463" s="230"/>
      <c r="AB463" s="230"/>
      <c r="AC463" s="230"/>
    </row>
    <row r="464" spans="2:29">
      <c r="B464" s="98">
        <v>494</v>
      </c>
      <c r="C464" s="98">
        <v>95.7</v>
      </c>
      <c r="D464" s="98">
        <v>424.6</v>
      </c>
      <c r="E464" s="98">
        <v>149.19999999999999</v>
      </c>
      <c r="F464" s="98">
        <v>155</v>
      </c>
      <c r="G464" s="98">
        <v>129.19999999999999</v>
      </c>
      <c r="H464" s="98">
        <v>96.1</v>
      </c>
      <c r="I464" s="98">
        <v>116.2</v>
      </c>
      <c r="J464" s="98">
        <v>151</v>
      </c>
      <c r="K464" s="209">
        <v>92.3599999999999</v>
      </c>
      <c r="L464" s="209">
        <v>100.3599999999999</v>
      </c>
      <c r="M464" s="209">
        <v>122.7199999999998</v>
      </c>
      <c r="N464" s="98"/>
      <c r="O464" s="98"/>
      <c r="P464" s="98"/>
      <c r="Q464" s="208">
        <v>81.480000000000075</v>
      </c>
      <c r="R464" s="98">
        <v>105.3599999999999</v>
      </c>
      <c r="S464" s="98">
        <v>119.23999999999972</v>
      </c>
      <c r="T464" s="98">
        <v>166.24000000000035</v>
      </c>
      <c r="U464" s="98">
        <v>81.480000000000075</v>
      </c>
      <c r="V464" s="98">
        <v>353.599999999999</v>
      </c>
      <c r="W464" s="98">
        <v>492.400000000001</v>
      </c>
      <c r="X464" s="98"/>
      <c r="Y464" s="98"/>
      <c r="Z464" s="98"/>
      <c r="AA464" s="230"/>
      <c r="AB464" s="230"/>
      <c r="AC464" s="230"/>
    </row>
    <row r="465" spans="2:29">
      <c r="B465" s="98">
        <v>495</v>
      </c>
      <c r="C465" s="98">
        <v>95.6</v>
      </c>
      <c r="D465" s="98">
        <v>423.2</v>
      </c>
      <c r="E465" s="98">
        <v>149</v>
      </c>
      <c r="F465" s="98">
        <v>154.80000000000001</v>
      </c>
      <c r="G465" s="98">
        <v>129.19999999999999</v>
      </c>
      <c r="H465" s="98">
        <v>96.1</v>
      </c>
      <c r="I465" s="98">
        <v>116.1</v>
      </c>
      <c r="J465" s="98">
        <v>150.80000000000001</v>
      </c>
      <c r="K465" s="208">
        <v>92.299999999999898</v>
      </c>
      <c r="L465" s="208">
        <v>100.2999999999999</v>
      </c>
      <c r="M465" s="208">
        <v>122.5999999999998</v>
      </c>
      <c r="N465" s="98"/>
      <c r="O465" s="98"/>
      <c r="P465" s="98"/>
      <c r="Q465" s="208">
        <v>81.400000000000077</v>
      </c>
      <c r="R465" s="98">
        <v>105.2999999999999</v>
      </c>
      <c r="S465" s="98">
        <v>119.19999999999972</v>
      </c>
      <c r="T465" s="98">
        <v>166.20000000000036</v>
      </c>
      <c r="U465" s="98">
        <v>81.400000000000077</v>
      </c>
      <c r="V465" s="98">
        <v>352.99999999999898</v>
      </c>
      <c r="W465" s="98">
        <v>492.00000000000102</v>
      </c>
      <c r="X465" s="98"/>
      <c r="Y465" s="98"/>
      <c r="Z465" s="98"/>
      <c r="AA465" s="230"/>
      <c r="AB465" s="230"/>
      <c r="AC465" s="230"/>
    </row>
    <row r="466" spans="2:29">
      <c r="B466" s="98">
        <v>496</v>
      </c>
      <c r="C466" s="98">
        <v>95.5</v>
      </c>
      <c r="D466" s="98">
        <v>421.8</v>
      </c>
      <c r="E466" s="98">
        <v>148.80000000000001</v>
      </c>
      <c r="F466" s="98">
        <v>154.6</v>
      </c>
      <c r="G466" s="98">
        <v>129.19999999999999</v>
      </c>
      <c r="H466" s="98">
        <v>96</v>
      </c>
      <c r="I466" s="98">
        <v>116.1</v>
      </c>
      <c r="J466" s="98">
        <v>150.6</v>
      </c>
      <c r="K466" s="209">
        <v>92.239999999999895</v>
      </c>
      <c r="L466" s="209">
        <v>100.2399999999999</v>
      </c>
      <c r="M466" s="209">
        <v>122.47999999999979</v>
      </c>
      <c r="N466" s="98"/>
      <c r="O466" s="98"/>
      <c r="P466" s="98"/>
      <c r="Q466" s="208">
        <v>81.320000000000078</v>
      </c>
      <c r="R466" s="98">
        <v>105.2399999999999</v>
      </c>
      <c r="S466" s="98">
        <v>119.15999999999971</v>
      </c>
      <c r="T466" s="98">
        <v>166.16000000000037</v>
      </c>
      <c r="U466" s="98">
        <v>81.320000000000078</v>
      </c>
      <c r="V466" s="98">
        <v>352.39999999999895</v>
      </c>
      <c r="W466" s="98">
        <v>491.60000000000105</v>
      </c>
      <c r="X466" s="98"/>
      <c r="Y466" s="98"/>
      <c r="Z466" s="98"/>
      <c r="AA466" s="230"/>
      <c r="AB466" s="230"/>
      <c r="AC466" s="230"/>
    </row>
    <row r="467" spans="2:29">
      <c r="B467" s="98">
        <v>497</v>
      </c>
      <c r="C467" s="98">
        <v>95.4</v>
      </c>
      <c r="D467" s="98">
        <v>420.3</v>
      </c>
      <c r="E467" s="98">
        <v>148.6</v>
      </c>
      <c r="F467" s="98">
        <v>154.5</v>
      </c>
      <c r="G467" s="98">
        <v>129.1</v>
      </c>
      <c r="H467" s="98">
        <v>95.9</v>
      </c>
      <c r="I467" s="98">
        <v>116</v>
      </c>
      <c r="J467" s="98">
        <v>150.5</v>
      </c>
      <c r="K467" s="208">
        <v>92.179999999999893</v>
      </c>
      <c r="L467" s="208">
        <v>100.17999999999989</v>
      </c>
      <c r="M467" s="208">
        <v>122.35999999999979</v>
      </c>
      <c r="N467" s="98"/>
      <c r="O467" s="98"/>
      <c r="P467" s="98"/>
      <c r="Q467" s="208">
        <v>81.24000000000008</v>
      </c>
      <c r="R467" s="98">
        <v>105.17999999999989</v>
      </c>
      <c r="S467" s="98">
        <v>119.11999999999971</v>
      </c>
      <c r="T467" s="98">
        <v>166.12000000000037</v>
      </c>
      <c r="U467" s="98">
        <v>81.24000000000008</v>
      </c>
      <c r="V467" s="98">
        <v>351.79999999999893</v>
      </c>
      <c r="W467" s="98">
        <v>491.20000000000107</v>
      </c>
      <c r="X467" s="98"/>
      <c r="Y467" s="98"/>
      <c r="Z467" s="98"/>
      <c r="AA467" s="230"/>
      <c r="AB467" s="230"/>
      <c r="AC467" s="230"/>
    </row>
    <row r="468" spans="2:29">
      <c r="B468" s="98">
        <v>498</v>
      </c>
      <c r="C468" s="98">
        <v>95.4</v>
      </c>
      <c r="D468" s="98">
        <v>418.9</v>
      </c>
      <c r="E468" s="98">
        <v>148.4</v>
      </c>
      <c r="F468" s="98">
        <v>154.30000000000001</v>
      </c>
      <c r="G468" s="98">
        <v>129.1</v>
      </c>
      <c r="H468" s="98">
        <v>95.9</v>
      </c>
      <c r="I468" s="98">
        <v>115.9</v>
      </c>
      <c r="J468" s="98">
        <v>150.30000000000001</v>
      </c>
      <c r="K468" s="209">
        <v>92.119999999999891</v>
      </c>
      <c r="L468" s="209">
        <v>100.11999999999989</v>
      </c>
      <c r="M468" s="209">
        <v>122.23999999999978</v>
      </c>
      <c r="N468" s="98"/>
      <c r="O468" s="98"/>
      <c r="P468" s="98"/>
      <c r="Q468" s="208">
        <v>81.160000000000082</v>
      </c>
      <c r="R468" s="98">
        <v>105.11999999999989</v>
      </c>
      <c r="S468" s="98">
        <v>119.0799999999997</v>
      </c>
      <c r="T468" s="98">
        <v>166.08000000000038</v>
      </c>
      <c r="U468" s="98">
        <v>81.160000000000082</v>
      </c>
      <c r="V468" s="98">
        <v>351.19999999999891</v>
      </c>
      <c r="W468" s="98">
        <v>490.80000000000109</v>
      </c>
      <c r="X468" s="98"/>
      <c r="Y468" s="98"/>
      <c r="Z468" s="98"/>
      <c r="AA468" s="230"/>
      <c r="AB468" s="230"/>
      <c r="AC468" s="230"/>
    </row>
    <row r="469" spans="2:29">
      <c r="B469" s="98">
        <v>499</v>
      </c>
      <c r="C469" s="98">
        <v>95.3</v>
      </c>
      <c r="D469" s="98">
        <v>417.4</v>
      </c>
      <c r="E469" s="98">
        <v>148.19999999999999</v>
      </c>
      <c r="F469" s="98">
        <v>154.19999999999999</v>
      </c>
      <c r="G469" s="98">
        <v>129</v>
      </c>
      <c r="H469" s="98">
        <v>95.8</v>
      </c>
      <c r="I469" s="98">
        <v>115.9</v>
      </c>
      <c r="J469" s="98">
        <v>150.19999999999999</v>
      </c>
      <c r="K469" s="208">
        <v>92.059999999999889</v>
      </c>
      <c r="L469" s="208">
        <v>100.05999999999989</v>
      </c>
      <c r="M469" s="208">
        <v>122.11999999999978</v>
      </c>
      <c r="N469" s="98"/>
      <c r="O469" s="98"/>
      <c r="P469" s="98"/>
      <c r="Q469" s="208">
        <v>81.080000000000084</v>
      </c>
      <c r="R469" s="98">
        <v>105.05999999999989</v>
      </c>
      <c r="S469" s="98">
        <v>119.03999999999969</v>
      </c>
      <c r="T469" s="98">
        <v>166.04000000000039</v>
      </c>
      <c r="U469" s="98">
        <v>81.080000000000084</v>
      </c>
      <c r="V469" s="98">
        <v>350.59999999999889</v>
      </c>
      <c r="W469" s="98">
        <v>490.40000000000111</v>
      </c>
      <c r="X469" s="98"/>
      <c r="Y469" s="98"/>
      <c r="Z469" s="98"/>
      <c r="AA469" s="230"/>
      <c r="AB469" s="230"/>
      <c r="AC469" s="230"/>
    </row>
    <row r="470" spans="2:29">
      <c r="B470" s="98">
        <v>500</v>
      </c>
      <c r="C470" s="98">
        <v>95.2</v>
      </c>
      <c r="D470" s="98">
        <v>416</v>
      </c>
      <c r="E470" s="98">
        <v>148</v>
      </c>
      <c r="F470" s="98">
        <v>154</v>
      </c>
      <c r="G470" s="98">
        <v>129</v>
      </c>
      <c r="H470" s="98">
        <v>95.7</v>
      </c>
      <c r="I470" s="98">
        <v>115.8</v>
      </c>
      <c r="J470" s="98">
        <v>150</v>
      </c>
      <c r="K470" s="210">
        <v>92</v>
      </c>
      <c r="L470" s="210">
        <v>99.999999999999886</v>
      </c>
      <c r="M470" s="210">
        <v>121.99999999999977</v>
      </c>
      <c r="N470" s="98"/>
      <c r="O470" s="98"/>
      <c r="P470" s="98"/>
      <c r="Q470" s="210">
        <v>81</v>
      </c>
      <c r="R470" s="98">
        <v>105</v>
      </c>
      <c r="S470" s="98">
        <v>119</v>
      </c>
      <c r="T470" s="98">
        <v>166</v>
      </c>
      <c r="U470" s="98">
        <v>81</v>
      </c>
      <c r="V470" s="98">
        <v>350</v>
      </c>
      <c r="W470" s="98">
        <v>490</v>
      </c>
      <c r="X470" s="98"/>
      <c r="Y470" s="98"/>
      <c r="Z470" s="98"/>
      <c r="AA470" s="230"/>
      <c r="AB470" s="230">
        <v>375</v>
      </c>
      <c r="AC470" s="230"/>
    </row>
    <row r="471" spans="2:29">
      <c r="B471" s="98">
        <v>501</v>
      </c>
      <c r="C471" s="98"/>
      <c r="D471" s="98"/>
      <c r="E471" s="98"/>
      <c r="F471" s="98"/>
      <c r="G471" s="98"/>
      <c r="H471" s="98"/>
      <c r="I471" s="98"/>
      <c r="J471" s="98"/>
      <c r="K471" s="98">
        <v>91.96</v>
      </c>
      <c r="L471" s="98"/>
      <c r="M471" s="98"/>
      <c r="N471" s="98"/>
      <c r="O471" s="98"/>
      <c r="P471" s="98"/>
      <c r="Q471" s="98"/>
      <c r="R471" s="98"/>
      <c r="S471" s="98"/>
      <c r="T471" s="98"/>
      <c r="U471" s="98"/>
      <c r="V471" s="98"/>
      <c r="W471" s="98">
        <v>489.4</v>
      </c>
      <c r="X471" s="98"/>
      <c r="Y471" s="98"/>
      <c r="Z471" s="98"/>
      <c r="AA471" s="230"/>
      <c r="AB471" s="230"/>
      <c r="AC471" s="230"/>
    </row>
    <row r="472" spans="2:29">
      <c r="B472" s="98">
        <v>502</v>
      </c>
      <c r="C472" s="98"/>
      <c r="D472" s="98"/>
      <c r="E472" s="98"/>
      <c r="F472" s="98"/>
      <c r="G472" s="98"/>
      <c r="H472" s="98"/>
      <c r="I472" s="98"/>
      <c r="J472" s="98"/>
      <c r="K472" s="98">
        <v>91.919999999999987</v>
      </c>
      <c r="L472" s="98"/>
      <c r="M472" s="98"/>
      <c r="N472" s="98"/>
      <c r="O472" s="98"/>
      <c r="P472" s="98"/>
      <c r="Q472" s="98"/>
      <c r="R472" s="98"/>
      <c r="S472" s="98"/>
      <c r="T472" s="98"/>
      <c r="U472" s="98"/>
      <c r="V472" s="98"/>
      <c r="W472" s="98">
        <v>488.79999999999995</v>
      </c>
      <c r="X472" s="98"/>
      <c r="Y472" s="98"/>
      <c r="Z472" s="98"/>
      <c r="AA472" s="230"/>
      <c r="AB472" s="230"/>
      <c r="AC472" s="230"/>
    </row>
    <row r="473" spans="2:29">
      <c r="B473" s="98">
        <v>503</v>
      </c>
      <c r="C473" s="98"/>
      <c r="D473" s="98"/>
      <c r="E473" s="98"/>
      <c r="F473" s="98"/>
      <c r="G473" s="98"/>
      <c r="H473" s="98"/>
      <c r="I473" s="98"/>
      <c r="J473" s="98"/>
      <c r="K473" s="98">
        <v>91.879999999999981</v>
      </c>
      <c r="L473" s="98"/>
      <c r="M473" s="98"/>
      <c r="N473" s="98"/>
      <c r="O473" s="98"/>
      <c r="P473" s="98"/>
      <c r="Q473" s="98"/>
      <c r="R473" s="98"/>
      <c r="S473" s="98"/>
      <c r="T473" s="98"/>
      <c r="U473" s="98"/>
      <c r="V473" s="98"/>
      <c r="W473" s="98">
        <v>488.19999999999993</v>
      </c>
      <c r="X473" s="98"/>
      <c r="Y473" s="98"/>
      <c r="Z473" s="98"/>
      <c r="AA473" s="230"/>
      <c r="AB473" s="230"/>
      <c r="AC473" s="230"/>
    </row>
    <row r="474" spans="2:29">
      <c r="B474" s="98">
        <v>504</v>
      </c>
      <c r="C474" s="98"/>
      <c r="D474" s="98"/>
      <c r="E474" s="98"/>
      <c r="F474" s="98"/>
      <c r="G474" s="98"/>
      <c r="H474" s="98"/>
      <c r="I474" s="98"/>
      <c r="J474" s="98"/>
      <c r="K474" s="98">
        <v>91.839999999999975</v>
      </c>
      <c r="L474" s="98"/>
      <c r="M474" s="98"/>
      <c r="N474" s="98"/>
      <c r="O474" s="98"/>
      <c r="P474" s="98"/>
      <c r="Q474" s="98"/>
      <c r="R474" s="98"/>
      <c r="S474" s="98"/>
      <c r="T474" s="98"/>
      <c r="U474" s="98"/>
      <c r="V474" s="98"/>
      <c r="W474" s="98">
        <v>487.59999999999991</v>
      </c>
      <c r="X474" s="98"/>
      <c r="Y474" s="98"/>
      <c r="Z474" s="98"/>
      <c r="AA474" s="230"/>
      <c r="AB474" s="230"/>
      <c r="AC474" s="230"/>
    </row>
    <row r="475" spans="2:29">
      <c r="B475" s="98">
        <v>505</v>
      </c>
      <c r="C475" s="98"/>
      <c r="D475" s="98"/>
      <c r="E475" s="98"/>
      <c r="F475" s="98"/>
      <c r="G475" s="98"/>
      <c r="H475" s="98"/>
      <c r="I475" s="98"/>
      <c r="J475" s="98"/>
      <c r="K475" s="98">
        <v>91.799999999999969</v>
      </c>
      <c r="L475" s="98"/>
      <c r="M475" s="98"/>
      <c r="N475" s="98"/>
      <c r="O475" s="98"/>
      <c r="P475" s="98"/>
      <c r="Q475" s="98"/>
      <c r="R475" s="98"/>
      <c r="S475" s="98"/>
      <c r="T475" s="98"/>
      <c r="U475" s="98"/>
      <c r="V475" s="98"/>
      <c r="W475" s="98">
        <v>486.99999999999989</v>
      </c>
      <c r="X475" s="98"/>
      <c r="Y475" s="98"/>
      <c r="Z475" s="98"/>
      <c r="AA475" s="230"/>
      <c r="AB475" s="230"/>
      <c r="AC475" s="230"/>
    </row>
    <row r="476" spans="2:29">
      <c r="B476" s="98">
        <v>506</v>
      </c>
      <c r="C476" s="98"/>
      <c r="D476" s="98"/>
      <c r="E476" s="98"/>
      <c r="F476" s="98"/>
      <c r="G476" s="98"/>
      <c r="H476" s="98"/>
      <c r="I476" s="98"/>
      <c r="J476" s="98"/>
      <c r="K476" s="98">
        <v>91.759999999999962</v>
      </c>
      <c r="L476" s="98"/>
      <c r="M476" s="98"/>
      <c r="N476" s="98"/>
      <c r="O476" s="98"/>
      <c r="P476" s="98"/>
      <c r="Q476" s="98"/>
      <c r="R476" s="98"/>
      <c r="S476" s="98"/>
      <c r="T476" s="98"/>
      <c r="U476" s="98"/>
      <c r="V476" s="98"/>
      <c r="W476" s="98">
        <v>486.39999999999986</v>
      </c>
      <c r="X476" s="98"/>
      <c r="Y476" s="98"/>
      <c r="Z476" s="98"/>
      <c r="AA476" s="230"/>
      <c r="AB476" s="230"/>
      <c r="AC476" s="230"/>
    </row>
    <row r="477" spans="2:29">
      <c r="B477" s="98">
        <v>507</v>
      </c>
      <c r="C477" s="98"/>
      <c r="D477" s="98"/>
      <c r="E477" s="98"/>
      <c r="F477" s="98"/>
      <c r="G477" s="98"/>
      <c r="H477" s="98"/>
      <c r="I477" s="98"/>
      <c r="J477" s="98"/>
      <c r="K477" s="98">
        <v>91.719999999999956</v>
      </c>
      <c r="L477" s="98"/>
      <c r="M477" s="98"/>
      <c r="N477" s="98"/>
      <c r="O477" s="98"/>
      <c r="P477" s="98"/>
      <c r="Q477" s="98"/>
      <c r="R477" s="98"/>
      <c r="S477" s="98"/>
      <c r="T477" s="98"/>
      <c r="U477" s="98"/>
      <c r="V477" s="98"/>
      <c r="W477" s="98">
        <v>485.79999999999984</v>
      </c>
      <c r="X477" s="98"/>
      <c r="Y477" s="98"/>
      <c r="Z477" s="98"/>
      <c r="AA477" s="230"/>
      <c r="AB477" s="230"/>
      <c r="AC477" s="230"/>
    </row>
    <row r="478" spans="2:29">
      <c r="B478" s="98">
        <v>508</v>
      </c>
      <c r="C478" s="98"/>
      <c r="D478" s="98"/>
      <c r="E478" s="98"/>
      <c r="F478" s="98"/>
      <c r="G478" s="98"/>
      <c r="H478" s="98"/>
      <c r="I478" s="98"/>
      <c r="J478" s="98"/>
      <c r="K478" s="98">
        <v>91.67999999999995</v>
      </c>
      <c r="L478" s="98"/>
      <c r="M478" s="98"/>
      <c r="N478" s="98"/>
      <c r="O478" s="98"/>
      <c r="P478" s="98"/>
      <c r="Q478" s="98"/>
      <c r="R478" s="98"/>
      <c r="S478" s="98"/>
      <c r="T478" s="98"/>
      <c r="U478" s="98"/>
      <c r="V478" s="98"/>
      <c r="W478" s="98">
        <v>485.19999999999982</v>
      </c>
      <c r="X478" s="98"/>
      <c r="Y478" s="98"/>
      <c r="Z478" s="98"/>
      <c r="AA478" s="230"/>
      <c r="AB478" s="230"/>
      <c r="AC478" s="230"/>
    </row>
    <row r="479" spans="2:29">
      <c r="B479" s="98">
        <v>509</v>
      </c>
      <c r="C479" s="98"/>
      <c r="D479" s="98"/>
      <c r="E479" s="98"/>
      <c r="F479" s="98"/>
      <c r="G479" s="98"/>
      <c r="H479" s="98"/>
      <c r="I479" s="98"/>
      <c r="J479" s="98"/>
      <c r="K479" s="98">
        <v>91.639999999999944</v>
      </c>
      <c r="L479" s="98"/>
      <c r="M479" s="98"/>
      <c r="N479" s="98"/>
      <c r="O479" s="98"/>
      <c r="P479" s="98"/>
      <c r="Q479" s="98"/>
      <c r="R479" s="98"/>
      <c r="S479" s="98"/>
      <c r="T479" s="98"/>
      <c r="U479" s="98"/>
      <c r="V479" s="98"/>
      <c r="W479" s="98">
        <v>484.5999999999998</v>
      </c>
      <c r="X479" s="98"/>
      <c r="Y479" s="98"/>
      <c r="Z479" s="98"/>
      <c r="AA479" s="230"/>
      <c r="AB479" s="230"/>
      <c r="AC479" s="230"/>
    </row>
    <row r="480" spans="2:29">
      <c r="B480" s="98">
        <v>510</v>
      </c>
      <c r="C480" s="98"/>
      <c r="D480" s="98"/>
      <c r="E480" s="98"/>
      <c r="F480" s="98"/>
      <c r="G480" s="98"/>
      <c r="H480" s="98"/>
      <c r="I480" s="98"/>
      <c r="J480" s="98"/>
      <c r="K480" s="98">
        <v>91.599999999999937</v>
      </c>
      <c r="L480" s="98"/>
      <c r="M480" s="98"/>
      <c r="N480" s="98"/>
      <c r="O480" s="98"/>
      <c r="P480" s="98"/>
      <c r="Q480" s="98"/>
      <c r="R480" s="98"/>
      <c r="S480" s="98"/>
      <c r="T480" s="98">
        <v>96</v>
      </c>
      <c r="U480" s="98"/>
      <c r="V480" s="98">
        <v>151</v>
      </c>
      <c r="W480" s="98">
        <v>483.99999999999977</v>
      </c>
      <c r="X480" s="98"/>
      <c r="Y480" s="98"/>
      <c r="Z480" s="98"/>
      <c r="AA480" s="230"/>
      <c r="AB480" s="230"/>
      <c r="AC480" s="230"/>
    </row>
    <row r="481" spans="2:29">
      <c r="B481" s="98">
        <v>511</v>
      </c>
      <c r="C481" s="98"/>
      <c r="D481" s="98"/>
      <c r="E481" s="98"/>
      <c r="F481" s="98"/>
      <c r="G481" s="98"/>
      <c r="H481" s="98"/>
      <c r="I481" s="98"/>
      <c r="J481" s="98"/>
      <c r="K481" s="98">
        <v>91.559999999999931</v>
      </c>
      <c r="L481" s="98"/>
      <c r="M481" s="98"/>
      <c r="N481" s="98"/>
      <c r="O481" s="98"/>
      <c r="P481" s="98"/>
      <c r="Q481" s="98"/>
      <c r="R481" s="98"/>
      <c r="S481" s="98"/>
      <c r="T481" s="98"/>
      <c r="U481" s="98"/>
      <c r="V481" s="98"/>
      <c r="W481" s="98">
        <v>483.39999999999975</v>
      </c>
      <c r="X481" s="98"/>
      <c r="Y481" s="98"/>
      <c r="Z481" s="98"/>
      <c r="AA481" s="230"/>
      <c r="AB481" s="230"/>
      <c r="AC481" s="230"/>
    </row>
    <row r="482" spans="2:29">
      <c r="B482" s="98">
        <v>512</v>
      </c>
      <c r="C482" s="98"/>
      <c r="D482" s="98"/>
      <c r="E482" s="98"/>
      <c r="F482" s="98"/>
      <c r="G482" s="98"/>
      <c r="H482" s="98"/>
      <c r="I482" s="98"/>
      <c r="J482" s="98"/>
      <c r="K482" s="98">
        <v>91.519999999999925</v>
      </c>
      <c r="L482" s="98"/>
      <c r="M482" s="98"/>
      <c r="N482" s="98"/>
      <c r="O482" s="98"/>
      <c r="P482" s="98"/>
      <c r="Q482" s="98"/>
      <c r="R482" s="98"/>
      <c r="S482" s="98"/>
      <c r="T482" s="98"/>
      <c r="U482" s="98"/>
      <c r="V482" s="98"/>
      <c r="W482" s="98">
        <v>482.79999999999973</v>
      </c>
      <c r="X482" s="98"/>
      <c r="Y482" s="98"/>
      <c r="Z482" s="98"/>
      <c r="AA482" s="230"/>
      <c r="AB482" s="230"/>
      <c r="AC482" s="230"/>
    </row>
    <row r="483" spans="2:29">
      <c r="B483" s="98">
        <v>513</v>
      </c>
      <c r="C483" s="98"/>
      <c r="D483" s="98"/>
      <c r="E483" s="98"/>
      <c r="F483" s="98"/>
      <c r="G483" s="98"/>
      <c r="H483" s="98"/>
      <c r="I483" s="98"/>
      <c r="J483" s="98"/>
      <c r="K483" s="98">
        <v>91.479999999999919</v>
      </c>
      <c r="L483" s="98"/>
      <c r="M483" s="98"/>
      <c r="N483" s="98"/>
      <c r="O483" s="98"/>
      <c r="P483" s="98"/>
      <c r="Q483" s="98"/>
      <c r="R483" s="98"/>
      <c r="S483" s="98"/>
      <c r="T483" s="98"/>
      <c r="U483" s="98"/>
      <c r="V483" s="98"/>
      <c r="W483" s="98">
        <v>482.1999999999997</v>
      </c>
      <c r="X483" s="98"/>
      <c r="Y483" s="98"/>
      <c r="Z483" s="98"/>
      <c r="AA483" s="230"/>
      <c r="AB483" s="230"/>
      <c r="AC483" s="230"/>
    </row>
    <row r="484" spans="2:29">
      <c r="B484" s="98">
        <v>514</v>
      </c>
      <c r="C484" s="98"/>
      <c r="D484" s="98"/>
      <c r="E484" s="98"/>
      <c r="F484" s="98"/>
      <c r="G484" s="98"/>
      <c r="H484" s="98"/>
      <c r="I484" s="98"/>
      <c r="J484" s="98"/>
      <c r="K484" s="98">
        <v>91.439999999999912</v>
      </c>
      <c r="L484" s="98"/>
      <c r="M484" s="98"/>
      <c r="N484" s="98"/>
      <c r="O484" s="98"/>
      <c r="P484" s="98"/>
      <c r="Q484" s="98"/>
      <c r="R484" s="98"/>
      <c r="S484" s="98"/>
      <c r="T484" s="98"/>
      <c r="U484" s="98"/>
      <c r="V484" s="98"/>
      <c r="W484" s="98">
        <v>481.59999999999968</v>
      </c>
      <c r="X484" s="98"/>
      <c r="Y484" s="98"/>
      <c r="Z484" s="98"/>
      <c r="AA484" s="230"/>
      <c r="AB484" s="230"/>
      <c r="AC484" s="230"/>
    </row>
    <row r="485" spans="2:29">
      <c r="B485" s="98">
        <v>515</v>
      </c>
      <c r="C485" s="98"/>
      <c r="D485" s="98"/>
      <c r="E485" s="98"/>
      <c r="F485" s="98"/>
      <c r="G485" s="98"/>
      <c r="H485" s="98"/>
      <c r="I485" s="98"/>
      <c r="J485" s="98"/>
      <c r="K485" s="98">
        <v>91.399999999999906</v>
      </c>
      <c r="L485" s="98"/>
      <c r="M485" s="98"/>
      <c r="N485" s="98"/>
      <c r="O485" s="98"/>
      <c r="P485" s="98"/>
      <c r="Q485" s="98"/>
      <c r="R485" s="98"/>
      <c r="S485" s="98"/>
      <c r="T485" s="98"/>
      <c r="U485" s="98"/>
      <c r="V485" s="98"/>
      <c r="W485" s="98">
        <v>480.99999999999966</v>
      </c>
      <c r="X485" s="98"/>
      <c r="Y485" s="98"/>
      <c r="Z485" s="98"/>
      <c r="AA485" s="230"/>
      <c r="AB485" s="230"/>
      <c r="AC485" s="230"/>
    </row>
    <row r="486" spans="2:29">
      <c r="B486" s="98">
        <v>516</v>
      </c>
      <c r="C486" s="98"/>
      <c r="D486" s="98"/>
      <c r="E486" s="98"/>
      <c r="F486" s="98"/>
      <c r="G486" s="98"/>
      <c r="H486" s="98"/>
      <c r="I486" s="98"/>
      <c r="J486" s="98"/>
      <c r="K486" s="98">
        <v>91.3599999999999</v>
      </c>
      <c r="L486" s="98"/>
      <c r="M486" s="98"/>
      <c r="N486" s="98"/>
      <c r="O486" s="98"/>
      <c r="P486" s="98"/>
      <c r="Q486" s="98"/>
      <c r="R486" s="98"/>
      <c r="S486" s="98"/>
      <c r="T486" s="98"/>
      <c r="U486" s="98"/>
      <c r="V486" s="98"/>
      <c r="W486" s="98">
        <v>480.39999999999964</v>
      </c>
      <c r="X486" s="98"/>
      <c r="Y486" s="98"/>
      <c r="Z486" s="98"/>
      <c r="AA486" s="230"/>
      <c r="AB486" s="230"/>
      <c r="AC486" s="230"/>
    </row>
    <row r="487" spans="2:29">
      <c r="B487" s="98">
        <v>517</v>
      </c>
      <c r="C487" s="98"/>
      <c r="D487" s="98"/>
      <c r="E487" s="98"/>
      <c r="F487" s="98"/>
      <c r="G487" s="98"/>
      <c r="H487" s="98"/>
      <c r="I487" s="98"/>
      <c r="J487" s="98"/>
      <c r="K487" s="98">
        <v>91.319999999999894</v>
      </c>
      <c r="L487" s="98"/>
      <c r="M487" s="98"/>
      <c r="N487" s="98"/>
      <c r="O487" s="98"/>
      <c r="P487" s="98"/>
      <c r="Q487" s="98"/>
      <c r="R487" s="98"/>
      <c r="S487" s="98"/>
      <c r="T487" s="98"/>
      <c r="U487" s="98"/>
      <c r="V487" s="98"/>
      <c r="W487" s="98">
        <v>479.79999999999961</v>
      </c>
      <c r="X487" s="98"/>
      <c r="Y487" s="98"/>
      <c r="Z487" s="98"/>
      <c r="AA487" s="230"/>
      <c r="AB487" s="230"/>
      <c r="AC487" s="230"/>
    </row>
    <row r="488" spans="2:29">
      <c r="B488" s="98">
        <v>518</v>
      </c>
      <c r="C488" s="98"/>
      <c r="D488" s="98"/>
      <c r="E488" s="98"/>
      <c r="F488" s="98"/>
      <c r="G488" s="98"/>
      <c r="H488" s="98"/>
      <c r="I488" s="98"/>
      <c r="J488" s="98"/>
      <c r="K488" s="98">
        <v>91.279999999999887</v>
      </c>
      <c r="L488" s="98"/>
      <c r="M488" s="98"/>
      <c r="N488" s="98"/>
      <c r="O488" s="98"/>
      <c r="P488" s="98"/>
      <c r="Q488" s="98"/>
      <c r="R488" s="98"/>
      <c r="S488" s="98"/>
      <c r="T488" s="98"/>
      <c r="U488" s="98"/>
      <c r="V488" s="98"/>
      <c r="W488" s="98">
        <v>479.19999999999959</v>
      </c>
      <c r="X488" s="98"/>
      <c r="Y488" s="98"/>
      <c r="Z488" s="98"/>
      <c r="AA488" s="230"/>
      <c r="AB488" s="230"/>
      <c r="AC488" s="230"/>
    </row>
    <row r="489" spans="2:29">
      <c r="B489" s="98">
        <v>519</v>
      </c>
      <c r="C489" s="98"/>
      <c r="D489" s="98"/>
      <c r="E489" s="98"/>
      <c r="F489" s="98"/>
      <c r="G489" s="98"/>
      <c r="H489" s="98"/>
      <c r="I489" s="98"/>
      <c r="J489" s="98"/>
      <c r="K489" s="98">
        <v>91.239999999999881</v>
      </c>
      <c r="L489" s="98"/>
      <c r="M489" s="98"/>
      <c r="N489" s="98"/>
      <c r="O489" s="98"/>
      <c r="P489" s="98"/>
      <c r="Q489" s="98"/>
      <c r="R489" s="98"/>
      <c r="S489" s="98"/>
      <c r="T489" s="98"/>
      <c r="U489" s="98"/>
      <c r="V489" s="98"/>
      <c r="W489" s="98">
        <v>478.59999999999957</v>
      </c>
      <c r="X489" s="98"/>
      <c r="Y489" s="98"/>
      <c r="Z489" s="98"/>
      <c r="AA489" s="230"/>
      <c r="AB489" s="230"/>
      <c r="AC489" s="230"/>
    </row>
    <row r="490" spans="2:29">
      <c r="B490" s="98">
        <v>520</v>
      </c>
      <c r="C490" s="98"/>
      <c r="D490" s="98"/>
      <c r="E490" s="98"/>
      <c r="F490" s="98"/>
      <c r="G490" s="98"/>
      <c r="H490" s="98"/>
      <c r="I490" s="98"/>
      <c r="J490" s="98"/>
      <c r="K490" s="98">
        <v>91.199999999999875</v>
      </c>
      <c r="L490" s="98"/>
      <c r="M490" s="98"/>
      <c r="N490" s="98"/>
      <c r="O490" s="98"/>
      <c r="P490" s="98"/>
      <c r="Q490" s="98"/>
      <c r="R490" s="98"/>
      <c r="S490" s="98"/>
      <c r="T490" s="98"/>
      <c r="U490" s="98"/>
      <c r="V490" s="98">
        <v>127</v>
      </c>
      <c r="W490" s="98">
        <v>477.99999999999955</v>
      </c>
      <c r="X490" s="98"/>
      <c r="Y490" s="98"/>
      <c r="Z490" s="98"/>
      <c r="AA490" s="230"/>
      <c r="AB490" s="230"/>
      <c r="AC490" s="230"/>
    </row>
    <row r="491" spans="2:29">
      <c r="B491" s="98">
        <v>521</v>
      </c>
      <c r="C491" s="98"/>
      <c r="D491" s="98"/>
      <c r="E491" s="98"/>
      <c r="F491" s="98"/>
      <c r="G491" s="98"/>
      <c r="H491" s="98"/>
      <c r="I491" s="98"/>
      <c r="J491" s="98"/>
      <c r="K491" s="98">
        <v>91.159999999999869</v>
      </c>
      <c r="L491" s="98"/>
      <c r="M491" s="98"/>
      <c r="N491" s="98"/>
      <c r="O491" s="98"/>
      <c r="P491" s="98"/>
      <c r="Q491" s="98"/>
      <c r="R491" s="98"/>
      <c r="S491" s="98"/>
      <c r="T491" s="98"/>
      <c r="U491" s="98"/>
      <c r="V491" s="98"/>
      <c r="W491" s="98">
        <v>477.39999999999952</v>
      </c>
      <c r="X491" s="98"/>
      <c r="Y491" s="98"/>
      <c r="Z491" s="98"/>
      <c r="AA491" s="230"/>
      <c r="AB491" s="230"/>
      <c r="AC491" s="230"/>
    </row>
    <row r="492" spans="2:29">
      <c r="B492" s="98">
        <v>522</v>
      </c>
      <c r="C492" s="98"/>
      <c r="D492" s="98"/>
      <c r="E492" s="98"/>
      <c r="F492" s="98"/>
      <c r="G492" s="98"/>
      <c r="H492" s="98"/>
      <c r="I492" s="98"/>
      <c r="J492" s="98"/>
      <c r="K492" s="98">
        <v>91.119999999999862</v>
      </c>
      <c r="L492" s="98"/>
      <c r="M492" s="98"/>
      <c r="N492" s="98"/>
      <c r="O492" s="98"/>
      <c r="P492" s="98"/>
      <c r="Q492" s="98"/>
      <c r="R492" s="98"/>
      <c r="S492" s="98"/>
      <c r="T492" s="98"/>
      <c r="U492" s="98"/>
      <c r="V492" s="98"/>
      <c r="W492" s="98">
        <v>476.7999999999995</v>
      </c>
      <c r="X492" s="98"/>
      <c r="Y492" s="98"/>
      <c r="Z492" s="98"/>
      <c r="AA492" s="230"/>
      <c r="AB492" s="230"/>
      <c r="AC492" s="230"/>
    </row>
    <row r="493" spans="2:29">
      <c r="B493" s="98">
        <v>523</v>
      </c>
      <c r="C493" s="98"/>
      <c r="D493" s="98"/>
      <c r="E493" s="98"/>
      <c r="F493" s="98"/>
      <c r="G493" s="98"/>
      <c r="H493" s="98"/>
      <c r="I493" s="98"/>
      <c r="J493" s="98"/>
      <c r="K493" s="98">
        <v>91.079999999999856</v>
      </c>
      <c r="L493" s="98"/>
      <c r="M493" s="98"/>
      <c r="N493" s="98"/>
      <c r="O493" s="98"/>
      <c r="P493" s="98"/>
      <c r="Q493" s="98"/>
      <c r="R493" s="98"/>
      <c r="S493" s="98"/>
      <c r="T493" s="98"/>
      <c r="U493" s="98"/>
      <c r="V493" s="98"/>
      <c r="W493" s="98">
        <v>476.19999999999948</v>
      </c>
      <c r="X493" s="98"/>
      <c r="Y493" s="98"/>
      <c r="Z493" s="98"/>
      <c r="AA493" s="230"/>
      <c r="AB493" s="230"/>
      <c r="AC493" s="230"/>
    </row>
    <row r="494" spans="2:29">
      <c r="B494" s="98">
        <v>524</v>
      </c>
      <c r="C494" s="98"/>
      <c r="D494" s="98"/>
      <c r="E494" s="98"/>
      <c r="F494" s="98"/>
      <c r="G494" s="98"/>
      <c r="H494" s="98"/>
      <c r="I494" s="98"/>
      <c r="J494" s="98"/>
      <c r="K494" s="98">
        <v>91.03999999999985</v>
      </c>
      <c r="L494" s="98"/>
      <c r="M494" s="98"/>
      <c r="N494" s="98"/>
      <c r="O494" s="98"/>
      <c r="P494" s="98"/>
      <c r="Q494" s="98"/>
      <c r="R494" s="98"/>
      <c r="S494" s="98"/>
      <c r="T494" s="98"/>
      <c r="U494" s="98"/>
      <c r="V494" s="98"/>
      <c r="W494" s="98">
        <v>475.59999999999945</v>
      </c>
      <c r="X494" s="98"/>
      <c r="Y494" s="98"/>
      <c r="Z494" s="98"/>
      <c r="AA494" s="230"/>
      <c r="AB494" s="230"/>
      <c r="AC494" s="230"/>
    </row>
    <row r="495" spans="2:29">
      <c r="B495" s="98">
        <v>525</v>
      </c>
      <c r="C495" s="98"/>
      <c r="D495" s="98"/>
      <c r="E495" s="98"/>
      <c r="F495" s="98"/>
      <c r="G495" s="98"/>
      <c r="H495" s="98"/>
      <c r="I495" s="98"/>
      <c r="J495" s="98"/>
      <c r="K495" s="98">
        <v>90.999999999999844</v>
      </c>
      <c r="L495" s="98"/>
      <c r="M495" s="98"/>
      <c r="N495" s="98"/>
      <c r="O495" s="98"/>
      <c r="P495" s="98"/>
      <c r="Q495" s="98"/>
      <c r="R495" s="98"/>
      <c r="S495" s="98"/>
      <c r="T495" s="98"/>
      <c r="U495" s="98"/>
      <c r="V495" s="98"/>
      <c r="W495" s="98">
        <v>474.99999999999943</v>
      </c>
      <c r="X495" s="98"/>
      <c r="Y495" s="98"/>
      <c r="Z495" s="98"/>
      <c r="AA495" s="230"/>
      <c r="AB495" s="230"/>
      <c r="AC495" s="230"/>
    </row>
    <row r="496" spans="2:29">
      <c r="B496" s="98">
        <v>526</v>
      </c>
      <c r="C496" s="98"/>
      <c r="D496" s="98"/>
      <c r="E496" s="98"/>
      <c r="F496" s="98"/>
      <c r="G496" s="98"/>
      <c r="H496" s="98"/>
      <c r="I496" s="98"/>
      <c r="J496" s="98"/>
      <c r="K496" s="98">
        <v>90.959999999999837</v>
      </c>
      <c r="L496" s="98"/>
      <c r="M496" s="98"/>
      <c r="N496" s="98"/>
      <c r="O496" s="98"/>
      <c r="P496" s="98"/>
      <c r="Q496" s="98"/>
      <c r="R496" s="98"/>
      <c r="S496" s="98"/>
      <c r="T496" s="98"/>
      <c r="U496" s="98"/>
      <c r="V496" s="98"/>
      <c r="W496" s="98">
        <v>474.39999999999941</v>
      </c>
      <c r="X496" s="98"/>
      <c r="Y496" s="98"/>
      <c r="Z496" s="98"/>
      <c r="AA496" s="230"/>
      <c r="AB496" s="230"/>
      <c r="AC496" s="230"/>
    </row>
    <row r="497" spans="2:29">
      <c r="B497" s="98">
        <v>527</v>
      </c>
      <c r="C497" s="98"/>
      <c r="D497" s="98"/>
      <c r="E497" s="98"/>
      <c r="F497" s="98"/>
      <c r="G497" s="98"/>
      <c r="H497" s="98"/>
      <c r="I497" s="98"/>
      <c r="J497" s="98"/>
      <c r="K497" s="98">
        <v>90.919999999999831</v>
      </c>
      <c r="L497" s="98"/>
      <c r="M497" s="98"/>
      <c r="N497" s="98"/>
      <c r="O497" s="98"/>
      <c r="P497" s="98"/>
      <c r="Q497" s="98"/>
      <c r="R497" s="98"/>
      <c r="S497" s="98"/>
      <c r="T497" s="98"/>
      <c r="U497" s="98"/>
      <c r="V497" s="98"/>
      <c r="W497" s="98">
        <v>473.79999999999939</v>
      </c>
      <c r="X497" s="98"/>
      <c r="Y497" s="98"/>
      <c r="Z497" s="98"/>
      <c r="AA497" s="230"/>
      <c r="AB497" s="230"/>
      <c r="AC497" s="230"/>
    </row>
    <row r="498" spans="2:29">
      <c r="B498" s="98">
        <v>528</v>
      </c>
      <c r="C498" s="98"/>
      <c r="D498" s="98"/>
      <c r="E498" s="98"/>
      <c r="F498" s="98"/>
      <c r="G498" s="98"/>
      <c r="H498" s="98"/>
      <c r="I498" s="98"/>
      <c r="J498" s="98"/>
      <c r="K498" s="98">
        <v>90.879999999999825</v>
      </c>
      <c r="L498" s="98"/>
      <c r="M498" s="98"/>
      <c r="N498" s="98"/>
      <c r="O498" s="98"/>
      <c r="P498" s="98"/>
      <c r="Q498" s="98"/>
      <c r="R498" s="98"/>
      <c r="S498" s="98"/>
      <c r="T498" s="98"/>
      <c r="U498" s="98"/>
      <c r="V498" s="98"/>
      <c r="W498" s="98">
        <v>473.19999999999936</v>
      </c>
      <c r="X498" s="98"/>
      <c r="Y498" s="98"/>
      <c r="Z498" s="98"/>
      <c r="AA498" s="230"/>
      <c r="AB498" s="230"/>
      <c r="AC498" s="230"/>
    </row>
    <row r="499" spans="2:29">
      <c r="B499" s="98">
        <v>529</v>
      </c>
      <c r="C499" s="98"/>
      <c r="D499" s="98"/>
      <c r="E499" s="98"/>
      <c r="F499" s="98"/>
      <c r="G499" s="98"/>
      <c r="H499" s="98"/>
      <c r="I499" s="98"/>
      <c r="J499" s="98"/>
      <c r="K499" s="98">
        <v>90.839999999999819</v>
      </c>
      <c r="L499" s="98"/>
      <c r="M499" s="98"/>
      <c r="N499" s="98"/>
      <c r="O499" s="98"/>
      <c r="P499" s="98"/>
      <c r="Q499" s="98"/>
      <c r="R499" s="98"/>
      <c r="S499" s="98"/>
      <c r="T499" s="98"/>
      <c r="U499" s="98"/>
      <c r="V499" s="98"/>
      <c r="W499" s="98">
        <v>472.59999999999934</v>
      </c>
      <c r="X499" s="98"/>
      <c r="Y499" s="98"/>
      <c r="Z499" s="98"/>
      <c r="AA499" s="230"/>
      <c r="AB499" s="230"/>
      <c r="AC499" s="230"/>
    </row>
    <row r="500" spans="2:29">
      <c r="B500" s="98">
        <v>530</v>
      </c>
      <c r="C500" s="98"/>
      <c r="D500" s="98"/>
      <c r="E500" s="98"/>
      <c r="F500" s="98"/>
      <c r="G500" s="98"/>
      <c r="H500" s="98"/>
      <c r="I500" s="98"/>
      <c r="J500" s="98"/>
      <c r="K500" s="98">
        <v>90.799999999999812</v>
      </c>
      <c r="L500" s="98"/>
      <c r="M500" s="98"/>
      <c r="N500" s="98"/>
      <c r="O500" s="98"/>
      <c r="P500" s="98"/>
      <c r="Q500" s="98"/>
      <c r="R500" s="98"/>
      <c r="S500" s="98">
        <v>149</v>
      </c>
      <c r="T500" s="98"/>
      <c r="U500" s="98"/>
      <c r="V500" s="98">
        <v>104</v>
      </c>
      <c r="W500" s="98">
        <v>471.99999999999932</v>
      </c>
      <c r="X500" s="98"/>
      <c r="Y500" s="98"/>
      <c r="Z500" s="98"/>
      <c r="AA500" s="230"/>
      <c r="AB500" s="230"/>
      <c r="AC500" s="230"/>
    </row>
    <row r="501" spans="2:29">
      <c r="B501" s="98">
        <v>531</v>
      </c>
      <c r="C501" s="98"/>
      <c r="D501" s="98"/>
      <c r="E501" s="98"/>
      <c r="F501" s="98"/>
      <c r="G501" s="98"/>
      <c r="H501" s="98"/>
      <c r="I501" s="98"/>
      <c r="J501" s="98"/>
      <c r="K501" s="98">
        <v>90.759999999999806</v>
      </c>
      <c r="L501" s="98"/>
      <c r="M501" s="98"/>
      <c r="N501" s="98"/>
      <c r="O501" s="98"/>
      <c r="P501" s="98"/>
      <c r="Q501" s="98"/>
      <c r="R501" s="98"/>
      <c r="S501" s="98"/>
      <c r="T501" s="98"/>
      <c r="U501" s="98"/>
      <c r="V501" s="98"/>
      <c r="W501" s="98">
        <v>471.3999999999993</v>
      </c>
      <c r="X501" s="98"/>
      <c r="Y501" s="98"/>
      <c r="Z501" s="98"/>
      <c r="AA501" s="230"/>
      <c r="AB501" s="230"/>
      <c r="AC501" s="230"/>
    </row>
    <row r="502" spans="2:29">
      <c r="B502" s="98">
        <v>532</v>
      </c>
      <c r="C502" s="98"/>
      <c r="D502" s="98"/>
      <c r="E502" s="98"/>
      <c r="F502" s="98"/>
      <c r="G502" s="98"/>
      <c r="H502" s="98"/>
      <c r="I502" s="98"/>
      <c r="J502" s="98"/>
      <c r="K502" s="98">
        <v>90.7199999999998</v>
      </c>
      <c r="L502" s="98"/>
      <c r="M502" s="98"/>
      <c r="N502" s="98"/>
      <c r="O502" s="98"/>
      <c r="P502" s="98"/>
      <c r="Q502" s="98"/>
      <c r="R502" s="98"/>
      <c r="S502" s="98"/>
      <c r="T502" s="98"/>
      <c r="U502" s="98"/>
      <c r="V502" s="98"/>
      <c r="W502" s="98">
        <v>470.79999999999927</v>
      </c>
      <c r="X502" s="98"/>
      <c r="Y502" s="98"/>
      <c r="Z502" s="98"/>
      <c r="AA502" s="230"/>
      <c r="AB502" s="230"/>
      <c r="AC502" s="230"/>
    </row>
    <row r="503" spans="2:29">
      <c r="B503" s="98">
        <v>533</v>
      </c>
      <c r="C503" s="98"/>
      <c r="D503" s="98"/>
      <c r="E503" s="98"/>
      <c r="F503" s="98"/>
      <c r="G503" s="98"/>
      <c r="H503" s="98"/>
      <c r="I503" s="98"/>
      <c r="J503" s="98"/>
      <c r="K503" s="98">
        <v>90.679999999999794</v>
      </c>
      <c r="L503" s="98"/>
      <c r="M503" s="98"/>
      <c r="N503" s="98"/>
      <c r="O503" s="98"/>
      <c r="P503" s="98"/>
      <c r="Q503" s="98"/>
      <c r="R503" s="98"/>
      <c r="S503" s="98"/>
      <c r="T503" s="98"/>
      <c r="U503" s="98"/>
      <c r="V503" s="98"/>
      <c r="W503" s="98">
        <v>470.19999999999925</v>
      </c>
      <c r="X503" s="98"/>
      <c r="Y503" s="98"/>
      <c r="Z503" s="98"/>
      <c r="AA503" s="230"/>
      <c r="AB503" s="230"/>
      <c r="AC503" s="230"/>
    </row>
    <row r="504" spans="2:29">
      <c r="B504" s="98">
        <v>534</v>
      </c>
      <c r="C504" s="98"/>
      <c r="D504" s="98"/>
      <c r="E504" s="98"/>
      <c r="F504" s="98"/>
      <c r="G504" s="98"/>
      <c r="H504" s="98"/>
      <c r="I504" s="98"/>
      <c r="J504" s="98"/>
      <c r="K504" s="98">
        <v>90.639999999999787</v>
      </c>
      <c r="L504" s="98"/>
      <c r="M504" s="98"/>
      <c r="N504" s="98"/>
      <c r="O504" s="98"/>
      <c r="P504" s="98"/>
      <c r="Q504" s="98"/>
      <c r="R504" s="98"/>
      <c r="S504" s="98"/>
      <c r="T504" s="98"/>
      <c r="U504" s="98"/>
      <c r="V504" s="98"/>
      <c r="W504" s="98">
        <v>469.59999999999923</v>
      </c>
      <c r="X504" s="98"/>
      <c r="Y504" s="98"/>
      <c r="Z504" s="98"/>
      <c r="AA504" s="230"/>
      <c r="AB504" s="230"/>
      <c r="AC504" s="230"/>
    </row>
    <row r="505" spans="2:29">
      <c r="B505" s="98">
        <v>535</v>
      </c>
      <c r="C505" s="98"/>
      <c r="D505" s="98"/>
      <c r="E505" s="98"/>
      <c r="F505" s="98"/>
      <c r="G505" s="98"/>
      <c r="H505" s="98"/>
      <c r="I505" s="98"/>
      <c r="J505" s="98"/>
      <c r="K505" s="98">
        <v>90.599999999999781</v>
      </c>
      <c r="L505" s="98"/>
      <c r="M505" s="98"/>
      <c r="N505" s="98"/>
      <c r="O505" s="98"/>
      <c r="P505" s="98"/>
      <c r="Q505" s="98"/>
      <c r="R505" s="98"/>
      <c r="S505" s="98"/>
      <c r="T505" s="98"/>
      <c r="U505" s="98"/>
      <c r="V505" s="98"/>
      <c r="W505" s="98">
        <v>468.9999999999992</v>
      </c>
      <c r="X505" s="98"/>
      <c r="Y505" s="98"/>
      <c r="Z505" s="98"/>
      <c r="AA505" s="230"/>
      <c r="AB505" s="230"/>
      <c r="AC505" s="230"/>
    </row>
    <row r="506" spans="2:29">
      <c r="B506" s="98">
        <v>536</v>
      </c>
      <c r="C506" s="98"/>
      <c r="D506" s="98"/>
      <c r="E506" s="98"/>
      <c r="F506" s="98"/>
      <c r="G506" s="98"/>
      <c r="H506" s="98"/>
      <c r="I506" s="98"/>
      <c r="J506" s="98"/>
      <c r="K506" s="98">
        <v>90.559999999999775</v>
      </c>
      <c r="L506" s="98"/>
      <c r="M506" s="98"/>
      <c r="N506" s="98"/>
      <c r="O506" s="98"/>
      <c r="P506" s="98"/>
      <c r="Q506" s="98"/>
      <c r="R506" s="98"/>
      <c r="S506" s="98"/>
      <c r="T506" s="98"/>
      <c r="U506" s="98"/>
      <c r="V506" s="98"/>
      <c r="W506" s="98">
        <v>468.39999999999918</v>
      </c>
      <c r="X506" s="98"/>
      <c r="Y506" s="98"/>
      <c r="Z506" s="98"/>
      <c r="AA506" s="230"/>
      <c r="AB506" s="230"/>
      <c r="AC506" s="230"/>
    </row>
    <row r="507" spans="2:29">
      <c r="B507" s="98">
        <v>537</v>
      </c>
      <c r="C507" s="98"/>
      <c r="D507" s="98"/>
      <c r="E507" s="98"/>
      <c r="F507" s="98"/>
      <c r="G507" s="98"/>
      <c r="H507" s="98"/>
      <c r="I507" s="98"/>
      <c r="J507" s="98"/>
      <c r="K507" s="98">
        <v>90.519999999999769</v>
      </c>
      <c r="L507" s="98"/>
      <c r="M507" s="98"/>
      <c r="N507" s="98"/>
      <c r="O507" s="98"/>
      <c r="P507" s="98"/>
      <c r="Q507" s="98"/>
      <c r="R507" s="98"/>
      <c r="S507" s="98"/>
      <c r="T507" s="98"/>
      <c r="U507" s="98"/>
      <c r="V507" s="98"/>
      <c r="W507" s="98">
        <v>467.79999999999916</v>
      </c>
      <c r="X507" s="98"/>
      <c r="Y507" s="98"/>
      <c r="Z507" s="98"/>
      <c r="AA507" s="230"/>
      <c r="AB507" s="230"/>
      <c r="AC507" s="230"/>
    </row>
    <row r="508" spans="2:29">
      <c r="B508" s="98">
        <v>538</v>
      </c>
      <c r="C508" s="98"/>
      <c r="D508" s="98"/>
      <c r="E508" s="98"/>
      <c r="F508" s="98"/>
      <c r="G508" s="98"/>
      <c r="H508" s="98"/>
      <c r="I508" s="98"/>
      <c r="J508" s="98"/>
      <c r="K508" s="98">
        <v>90.479999999999762</v>
      </c>
      <c r="L508" s="98"/>
      <c r="M508" s="98"/>
      <c r="N508" s="98"/>
      <c r="O508" s="98"/>
      <c r="P508" s="98"/>
      <c r="Q508" s="98"/>
      <c r="R508" s="98"/>
      <c r="S508" s="98"/>
      <c r="T508" s="98"/>
      <c r="U508" s="98"/>
      <c r="V508" s="98"/>
      <c r="W508" s="98">
        <v>467.19999999999914</v>
      </c>
      <c r="X508" s="98"/>
      <c r="Y508" s="98"/>
      <c r="Z508" s="98"/>
      <c r="AA508" s="230"/>
      <c r="AB508" s="230"/>
      <c r="AC508" s="230"/>
    </row>
    <row r="509" spans="2:29">
      <c r="B509" s="98">
        <v>539</v>
      </c>
      <c r="C509" s="98"/>
      <c r="D509" s="98"/>
      <c r="E509" s="98"/>
      <c r="F509" s="98"/>
      <c r="G509" s="98"/>
      <c r="H509" s="98"/>
      <c r="I509" s="98"/>
      <c r="J509" s="98"/>
      <c r="K509" s="98">
        <v>90.439999999999756</v>
      </c>
      <c r="L509" s="98"/>
      <c r="M509" s="98"/>
      <c r="N509" s="98"/>
      <c r="O509" s="98"/>
      <c r="P509" s="98"/>
      <c r="Q509" s="98"/>
      <c r="R509" s="98"/>
      <c r="S509" s="98"/>
      <c r="T509" s="98"/>
      <c r="U509" s="98"/>
      <c r="V509" s="98"/>
      <c r="W509" s="98">
        <v>466.59999999999911</v>
      </c>
      <c r="X509" s="98"/>
      <c r="Y509" s="98"/>
      <c r="Z509" s="98"/>
      <c r="AA509" s="230"/>
      <c r="AB509" s="230"/>
      <c r="AC509" s="230"/>
    </row>
    <row r="510" spans="2:29">
      <c r="B510" s="98">
        <v>540</v>
      </c>
      <c r="C510" s="98"/>
      <c r="D510" s="98"/>
      <c r="E510" s="98"/>
      <c r="F510" s="98"/>
      <c r="G510" s="98"/>
      <c r="H510" s="98"/>
      <c r="I510" s="98"/>
      <c r="J510" s="98"/>
      <c r="K510" s="98">
        <v>90.39999999999975</v>
      </c>
      <c r="L510" s="98"/>
      <c r="M510" s="98"/>
      <c r="N510" s="98"/>
      <c r="O510" s="98"/>
      <c r="P510" s="98"/>
      <c r="Q510" s="98"/>
      <c r="R510" s="98"/>
      <c r="S510" s="98">
        <v>136</v>
      </c>
      <c r="T510" s="98"/>
      <c r="U510" s="98"/>
      <c r="V510" s="98"/>
      <c r="W510" s="98">
        <v>465.99999999999909</v>
      </c>
      <c r="X510" s="98"/>
      <c r="Y510" s="98"/>
      <c r="Z510" s="98"/>
      <c r="AA510" s="230"/>
      <c r="AB510" s="230"/>
      <c r="AC510" s="230"/>
    </row>
    <row r="511" spans="2:29">
      <c r="B511" s="98">
        <v>541</v>
      </c>
      <c r="C511" s="98"/>
      <c r="D511" s="98"/>
      <c r="E511" s="98"/>
      <c r="F511" s="98"/>
      <c r="G511" s="98"/>
      <c r="H511" s="98"/>
      <c r="I511" s="98"/>
      <c r="J511" s="98"/>
      <c r="K511" s="98">
        <v>90.359999999999744</v>
      </c>
      <c r="L511" s="98"/>
      <c r="M511" s="98"/>
      <c r="N511" s="98"/>
      <c r="O511" s="98"/>
      <c r="P511" s="98"/>
      <c r="Q511" s="98"/>
      <c r="R511" s="98"/>
      <c r="S511" s="98"/>
      <c r="T511" s="98"/>
      <c r="U511" s="98"/>
      <c r="V511" s="98"/>
      <c r="W511" s="98">
        <v>465.39999999999907</v>
      </c>
      <c r="X511" s="98"/>
      <c r="Y511" s="98"/>
      <c r="Z511" s="98"/>
      <c r="AA511" s="230"/>
      <c r="AB511" s="230"/>
      <c r="AC511" s="230"/>
    </row>
    <row r="512" spans="2:29">
      <c r="B512" s="98">
        <v>542</v>
      </c>
      <c r="C512" s="98"/>
      <c r="D512" s="98"/>
      <c r="E512" s="98"/>
      <c r="F512" s="98"/>
      <c r="G512" s="98"/>
      <c r="H512" s="98"/>
      <c r="I512" s="98"/>
      <c r="J512" s="98"/>
      <c r="K512" s="98">
        <v>90.319999999999737</v>
      </c>
      <c r="L512" s="98"/>
      <c r="M512" s="98"/>
      <c r="N512" s="98"/>
      <c r="O512" s="98"/>
      <c r="P512" s="98"/>
      <c r="Q512" s="98"/>
      <c r="R512" s="98"/>
      <c r="S512" s="98"/>
      <c r="T512" s="98"/>
      <c r="U512" s="98"/>
      <c r="V512" s="98"/>
      <c r="W512" s="98">
        <v>464.79999999999905</v>
      </c>
      <c r="X512" s="98"/>
      <c r="Y512" s="98"/>
      <c r="Z512" s="98"/>
      <c r="AA512" s="230"/>
      <c r="AB512" s="230"/>
      <c r="AC512" s="230"/>
    </row>
    <row r="513" spans="2:29">
      <c r="B513" s="98">
        <v>543</v>
      </c>
      <c r="C513" s="98"/>
      <c r="D513" s="98"/>
      <c r="E513" s="98"/>
      <c r="F513" s="98"/>
      <c r="G513" s="98"/>
      <c r="H513" s="98"/>
      <c r="I513" s="98"/>
      <c r="J513" s="98"/>
      <c r="K513" s="98">
        <v>90.279999999999731</v>
      </c>
      <c r="L513" s="98"/>
      <c r="M513" s="98"/>
      <c r="N513" s="98"/>
      <c r="O513" s="98"/>
      <c r="P513" s="98"/>
      <c r="Q513" s="98"/>
      <c r="R513" s="98"/>
      <c r="S513" s="98"/>
      <c r="T513" s="98"/>
      <c r="U513" s="98"/>
      <c r="V513" s="98"/>
      <c r="W513" s="98">
        <v>464.19999999999902</v>
      </c>
      <c r="X513" s="98"/>
      <c r="Y513" s="98"/>
      <c r="Z513" s="98"/>
      <c r="AA513" s="230"/>
      <c r="AB513" s="230"/>
      <c r="AC513" s="230"/>
    </row>
    <row r="514" spans="2:29">
      <c r="B514" s="98">
        <v>544</v>
      </c>
      <c r="C514" s="98"/>
      <c r="D514" s="98"/>
      <c r="E514" s="98"/>
      <c r="F514" s="98"/>
      <c r="G514" s="98"/>
      <c r="H514" s="98"/>
      <c r="I514" s="98"/>
      <c r="J514" s="98"/>
      <c r="K514" s="98">
        <v>90.239999999999725</v>
      </c>
      <c r="L514" s="98"/>
      <c r="M514" s="98"/>
      <c r="N514" s="98"/>
      <c r="O514" s="98"/>
      <c r="P514" s="98"/>
      <c r="Q514" s="98"/>
      <c r="R514" s="98"/>
      <c r="S514" s="98"/>
      <c r="T514" s="98"/>
      <c r="U514" s="98"/>
      <c r="V514" s="98"/>
      <c r="W514" s="98">
        <v>463.599999999999</v>
      </c>
      <c r="X514" s="98"/>
      <c r="Y514" s="98"/>
      <c r="Z514" s="98"/>
      <c r="AA514" s="230"/>
      <c r="AB514" s="230"/>
      <c r="AC514" s="230"/>
    </row>
    <row r="515" spans="2:29">
      <c r="B515" s="98">
        <v>545</v>
      </c>
      <c r="C515" s="98"/>
      <c r="D515" s="98"/>
      <c r="E515" s="98"/>
      <c r="F515" s="98"/>
      <c r="G515" s="98"/>
      <c r="H515" s="98"/>
      <c r="I515" s="98"/>
      <c r="J515" s="98"/>
      <c r="K515" s="98">
        <v>90.199999999999719</v>
      </c>
      <c r="L515" s="98"/>
      <c r="M515" s="98"/>
      <c r="N515" s="98"/>
      <c r="O515" s="98"/>
      <c r="P515" s="98"/>
      <c r="Q515" s="98"/>
      <c r="R515" s="98"/>
      <c r="S515" s="98"/>
      <c r="T515" s="98"/>
      <c r="U515" s="98"/>
      <c r="V515" s="98"/>
      <c r="W515" s="98">
        <v>462.99999999999898</v>
      </c>
      <c r="X515" s="98"/>
      <c r="Y515" s="98"/>
      <c r="Z515" s="98"/>
      <c r="AA515" s="230"/>
      <c r="AB515" s="230"/>
      <c r="AC515" s="230"/>
    </row>
    <row r="516" spans="2:29">
      <c r="B516" s="98">
        <v>546</v>
      </c>
      <c r="C516" s="98"/>
      <c r="D516" s="98"/>
      <c r="E516" s="98"/>
      <c r="F516" s="98"/>
      <c r="G516" s="98"/>
      <c r="H516" s="98"/>
      <c r="I516" s="98"/>
      <c r="J516" s="98"/>
      <c r="K516" s="98">
        <v>90.159999999999712</v>
      </c>
      <c r="L516" s="98"/>
      <c r="M516" s="98"/>
      <c r="N516" s="98"/>
      <c r="O516" s="98"/>
      <c r="P516" s="98"/>
      <c r="Q516" s="98"/>
      <c r="R516" s="98"/>
      <c r="S516" s="98"/>
      <c r="T516" s="98"/>
      <c r="U516" s="98"/>
      <c r="V516" s="98"/>
      <c r="W516" s="98">
        <v>462.39999999999895</v>
      </c>
      <c r="X516" s="98"/>
      <c r="Y516" s="98"/>
      <c r="Z516" s="98"/>
      <c r="AA516" s="230"/>
      <c r="AB516" s="230"/>
      <c r="AC516" s="230"/>
    </row>
    <row r="517" spans="2:29">
      <c r="B517" s="98">
        <v>547</v>
      </c>
      <c r="C517" s="98"/>
      <c r="D517" s="98"/>
      <c r="E517" s="98"/>
      <c r="F517" s="98"/>
      <c r="G517" s="98"/>
      <c r="H517" s="98"/>
      <c r="I517" s="98"/>
      <c r="J517" s="98"/>
      <c r="K517" s="98">
        <v>90.119999999999706</v>
      </c>
      <c r="L517" s="98"/>
      <c r="M517" s="98"/>
      <c r="N517" s="98"/>
      <c r="O517" s="98"/>
      <c r="P517" s="98"/>
      <c r="Q517" s="98"/>
      <c r="R517" s="98"/>
      <c r="S517" s="98"/>
      <c r="T517" s="98"/>
      <c r="U517" s="98"/>
      <c r="V517" s="98"/>
      <c r="W517" s="98">
        <v>461.79999999999893</v>
      </c>
      <c r="X517" s="98"/>
      <c r="Y517" s="98"/>
      <c r="Z517" s="98"/>
      <c r="AA517" s="230"/>
      <c r="AB517" s="230"/>
      <c r="AC517" s="230"/>
    </row>
    <row r="518" spans="2:29">
      <c r="B518" s="98">
        <v>548</v>
      </c>
      <c r="C518" s="98"/>
      <c r="D518" s="98"/>
      <c r="E518" s="98"/>
      <c r="F518" s="98"/>
      <c r="G518" s="98"/>
      <c r="H518" s="98"/>
      <c r="I518" s="98"/>
      <c r="J518" s="98"/>
      <c r="K518" s="98">
        <v>90.0799999999997</v>
      </c>
      <c r="L518" s="98"/>
      <c r="M518" s="98"/>
      <c r="N518" s="98"/>
      <c r="O518" s="98"/>
      <c r="P518" s="98"/>
      <c r="Q518" s="98"/>
      <c r="R518" s="98"/>
      <c r="S518" s="98"/>
      <c r="T518" s="98"/>
      <c r="U518" s="98"/>
      <c r="V518" s="98"/>
      <c r="W518" s="98">
        <v>461.19999999999891</v>
      </c>
      <c r="X518" s="98"/>
      <c r="Y518" s="98"/>
      <c r="Z518" s="98"/>
      <c r="AA518" s="230"/>
      <c r="AB518" s="230"/>
      <c r="AC518" s="230"/>
    </row>
    <row r="519" spans="2:29">
      <c r="B519" s="98">
        <v>549</v>
      </c>
      <c r="C519" s="98"/>
      <c r="D519" s="98"/>
      <c r="E519" s="98"/>
      <c r="F519" s="98"/>
      <c r="G519" s="98"/>
      <c r="H519" s="98"/>
      <c r="I519" s="98"/>
      <c r="J519" s="98"/>
      <c r="K519" s="98">
        <v>90.039999999999694</v>
      </c>
      <c r="L519" s="98"/>
      <c r="M519" s="98"/>
      <c r="N519" s="98"/>
      <c r="O519" s="98"/>
      <c r="P519" s="98"/>
      <c r="Q519" s="98"/>
      <c r="R519" s="98"/>
      <c r="S519" s="98"/>
      <c r="T519" s="98"/>
      <c r="U519" s="98"/>
      <c r="V519" s="98"/>
      <c r="W519" s="98">
        <v>460.59999999999889</v>
      </c>
      <c r="X519" s="98"/>
      <c r="Y519" s="98"/>
      <c r="Z519" s="98"/>
      <c r="AA519" s="230"/>
      <c r="AB519" s="230"/>
      <c r="AC519" s="230"/>
    </row>
    <row r="520" spans="2:29">
      <c r="B520" s="98">
        <v>550</v>
      </c>
      <c r="C520" s="98"/>
      <c r="D520" s="98"/>
      <c r="E520" s="98"/>
      <c r="F520" s="98"/>
      <c r="G520" s="98"/>
      <c r="H520" s="98"/>
      <c r="I520" s="98"/>
      <c r="J520" s="98"/>
      <c r="K520" s="98">
        <v>90</v>
      </c>
      <c r="L520" s="98"/>
      <c r="M520" s="98"/>
      <c r="N520" s="98"/>
      <c r="O520" s="98"/>
      <c r="P520" s="98"/>
      <c r="Q520" s="98"/>
      <c r="R520" s="98"/>
      <c r="S520" s="98">
        <v>123</v>
      </c>
      <c r="T520" s="98"/>
      <c r="U520" s="98"/>
      <c r="V520" s="98"/>
      <c r="W520" s="98">
        <v>460</v>
      </c>
      <c r="X520" s="98"/>
      <c r="Y520" s="98"/>
      <c r="Z520" s="98"/>
      <c r="AA520" s="230"/>
      <c r="AB520" s="230"/>
      <c r="AC520" s="230"/>
    </row>
  </sheetData>
  <phoneticPr fontId="12" type="noConversion"/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Z252"/>
  <sheetViews>
    <sheetView workbookViewId="0">
      <selection activeCell="S7" sqref="S6:S7"/>
    </sheetView>
  </sheetViews>
  <sheetFormatPr defaultRowHeight="12.75"/>
  <cols>
    <col min="1" max="1" width="15.28515625" bestFit="1" customWidth="1"/>
    <col min="2" max="2" width="10.85546875" bestFit="1" customWidth="1"/>
    <col min="3" max="3" width="8.28515625" bestFit="1" customWidth="1"/>
    <col min="4" max="4" width="12.7109375" style="98" bestFit="1" customWidth="1"/>
    <col min="5" max="5" width="8.7109375" bestFit="1" customWidth="1"/>
    <col min="6" max="6" width="7.85546875" bestFit="1" customWidth="1"/>
    <col min="7" max="7" width="8" bestFit="1" customWidth="1"/>
    <col min="8" max="8" width="7.7109375" bestFit="1" customWidth="1"/>
    <col min="9" max="9" width="7.85546875" bestFit="1" customWidth="1"/>
    <col min="10" max="10" width="8.85546875" bestFit="1" customWidth="1"/>
    <col min="11" max="11" width="9.42578125" bestFit="1" customWidth="1"/>
    <col min="12" max="12" width="8.7109375" bestFit="1" customWidth="1"/>
    <col min="13" max="13" width="7" customWidth="1"/>
    <col min="14" max="14" width="8.140625" bestFit="1" customWidth="1"/>
    <col min="15" max="15" width="7" bestFit="1" customWidth="1"/>
    <col min="16" max="16" width="7.5703125" bestFit="1" customWidth="1"/>
    <col min="17" max="17" width="7.42578125" bestFit="1" customWidth="1"/>
    <col min="18" max="18" width="20.140625" bestFit="1" customWidth="1"/>
    <col min="21" max="21" width="11" bestFit="1" customWidth="1"/>
    <col min="23" max="23" width="53.85546875" bestFit="1" customWidth="1"/>
    <col min="24" max="24" width="37.42578125" bestFit="1" customWidth="1"/>
    <col min="25" max="25" width="14.5703125" style="98" bestFit="1" customWidth="1"/>
    <col min="26" max="26" width="9.140625" style="98"/>
  </cols>
  <sheetData>
    <row r="1" spans="1:26" ht="15.75" thickBot="1">
      <c r="A1" s="96" t="s">
        <v>196</v>
      </c>
      <c r="B1" s="96" t="s">
        <v>197</v>
      </c>
      <c r="C1" s="96" t="s">
        <v>198</v>
      </c>
      <c r="D1" s="96" t="s">
        <v>262</v>
      </c>
      <c r="E1" s="96" t="s">
        <v>199</v>
      </c>
      <c r="F1" s="96" t="s">
        <v>200</v>
      </c>
      <c r="G1" s="96" t="s">
        <v>201</v>
      </c>
      <c r="H1" s="96" t="s">
        <v>202</v>
      </c>
      <c r="I1" s="96" t="s">
        <v>203</v>
      </c>
      <c r="J1" s="97" t="s">
        <v>204</v>
      </c>
      <c r="K1" s="97" t="s">
        <v>205</v>
      </c>
      <c r="L1" s="97" t="s">
        <v>206</v>
      </c>
      <c r="M1" s="96" t="s">
        <v>13</v>
      </c>
      <c r="N1" s="97" t="s">
        <v>207</v>
      </c>
      <c r="O1" s="96" t="s">
        <v>208</v>
      </c>
      <c r="P1" s="96" t="s">
        <v>209</v>
      </c>
      <c r="Q1" s="97" t="s">
        <v>210</v>
      </c>
      <c r="R1" s="96" t="s">
        <v>211</v>
      </c>
      <c r="S1" s="96"/>
      <c r="T1" s="96" t="s">
        <v>263</v>
      </c>
      <c r="U1" s="96" t="str">
        <f>MID(str.1!F4,FIND("PN",str.1!F4,1),FIND(",",str.1!F4,1)-FIND("PN",str.1!F4,1))</f>
        <v>PN100-DN400</v>
      </c>
      <c r="V1" s="96"/>
      <c r="W1" s="484" t="s">
        <v>212</v>
      </c>
      <c r="X1" s="484"/>
      <c r="Y1" s="96" t="s">
        <v>213</v>
      </c>
      <c r="Z1" s="96" t="s">
        <v>18</v>
      </c>
    </row>
    <row r="2" spans="1:26">
      <c r="A2" s="98" t="s">
        <v>214</v>
      </c>
      <c r="B2" s="98" t="s">
        <v>215</v>
      </c>
      <c r="C2" s="98">
        <v>10</v>
      </c>
      <c r="D2" s="98" t="str">
        <f t="shared" ref="D2:D65" si="0">B2&amp;"-DN"&amp;C2</f>
        <v>PN6-DN10</v>
      </c>
      <c r="E2" s="98">
        <v>75</v>
      </c>
      <c r="F2" s="98">
        <v>50</v>
      </c>
      <c r="G2" s="98">
        <v>26</v>
      </c>
      <c r="H2" s="98">
        <v>17.2</v>
      </c>
      <c r="I2" s="98">
        <v>11</v>
      </c>
      <c r="J2" s="98">
        <v>35</v>
      </c>
      <c r="K2" s="98"/>
      <c r="L2" s="98"/>
      <c r="M2" s="98">
        <v>10</v>
      </c>
      <c r="N2" s="98"/>
      <c r="O2" s="98">
        <v>10</v>
      </c>
      <c r="P2" s="98">
        <v>4</v>
      </c>
      <c r="Q2" s="98">
        <v>10</v>
      </c>
      <c r="R2" s="98"/>
      <c r="S2" s="2" t="s">
        <v>40</v>
      </c>
      <c r="T2" s="121">
        <f>INDEX($D$2:$Q$252,MATCH($U$1,$D$2:$D$252,0),2)</f>
        <v>685.8</v>
      </c>
      <c r="U2" s="121"/>
      <c r="W2" s="470" t="s">
        <v>216</v>
      </c>
      <c r="X2" s="99" t="s">
        <v>217</v>
      </c>
      <c r="Y2" s="99">
        <v>0.5</v>
      </c>
      <c r="Z2" s="100">
        <v>0</v>
      </c>
    </row>
    <row r="3" spans="1:26" ht="13.5" thickBot="1">
      <c r="A3" s="98" t="s">
        <v>214</v>
      </c>
      <c r="B3" s="98" t="s">
        <v>215</v>
      </c>
      <c r="C3" s="98">
        <v>15</v>
      </c>
      <c r="D3" s="98" t="str">
        <f t="shared" si="0"/>
        <v>PN6-DN15</v>
      </c>
      <c r="E3" s="98">
        <v>80</v>
      </c>
      <c r="F3" s="98">
        <v>55</v>
      </c>
      <c r="G3" s="98">
        <v>30</v>
      </c>
      <c r="H3" s="98">
        <v>21.3</v>
      </c>
      <c r="I3" s="98">
        <v>11</v>
      </c>
      <c r="J3" s="98">
        <v>40</v>
      </c>
      <c r="K3" s="98"/>
      <c r="L3" s="98"/>
      <c r="M3" s="98">
        <v>10</v>
      </c>
      <c r="N3" s="98"/>
      <c r="O3" s="98">
        <v>12</v>
      </c>
      <c r="P3" s="98">
        <v>4</v>
      </c>
      <c r="Q3" s="98">
        <v>10</v>
      </c>
      <c r="R3" s="98"/>
      <c r="S3" s="2" t="s">
        <v>44</v>
      </c>
      <c r="T3" s="124"/>
      <c r="U3" s="124"/>
      <c r="W3" s="471"/>
      <c r="X3" s="101" t="s">
        <v>218</v>
      </c>
      <c r="Y3" s="101">
        <v>1</v>
      </c>
      <c r="Z3" s="102">
        <v>1.4</v>
      </c>
    </row>
    <row r="4" spans="1:26" ht="13.5" thickBot="1">
      <c r="A4" s="98" t="s">
        <v>214</v>
      </c>
      <c r="B4" s="98" t="s">
        <v>215</v>
      </c>
      <c r="C4" s="98">
        <v>20</v>
      </c>
      <c r="D4" s="98" t="str">
        <f t="shared" si="0"/>
        <v>PN6-DN20</v>
      </c>
      <c r="E4" s="98">
        <v>90</v>
      </c>
      <c r="F4" s="98">
        <v>65</v>
      </c>
      <c r="G4" s="98">
        <v>38</v>
      </c>
      <c r="H4" s="98">
        <v>26.9</v>
      </c>
      <c r="I4" s="98">
        <v>11</v>
      </c>
      <c r="J4" s="98">
        <v>50</v>
      </c>
      <c r="K4" s="98"/>
      <c r="L4" s="98"/>
      <c r="M4" s="98">
        <v>12</v>
      </c>
      <c r="N4" s="98"/>
      <c r="O4" s="98">
        <v>12</v>
      </c>
      <c r="P4" s="98">
        <v>4</v>
      </c>
      <c r="Q4" s="98">
        <v>10</v>
      </c>
      <c r="R4" s="98"/>
      <c r="S4" s="2" t="s">
        <v>11</v>
      </c>
      <c r="T4" s="121">
        <f>INDEX($D$2:$Q$252,MATCH($U$1,$D$2:$D$252,0),3)</f>
        <v>603.29999999999995</v>
      </c>
      <c r="U4" s="121"/>
      <c r="W4" s="485" t="s">
        <v>219</v>
      </c>
      <c r="X4" s="486"/>
      <c r="Y4" s="103">
        <v>1.25</v>
      </c>
      <c r="Z4" s="104">
        <v>2.8</v>
      </c>
    </row>
    <row r="5" spans="1:26" ht="15.75">
      <c r="A5" s="98" t="s">
        <v>214</v>
      </c>
      <c r="B5" s="98" t="s">
        <v>215</v>
      </c>
      <c r="C5" s="98">
        <v>25</v>
      </c>
      <c r="D5" s="98" t="str">
        <f t="shared" si="0"/>
        <v>PN6-DN25</v>
      </c>
      <c r="E5" s="98">
        <v>100</v>
      </c>
      <c r="F5" s="98">
        <v>75</v>
      </c>
      <c r="G5" s="98">
        <v>42</v>
      </c>
      <c r="H5" s="98">
        <v>33.700000000000003</v>
      </c>
      <c r="I5" s="98">
        <v>11</v>
      </c>
      <c r="J5" s="98">
        <v>60</v>
      </c>
      <c r="K5" s="98"/>
      <c r="L5" s="98"/>
      <c r="M5" s="98">
        <v>12</v>
      </c>
      <c r="N5" s="98"/>
      <c r="O5" s="98">
        <v>15</v>
      </c>
      <c r="P5" s="98">
        <v>4</v>
      </c>
      <c r="Q5" s="98">
        <v>10</v>
      </c>
      <c r="R5" s="98"/>
      <c r="S5" s="2" t="s">
        <v>30</v>
      </c>
      <c r="T5" s="121">
        <f>INDEX($D$2:$Q$252,MATCH($U$1,$D$2:$D$252,0),4)</f>
        <v>495.3</v>
      </c>
      <c r="U5" s="121"/>
      <c r="W5" s="470" t="s">
        <v>220</v>
      </c>
      <c r="X5" s="99" t="s">
        <v>221</v>
      </c>
      <c r="Y5" s="99">
        <v>2.2999999999999998</v>
      </c>
      <c r="Z5" s="100">
        <v>40</v>
      </c>
    </row>
    <row r="6" spans="1:26" ht="16.5" thickBot="1">
      <c r="A6" s="98" t="s">
        <v>214</v>
      </c>
      <c r="B6" s="98" t="s">
        <v>215</v>
      </c>
      <c r="C6" s="98">
        <v>32</v>
      </c>
      <c r="D6" s="98" t="str">
        <f t="shared" si="0"/>
        <v>PN6-DN32</v>
      </c>
      <c r="E6" s="98">
        <v>120</v>
      </c>
      <c r="F6" s="98">
        <v>90</v>
      </c>
      <c r="G6" s="98">
        <v>55</v>
      </c>
      <c r="H6" s="98">
        <v>42.4</v>
      </c>
      <c r="I6" s="98">
        <v>14</v>
      </c>
      <c r="J6" s="98">
        <v>70</v>
      </c>
      <c r="K6" s="98"/>
      <c r="L6" s="98"/>
      <c r="M6" s="98">
        <v>12</v>
      </c>
      <c r="N6" s="98"/>
      <c r="O6" s="98">
        <v>15</v>
      </c>
      <c r="P6" s="98">
        <v>4</v>
      </c>
      <c r="Q6" s="98">
        <v>12</v>
      </c>
      <c r="R6" s="98"/>
      <c r="S6" s="2" t="s">
        <v>14</v>
      </c>
      <c r="T6" s="121">
        <f>INDEX($D$2:$Q$252,MATCH($U$1,$D$2:$D$252,0),5)</f>
        <v>406.4</v>
      </c>
      <c r="U6" s="121"/>
      <c r="W6" s="471"/>
      <c r="X6" s="101" t="s">
        <v>222</v>
      </c>
      <c r="Y6" s="101">
        <v>2.4</v>
      </c>
      <c r="Z6" s="102">
        <v>20</v>
      </c>
    </row>
    <row r="7" spans="1:26" ht="15.75">
      <c r="A7" s="98" t="s">
        <v>214</v>
      </c>
      <c r="B7" s="98" t="s">
        <v>215</v>
      </c>
      <c r="C7" s="98">
        <v>40</v>
      </c>
      <c r="D7" s="98" t="str">
        <f t="shared" si="0"/>
        <v>PN6-DN40</v>
      </c>
      <c r="E7" s="98">
        <v>130</v>
      </c>
      <c r="F7" s="98">
        <v>100</v>
      </c>
      <c r="G7" s="98">
        <v>62</v>
      </c>
      <c r="H7" s="98">
        <v>48.3</v>
      </c>
      <c r="I7" s="98">
        <v>14</v>
      </c>
      <c r="J7" s="98">
        <v>80</v>
      </c>
      <c r="K7" s="98"/>
      <c r="L7" s="98"/>
      <c r="M7" s="98">
        <v>11</v>
      </c>
      <c r="N7" s="98"/>
      <c r="O7" s="98">
        <v>17</v>
      </c>
      <c r="P7" s="98">
        <v>4</v>
      </c>
      <c r="Q7" s="98">
        <v>12</v>
      </c>
      <c r="R7" s="98"/>
      <c r="S7" s="2" t="s">
        <v>16</v>
      </c>
      <c r="T7" s="121">
        <f>INDEX($D$2:$Q$252,MATCH($U$1,$D$2:$D$252,0),6)</f>
        <v>48</v>
      </c>
      <c r="U7" s="121"/>
      <c r="W7" s="474" t="s">
        <v>223</v>
      </c>
      <c r="X7" s="105" t="s">
        <v>221</v>
      </c>
      <c r="Y7" s="105">
        <v>1.6</v>
      </c>
      <c r="Z7" s="106">
        <v>15</v>
      </c>
    </row>
    <row r="8" spans="1:26" ht="16.5" thickBot="1">
      <c r="A8" s="98" t="s">
        <v>214</v>
      </c>
      <c r="B8" s="98" t="s">
        <v>215</v>
      </c>
      <c r="C8" s="98">
        <v>50</v>
      </c>
      <c r="D8" s="98" t="str">
        <f t="shared" si="0"/>
        <v>PN6-DN50</v>
      </c>
      <c r="E8" s="98">
        <v>140</v>
      </c>
      <c r="F8" s="98">
        <v>110</v>
      </c>
      <c r="G8" s="98">
        <v>74</v>
      </c>
      <c r="H8" s="98">
        <v>60.3</v>
      </c>
      <c r="I8" s="98">
        <v>14</v>
      </c>
      <c r="J8" s="98">
        <v>90</v>
      </c>
      <c r="K8" s="98"/>
      <c r="L8" s="98"/>
      <c r="M8" s="98">
        <v>11</v>
      </c>
      <c r="N8" s="98"/>
      <c r="O8" s="98">
        <v>16</v>
      </c>
      <c r="P8" s="98">
        <v>4</v>
      </c>
      <c r="Q8" s="98">
        <v>12</v>
      </c>
      <c r="R8" s="98"/>
      <c r="S8" s="58" t="s">
        <v>47</v>
      </c>
      <c r="T8" s="123">
        <f>INDEX($D$2:$Q$252,MATCH($U$1,$D$2:$D$252,0),7)</f>
        <v>551.29999999999995</v>
      </c>
      <c r="U8" s="123"/>
      <c r="W8" s="476"/>
      <c r="X8" s="107" t="s">
        <v>222</v>
      </c>
      <c r="Y8" s="107">
        <v>1.4</v>
      </c>
      <c r="Z8" s="108">
        <v>10</v>
      </c>
    </row>
    <row r="9" spans="1:26" ht="16.5" thickBot="1">
      <c r="A9" s="98" t="s">
        <v>214</v>
      </c>
      <c r="B9" s="98" t="s">
        <v>215</v>
      </c>
      <c r="C9" s="98">
        <v>65</v>
      </c>
      <c r="D9" s="98" t="str">
        <f t="shared" si="0"/>
        <v>PN6-DN65</v>
      </c>
      <c r="E9" s="98">
        <v>160</v>
      </c>
      <c r="F9" s="98">
        <v>130</v>
      </c>
      <c r="G9" s="98">
        <v>88</v>
      </c>
      <c r="H9" s="98">
        <v>76.099999999999994</v>
      </c>
      <c r="I9" s="98">
        <v>14</v>
      </c>
      <c r="J9" s="98">
        <v>110</v>
      </c>
      <c r="K9" s="98"/>
      <c r="L9" s="98"/>
      <c r="M9" s="98">
        <v>11</v>
      </c>
      <c r="N9" s="98"/>
      <c r="O9" s="98">
        <v>15</v>
      </c>
      <c r="P9" s="98">
        <v>4</v>
      </c>
      <c r="Q9" s="98">
        <v>12</v>
      </c>
      <c r="R9" s="98"/>
      <c r="S9" s="58" t="s">
        <v>48</v>
      </c>
      <c r="T9" s="123">
        <f>INDEX($D$2:$Q$252,MATCH($U$1,$D$2:$D$252,0),8)</f>
        <v>422</v>
      </c>
      <c r="U9" s="123"/>
      <c r="W9" s="482" t="s">
        <v>224</v>
      </c>
      <c r="X9" s="483"/>
      <c r="Y9" s="109">
        <v>1.5</v>
      </c>
      <c r="Z9" s="110">
        <v>20</v>
      </c>
    </row>
    <row r="10" spans="1:26" ht="15.75">
      <c r="A10" s="98" t="s">
        <v>214</v>
      </c>
      <c r="B10" s="98" t="s">
        <v>215</v>
      </c>
      <c r="C10" s="98">
        <v>80</v>
      </c>
      <c r="D10" s="98" t="str">
        <f t="shared" si="0"/>
        <v>PN6-DN80</v>
      </c>
      <c r="E10" s="98">
        <v>190</v>
      </c>
      <c r="F10" s="98">
        <v>150</v>
      </c>
      <c r="G10" s="98">
        <v>102</v>
      </c>
      <c r="H10" s="98">
        <v>88.9</v>
      </c>
      <c r="I10" s="98">
        <v>18</v>
      </c>
      <c r="J10" s="98">
        <v>128</v>
      </c>
      <c r="K10" s="98"/>
      <c r="L10" s="98"/>
      <c r="M10" s="98">
        <v>13</v>
      </c>
      <c r="N10" s="98"/>
      <c r="O10" s="98">
        <v>16</v>
      </c>
      <c r="P10" s="98">
        <v>4</v>
      </c>
      <c r="Q10" s="98">
        <v>16</v>
      </c>
      <c r="R10" s="98"/>
      <c r="S10" s="58" t="s">
        <v>49</v>
      </c>
      <c r="T10" s="123">
        <f>INDEX($D$2:$Q$252,MATCH($U$1,$D$2:$D$252,0),9)</f>
        <v>456</v>
      </c>
      <c r="U10" s="123"/>
      <c r="W10" s="474" t="s">
        <v>225</v>
      </c>
      <c r="X10" s="105" t="s">
        <v>226</v>
      </c>
      <c r="Y10" s="105">
        <v>2.5</v>
      </c>
      <c r="Z10" s="106">
        <v>60</v>
      </c>
    </row>
    <row r="11" spans="1:26">
      <c r="A11" s="98" t="s">
        <v>214</v>
      </c>
      <c r="B11" s="98" t="s">
        <v>215</v>
      </c>
      <c r="C11" s="98">
        <v>100</v>
      </c>
      <c r="D11" s="98" t="str">
        <f t="shared" si="0"/>
        <v>PN6-DN100</v>
      </c>
      <c r="E11" s="98">
        <v>210</v>
      </c>
      <c r="F11" s="98">
        <v>170</v>
      </c>
      <c r="G11" s="98">
        <v>130</v>
      </c>
      <c r="H11" s="98">
        <v>114.3</v>
      </c>
      <c r="I11" s="98">
        <v>18</v>
      </c>
      <c r="J11" s="98">
        <v>148</v>
      </c>
      <c r="K11" s="98"/>
      <c r="L11" s="98"/>
      <c r="M11" s="98">
        <v>13</v>
      </c>
      <c r="N11" s="98"/>
      <c r="O11" s="98">
        <v>19</v>
      </c>
      <c r="P11" s="98">
        <v>4</v>
      </c>
      <c r="Q11" s="98">
        <v>16</v>
      </c>
      <c r="R11" s="98"/>
      <c r="S11" s="2" t="s">
        <v>41</v>
      </c>
      <c r="T11" s="121">
        <f>INDEX($D$2:$Q$252,MATCH($U$1,$D$2:$D$252,0),10)</f>
        <v>78.599999999999994</v>
      </c>
      <c r="U11" s="121"/>
      <c r="W11" s="475"/>
      <c r="X11" s="111" t="s">
        <v>227</v>
      </c>
      <c r="Y11" s="111">
        <v>2.4</v>
      </c>
      <c r="Z11" s="112">
        <v>60</v>
      </c>
    </row>
    <row r="12" spans="1:26" ht="16.5" thickBot="1">
      <c r="A12" s="98" t="s">
        <v>214</v>
      </c>
      <c r="B12" s="98" t="s">
        <v>215</v>
      </c>
      <c r="C12" s="98">
        <v>125</v>
      </c>
      <c r="D12" s="98" t="str">
        <f t="shared" si="0"/>
        <v>PN6-DN125</v>
      </c>
      <c r="E12" s="98">
        <v>240</v>
      </c>
      <c r="F12" s="98">
        <v>200</v>
      </c>
      <c r="G12" s="98">
        <v>155</v>
      </c>
      <c r="H12" s="98">
        <v>139.69999999999999</v>
      </c>
      <c r="I12" s="98">
        <v>18</v>
      </c>
      <c r="J12" s="98">
        <v>178</v>
      </c>
      <c r="K12" s="98"/>
      <c r="L12" s="98"/>
      <c r="M12" s="98">
        <v>15</v>
      </c>
      <c r="N12" s="98"/>
      <c r="O12" s="98">
        <v>20</v>
      </c>
      <c r="P12" s="98">
        <v>8</v>
      </c>
      <c r="Q12" s="98">
        <v>16</v>
      </c>
      <c r="R12" s="98"/>
      <c r="S12" s="2" t="s">
        <v>28</v>
      </c>
      <c r="T12" s="121"/>
      <c r="U12" s="121"/>
      <c r="W12" s="476"/>
      <c r="X12" s="107" t="s">
        <v>228</v>
      </c>
      <c r="Y12" s="107">
        <v>1.2</v>
      </c>
      <c r="Z12" s="108">
        <v>20</v>
      </c>
    </row>
    <row r="13" spans="1:26" ht="16.5" thickBot="1">
      <c r="A13" s="98" t="s">
        <v>214</v>
      </c>
      <c r="B13" s="98" t="s">
        <v>215</v>
      </c>
      <c r="C13" s="98">
        <v>150</v>
      </c>
      <c r="D13" s="98" t="str">
        <f t="shared" si="0"/>
        <v>PN6-DN150</v>
      </c>
      <c r="E13" s="98">
        <v>265</v>
      </c>
      <c r="F13" s="98">
        <v>225</v>
      </c>
      <c r="G13" s="98">
        <v>184</v>
      </c>
      <c r="H13" s="98">
        <v>168.3</v>
      </c>
      <c r="I13" s="98">
        <v>18</v>
      </c>
      <c r="J13" s="98">
        <v>202</v>
      </c>
      <c r="K13" s="98"/>
      <c r="L13" s="98"/>
      <c r="M13" s="98">
        <v>15</v>
      </c>
      <c r="N13" s="98"/>
      <c r="O13" s="98">
        <v>18</v>
      </c>
      <c r="P13" s="98">
        <v>8</v>
      </c>
      <c r="Q13" s="98">
        <v>16</v>
      </c>
      <c r="R13" s="98"/>
      <c r="S13" s="2" t="s">
        <v>42</v>
      </c>
      <c r="T13" s="118"/>
      <c r="U13" s="118"/>
      <c r="W13" s="113" t="s">
        <v>229</v>
      </c>
      <c r="X13" s="109" t="s">
        <v>230</v>
      </c>
      <c r="Y13" s="109">
        <v>2.5</v>
      </c>
      <c r="Z13" s="110">
        <v>60</v>
      </c>
    </row>
    <row r="14" spans="1:26" ht="16.5" thickBot="1">
      <c r="A14" s="98" t="s">
        <v>214</v>
      </c>
      <c r="B14" s="98" t="s">
        <v>215</v>
      </c>
      <c r="C14" s="98">
        <v>200</v>
      </c>
      <c r="D14" s="98" t="str">
        <f t="shared" si="0"/>
        <v>PN6-DN200</v>
      </c>
      <c r="E14" s="98">
        <v>320</v>
      </c>
      <c r="F14" s="98">
        <v>280</v>
      </c>
      <c r="G14" s="98">
        <v>236</v>
      </c>
      <c r="H14" s="98">
        <v>219.1</v>
      </c>
      <c r="I14" s="98">
        <v>18</v>
      </c>
      <c r="J14" s="98">
        <v>258</v>
      </c>
      <c r="K14" s="98"/>
      <c r="L14" s="98"/>
      <c r="M14" s="98">
        <v>17</v>
      </c>
      <c r="N14" s="98"/>
      <c r="O14" s="98">
        <v>20</v>
      </c>
      <c r="P14" s="98">
        <v>8</v>
      </c>
      <c r="Q14" s="98">
        <v>16</v>
      </c>
      <c r="R14" s="98"/>
      <c r="S14" s="2" t="s">
        <v>45</v>
      </c>
      <c r="T14" s="118"/>
      <c r="U14" s="118"/>
      <c r="W14" s="114" t="s">
        <v>231</v>
      </c>
      <c r="X14" s="103" t="s">
        <v>230</v>
      </c>
      <c r="Y14" s="103">
        <v>2.9</v>
      </c>
      <c r="Z14" s="104">
        <v>20</v>
      </c>
    </row>
    <row r="15" spans="1:26" ht="15.75">
      <c r="A15" s="98" t="s">
        <v>214</v>
      </c>
      <c r="B15" s="98" t="s">
        <v>215</v>
      </c>
      <c r="C15" s="98">
        <v>250</v>
      </c>
      <c r="D15" s="98" t="str">
        <f t="shared" si="0"/>
        <v>PN6-DN250</v>
      </c>
      <c r="E15" s="98">
        <v>375</v>
      </c>
      <c r="F15" s="98">
        <v>335</v>
      </c>
      <c r="G15" s="98">
        <v>290</v>
      </c>
      <c r="H15" s="98">
        <v>273</v>
      </c>
      <c r="I15" s="98">
        <v>18</v>
      </c>
      <c r="J15" s="98">
        <v>312</v>
      </c>
      <c r="K15" s="98"/>
      <c r="L15" s="98"/>
      <c r="M15" s="98">
        <v>19</v>
      </c>
      <c r="N15" s="98"/>
      <c r="O15" s="98">
        <v>23</v>
      </c>
      <c r="P15" s="98">
        <v>12</v>
      </c>
      <c r="Q15" s="98">
        <v>16</v>
      </c>
      <c r="R15" s="98"/>
      <c r="S15" s="58" t="s">
        <v>32</v>
      </c>
      <c r="T15" s="119"/>
      <c r="U15" s="120"/>
      <c r="W15" s="470" t="s">
        <v>232</v>
      </c>
      <c r="X15" s="99" t="s">
        <v>233</v>
      </c>
      <c r="Y15" s="99">
        <v>2.5</v>
      </c>
      <c r="Z15" s="100">
        <v>20</v>
      </c>
    </row>
    <row r="16" spans="1:26">
      <c r="A16" s="98" t="s">
        <v>214</v>
      </c>
      <c r="B16" s="98" t="s">
        <v>215</v>
      </c>
      <c r="C16" s="98">
        <v>300</v>
      </c>
      <c r="D16" s="98" t="str">
        <f>B16&amp;"-DN"&amp;C16</f>
        <v>PN6-DN300</v>
      </c>
      <c r="E16" s="98">
        <v>440</v>
      </c>
      <c r="F16" s="98">
        <v>395</v>
      </c>
      <c r="G16" s="98">
        <v>342</v>
      </c>
      <c r="H16" s="98">
        <v>323.89999999999998</v>
      </c>
      <c r="I16" s="98">
        <v>22</v>
      </c>
      <c r="J16" s="98">
        <v>365</v>
      </c>
      <c r="K16" s="98"/>
      <c r="L16" s="98"/>
      <c r="M16" s="98">
        <v>18</v>
      </c>
      <c r="N16" s="98"/>
      <c r="O16" s="98">
        <v>25</v>
      </c>
      <c r="P16" s="98">
        <v>12</v>
      </c>
      <c r="Q16" s="98">
        <v>20</v>
      </c>
      <c r="R16" s="98"/>
      <c r="S16" s="2" t="s">
        <v>13</v>
      </c>
      <c r="T16" s="121">
        <f>INDEX($D$2:$Q$252,MATCH($U$1,$D$2:$D$252,0),12)</f>
        <v>100.19999999999999</v>
      </c>
      <c r="U16" s="121"/>
      <c r="W16" s="477"/>
      <c r="X16" s="115" t="s">
        <v>234</v>
      </c>
      <c r="Y16" s="115">
        <v>2.75</v>
      </c>
      <c r="Z16" s="116">
        <v>25.5</v>
      </c>
    </row>
    <row r="17" spans="1:26" ht="16.5" thickBot="1">
      <c r="A17" s="98" t="s">
        <v>214</v>
      </c>
      <c r="B17" s="98" t="s">
        <v>215</v>
      </c>
      <c r="C17" s="98">
        <v>350</v>
      </c>
      <c r="D17" s="98" t="str">
        <f t="shared" si="0"/>
        <v>PN6-DN350</v>
      </c>
      <c r="E17" s="98">
        <v>490</v>
      </c>
      <c r="F17" s="98">
        <v>445</v>
      </c>
      <c r="G17" s="98">
        <v>385</v>
      </c>
      <c r="H17" s="98">
        <v>355.6</v>
      </c>
      <c r="I17" s="98">
        <v>22</v>
      </c>
      <c r="J17" s="98">
        <v>415</v>
      </c>
      <c r="K17" s="98"/>
      <c r="L17" s="98"/>
      <c r="M17" s="98">
        <v>18</v>
      </c>
      <c r="N17" s="98"/>
      <c r="O17" s="98">
        <v>25</v>
      </c>
      <c r="P17" s="98">
        <v>12</v>
      </c>
      <c r="Q17" s="98">
        <v>20</v>
      </c>
      <c r="R17" s="98"/>
      <c r="S17" s="61" t="s">
        <v>15</v>
      </c>
      <c r="T17" s="122">
        <f>INDEX($D$2:$Q$252,MATCH($U$1,$D$2:$D$252,0),13)</f>
        <v>20</v>
      </c>
      <c r="U17" s="122"/>
      <c r="W17" s="477"/>
      <c r="X17" s="115" t="s">
        <v>235</v>
      </c>
      <c r="Y17" s="115">
        <v>3</v>
      </c>
      <c r="Z17" s="116">
        <v>31</v>
      </c>
    </row>
    <row r="18" spans="1:26">
      <c r="A18" s="98" t="s">
        <v>214</v>
      </c>
      <c r="B18" s="98" t="s">
        <v>215</v>
      </c>
      <c r="C18" s="98">
        <v>400</v>
      </c>
      <c r="D18" s="98" t="str">
        <f t="shared" si="0"/>
        <v>PN6-DN400</v>
      </c>
      <c r="E18" s="98">
        <v>540</v>
      </c>
      <c r="F18" s="98">
        <v>495</v>
      </c>
      <c r="G18" s="98">
        <v>438</v>
      </c>
      <c r="H18" s="98">
        <v>406.4</v>
      </c>
      <c r="I18" s="98">
        <v>22</v>
      </c>
      <c r="J18" s="98">
        <v>465</v>
      </c>
      <c r="K18" s="98"/>
      <c r="L18" s="98"/>
      <c r="M18" s="98">
        <v>18</v>
      </c>
      <c r="N18" s="98"/>
      <c r="O18" s="98">
        <v>28</v>
      </c>
      <c r="P18" s="98">
        <v>16</v>
      </c>
      <c r="Q18" s="98">
        <v>20</v>
      </c>
      <c r="R18" s="98"/>
      <c r="W18" s="477"/>
      <c r="X18" s="115" t="s">
        <v>236</v>
      </c>
      <c r="Y18" s="115">
        <v>3.25</v>
      </c>
      <c r="Z18" s="116">
        <v>37.9</v>
      </c>
    </row>
    <row r="19" spans="1:26" ht="13.5" thickBot="1">
      <c r="A19" s="98" t="s">
        <v>214</v>
      </c>
      <c r="B19" s="98" t="s">
        <v>215</v>
      </c>
      <c r="C19" s="98">
        <v>450</v>
      </c>
      <c r="D19" s="98" t="str">
        <f t="shared" si="0"/>
        <v>PN6-DN450</v>
      </c>
      <c r="E19" s="98">
        <v>595</v>
      </c>
      <c r="F19" s="98">
        <v>550</v>
      </c>
      <c r="G19" s="98">
        <v>492</v>
      </c>
      <c r="H19" s="98">
        <v>457.2</v>
      </c>
      <c r="I19" s="98">
        <v>22</v>
      </c>
      <c r="J19" s="98">
        <v>520</v>
      </c>
      <c r="K19" s="98"/>
      <c r="L19" s="98"/>
      <c r="M19" s="98">
        <v>18</v>
      </c>
      <c r="N19" s="98"/>
      <c r="O19" s="98">
        <v>28</v>
      </c>
      <c r="P19" s="98">
        <v>16</v>
      </c>
      <c r="Q19" s="98">
        <v>20</v>
      </c>
      <c r="R19" s="98"/>
      <c r="W19" s="471"/>
      <c r="X19" s="101" t="s">
        <v>237</v>
      </c>
      <c r="Y19" s="101">
        <v>3.5</v>
      </c>
      <c r="Z19" s="102">
        <v>44.8</v>
      </c>
    </row>
    <row r="20" spans="1:26" ht="13.5" thickBot="1">
      <c r="A20" s="98" t="s">
        <v>214</v>
      </c>
      <c r="B20" s="98" t="s">
        <v>215</v>
      </c>
      <c r="C20" s="98">
        <v>500</v>
      </c>
      <c r="D20" s="98" t="str">
        <f t="shared" si="0"/>
        <v>PN6-DN500</v>
      </c>
      <c r="E20" s="98">
        <v>645</v>
      </c>
      <c r="F20" s="98">
        <v>600</v>
      </c>
      <c r="G20" s="98">
        <v>538</v>
      </c>
      <c r="H20" s="98">
        <v>508</v>
      </c>
      <c r="I20" s="98">
        <v>22</v>
      </c>
      <c r="J20" s="98">
        <v>570</v>
      </c>
      <c r="K20" s="98"/>
      <c r="L20" s="98"/>
      <c r="M20" s="98">
        <v>20</v>
      </c>
      <c r="N20" s="98"/>
      <c r="O20" s="98">
        <v>29</v>
      </c>
      <c r="P20" s="98">
        <v>20</v>
      </c>
      <c r="Q20" s="98">
        <v>20</v>
      </c>
      <c r="R20" s="98"/>
      <c r="S20" s="193" t="s">
        <v>312</v>
      </c>
      <c r="T20" s="211" t="str">
        <f>"M"&amp;INDEX($D$2:$Q$252,MATCH($U$1,$D$2:$D$252,0),14)</f>
        <v>M39</v>
      </c>
      <c r="W20" s="474" t="s">
        <v>238</v>
      </c>
      <c r="X20" s="105" t="s">
        <v>233</v>
      </c>
      <c r="Y20" s="105">
        <v>3.25</v>
      </c>
      <c r="Z20" s="106">
        <v>37.9</v>
      </c>
    </row>
    <row r="21" spans="1:26">
      <c r="A21" s="98" t="s">
        <v>214</v>
      </c>
      <c r="B21" s="98" t="s">
        <v>215</v>
      </c>
      <c r="C21" s="98">
        <v>600</v>
      </c>
      <c r="D21" s="98" t="str">
        <f t="shared" si="0"/>
        <v>PN6-DN600</v>
      </c>
      <c r="E21" s="98">
        <v>755</v>
      </c>
      <c r="F21" s="98">
        <v>705</v>
      </c>
      <c r="G21" s="98">
        <v>640</v>
      </c>
      <c r="H21" s="98">
        <v>609.6</v>
      </c>
      <c r="I21" s="98">
        <v>26</v>
      </c>
      <c r="J21" s="98">
        <v>670</v>
      </c>
      <c r="K21" s="98"/>
      <c r="L21" s="98"/>
      <c r="M21" s="98">
        <v>25</v>
      </c>
      <c r="N21" s="98"/>
      <c r="O21" s="98">
        <v>24</v>
      </c>
      <c r="P21" s="98">
        <v>20</v>
      </c>
      <c r="Q21" s="98">
        <v>24</v>
      </c>
      <c r="R21" s="98"/>
      <c r="W21" s="475"/>
      <c r="X21" s="111" t="s">
        <v>234</v>
      </c>
      <c r="Y21" s="111">
        <v>3.5</v>
      </c>
      <c r="Z21" s="112">
        <v>44.8</v>
      </c>
    </row>
    <row r="22" spans="1:26">
      <c r="A22" s="98" t="s">
        <v>214</v>
      </c>
      <c r="B22" s="98" t="s">
        <v>215</v>
      </c>
      <c r="C22" s="98">
        <v>700</v>
      </c>
      <c r="D22" s="98" t="str">
        <f t="shared" si="0"/>
        <v>PN6-DN700</v>
      </c>
      <c r="E22" s="98">
        <v>860</v>
      </c>
      <c r="F22" s="98">
        <v>810</v>
      </c>
      <c r="G22" s="98">
        <v>740</v>
      </c>
      <c r="H22" s="98">
        <v>711</v>
      </c>
      <c r="I22" s="98">
        <v>26</v>
      </c>
      <c r="J22" s="98">
        <v>775</v>
      </c>
      <c r="K22" s="98"/>
      <c r="L22" s="98"/>
      <c r="M22" s="98">
        <v>25</v>
      </c>
      <c r="N22" s="98"/>
      <c r="O22" s="98">
        <v>30</v>
      </c>
      <c r="P22" s="98">
        <v>24</v>
      </c>
      <c r="Q22" s="98">
        <v>24</v>
      </c>
      <c r="R22" s="98"/>
      <c r="W22" s="475"/>
      <c r="X22" s="117" t="s">
        <v>235</v>
      </c>
      <c r="Y22" s="111">
        <v>3.75</v>
      </c>
      <c r="Z22" s="112">
        <v>52.4</v>
      </c>
    </row>
    <row r="23" spans="1:26">
      <c r="A23" s="98" t="s">
        <v>214</v>
      </c>
      <c r="B23" s="98" t="s">
        <v>215</v>
      </c>
      <c r="C23" s="98">
        <v>800</v>
      </c>
      <c r="D23" s="98" t="str">
        <f t="shared" si="0"/>
        <v>PN6-DN800</v>
      </c>
      <c r="E23" s="98">
        <v>975</v>
      </c>
      <c r="F23" s="98">
        <v>920</v>
      </c>
      <c r="G23" s="98">
        <v>842</v>
      </c>
      <c r="H23" s="98">
        <v>813</v>
      </c>
      <c r="I23" s="98">
        <v>30</v>
      </c>
      <c r="J23" s="98">
        <v>880</v>
      </c>
      <c r="K23" s="98"/>
      <c r="L23" s="98"/>
      <c r="M23" s="98">
        <v>25</v>
      </c>
      <c r="N23" s="98"/>
      <c r="O23" s="98">
        <v>30</v>
      </c>
      <c r="P23" s="98">
        <v>24</v>
      </c>
      <c r="Q23" s="98">
        <v>27</v>
      </c>
      <c r="R23" s="98"/>
      <c r="W23" s="475"/>
      <c r="X23" s="111" t="s">
        <v>239</v>
      </c>
      <c r="Y23" s="111">
        <v>3.5</v>
      </c>
      <c r="Z23" s="112">
        <v>55.1</v>
      </c>
    </row>
    <row r="24" spans="1:26">
      <c r="A24" s="98" t="s">
        <v>214</v>
      </c>
      <c r="B24" s="98" t="s">
        <v>215</v>
      </c>
      <c r="C24" s="98">
        <v>900</v>
      </c>
      <c r="D24" s="98" t="str">
        <f t="shared" si="0"/>
        <v>PN6-DN900</v>
      </c>
      <c r="E24" s="98">
        <v>1075</v>
      </c>
      <c r="F24" s="98">
        <v>1020</v>
      </c>
      <c r="G24" s="98">
        <v>942</v>
      </c>
      <c r="H24" s="98">
        <v>914</v>
      </c>
      <c r="I24" s="98">
        <v>30</v>
      </c>
      <c r="J24" s="98">
        <v>980</v>
      </c>
      <c r="K24" s="98"/>
      <c r="L24" s="98"/>
      <c r="M24" s="98">
        <v>29</v>
      </c>
      <c r="N24" s="98"/>
      <c r="O24" s="98">
        <v>28</v>
      </c>
      <c r="P24" s="98">
        <v>24</v>
      </c>
      <c r="Q24" s="98">
        <v>27</v>
      </c>
      <c r="R24" s="98"/>
      <c r="W24" s="475"/>
      <c r="X24" s="111" t="s">
        <v>240</v>
      </c>
      <c r="Y24" s="111">
        <v>3.75</v>
      </c>
      <c r="Z24" s="112">
        <v>62</v>
      </c>
    </row>
    <row r="25" spans="1:26" ht="13.5" thickBot="1">
      <c r="A25" s="98" t="s">
        <v>214</v>
      </c>
      <c r="B25" s="98" t="s">
        <v>215</v>
      </c>
      <c r="C25" s="98">
        <v>1000</v>
      </c>
      <c r="D25" s="98" t="str">
        <f t="shared" si="0"/>
        <v>PN6-DN1000</v>
      </c>
      <c r="E25" s="98">
        <v>1175</v>
      </c>
      <c r="F25" s="98">
        <v>1120</v>
      </c>
      <c r="G25" s="98">
        <v>1045</v>
      </c>
      <c r="H25" s="98"/>
      <c r="I25" s="98">
        <v>30</v>
      </c>
      <c r="J25" s="98">
        <v>1080</v>
      </c>
      <c r="K25" s="98"/>
      <c r="L25" s="98"/>
      <c r="M25" s="98">
        <v>33</v>
      </c>
      <c r="N25" s="98"/>
      <c r="O25" s="98">
        <v>28</v>
      </c>
      <c r="P25" s="98">
        <v>28</v>
      </c>
      <c r="Q25" s="98">
        <v>27</v>
      </c>
      <c r="R25" s="98"/>
      <c r="W25" s="476"/>
      <c r="X25" s="107" t="s">
        <v>237</v>
      </c>
      <c r="Y25" s="107">
        <v>3.75</v>
      </c>
      <c r="Z25" s="108">
        <v>62</v>
      </c>
    </row>
    <row r="26" spans="1:26">
      <c r="A26" s="98" t="s">
        <v>214</v>
      </c>
      <c r="B26" s="98" t="s">
        <v>215</v>
      </c>
      <c r="C26" s="98">
        <v>1200</v>
      </c>
      <c r="D26" s="98" t="str">
        <f t="shared" si="0"/>
        <v>PN6-DN1200</v>
      </c>
      <c r="E26" s="98">
        <v>1405</v>
      </c>
      <c r="F26" s="98">
        <v>1340</v>
      </c>
      <c r="G26" s="98">
        <v>1248</v>
      </c>
      <c r="H26" s="98"/>
      <c r="I26" s="98">
        <v>33</v>
      </c>
      <c r="J26" s="98">
        <v>1295</v>
      </c>
      <c r="K26" s="98"/>
      <c r="L26" s="98"/>
      <c r="M26" s="98">
        <v>37</v>
      </c>
      <c r="N26" s="98"/>
      <c r="O26" s="98">
        <v>42</v>
      </c>
      <c r="P26" s="98">
        <v>32</v>
      </c>
      <c r="Q26" s="98">
        <v>30</v>
      </c>
      <c r="R26" s="98"/>
      <c r="W26" s="470" t="s">
        <v>241</v>
      </c>
      <c r="X26" s="99" t="s">
        <v>233</v>
      </c>
      <c r="Y26" s="99">
        <v>2.75</v>
      </c>
      <c r="Z26" s="100">
        <v>25.5</v>
      </c>
    </row>
    <row r="27" spans="1:26">
      <c r="A27" s="98" t="s">
        <v>214</v>
      </c>
      <c r="B27" s="98" t="s">
        <v>215</v>
      </c>
      <c r="C27" s="98">
        <v>1400</v>
      </c>
      <c r="D27" s="98" t="str">
        <f t="shared" si="0"/>
        <v>PN6-DN1400</v>
      </c>
      <c r="E27" s="98">
        <v>1630</v>
      </c>
      <c r="F27" s="98">
        <v>1560</v>
      </c>
      <c r="G27" s="98">
        <v>1452</v>
      </c>
      <c r="H27" s="98"/>
      <c r="I27" s="98">
        <v>36</v>
      </c>
      <c r="J27" s="98">
        <v>1510</v>
      </c>
      <c r="K27" s="98"/>
      <c r="L27" s="98"/>
      <c r="M27" s="98">
        <v>51</v>
      </c>
      <c r="N27" s="98"/>
      <c r="O27" s="98">
        <v>38</v>
      </c>
      <c r="P27" s="98">
        <v>36</v>
      </c>
      <c r="Q27" s="98">
        <v>33</v>
      </c>
      <c r="R27" s="98"/>
      <c r="W27" s="477"/>
      <c r="X27" s="115" t="s">
        <v>234</v>
      </c>
      <c r="Y27" s="115">
        <v>3</v>
      </c>
      <c r="Z27" s="116">
        <v>31</v>
      </c>
    </row>
    <row r="28" spans="1:26">
      <c r="A28" s="98" t="s">
        <v>214</v>
      </c>
      <c r="B28" s="98" t="s">
        <v>215</v>
      </c>
      <c r="C28" s="98">
        <v>1600</v>
      </c>
      <c r="D28" s="98" t="str">
        <f t="shared" si="0"/>
        <v>PN6-DN1600</v>
      </c>
      <c r="E28" s="98">
        <v>1830</v>
      </c>
      <c r="F28" s="98">
        <v>1760</v>
      </c>
      <c r="G28" s="98">
        <v>1655</v>
      </c>
      <c r="H28" s="98"/>
      <c r="I28" s="98">
        <v>36</v>
      </c>
      <c r="J28" s="98">
        <v>1710</v>
      </c>
      <c r="K28" s="98"/>
      <c r="L28" s="98"/>
      <c r="M28" s="98">
        <v>58</v>
      </c>
      <c r="N28" s="98"/>
      <c r="O28" s="98">
        <v>36</v>
      </c>
      <c r="P28" s="98">
        <v>40</v>
      </c>
      <c r="Q28" s="98">
        <v>33</v>
      </c>
      <c r="R28" s="98"/>
      <c r="W28" s="477"/>
      <c r="X28" s="115" t="s">
        <v>235</v>
      </c>
      <c r="Y28" s="115">
        <v>3.25</v>
      </c>
      <c r="Z28" s="116">
        <v>37.9</v>
      </c>
    </row>
    <row r="29" spans="1:26">
      <c r="A29" s="98" t="s">
        <v>214</v>
      </c>
      <c r="B29" s="98" t="s">
        <v>215</v>
      </c>
      <c r="C29" s="98">
        <v>1800</v>
      </c>
      <c r="D29" s="98" t="str">
        <f t="shared" si="0"/>
        <v>PN6-DN1800</v>
      </c>
      <c r="E29" s="98">
        <v>2045</v>
      </c>
      <c r="F29" s="98">
        <v>1970</v>
      </c>
      <c r="G29" s="98">
        <v>1855</v>
      </c>
      <c r="H29" s="98"/>
      <c r="I29" s="98">
        <v>39</v>
      </c>
      <c r="J29" s="98">
        <v>1920</v>
      </c>
      <c r="K29" s="98"/>
      <c r="L29" s="98"/>
      <c r="M29" s="98">
        <v>64</v>
      </c>
      <c r="N29" s="98"/>
      <c r="O29" s="98">
        <v>44</v>
      </c>
      <c r="P29" s="98">
        <v>44</v>
      </c>
      <c r="Q29" s="98">
        <v>36</v>
      </c>
      <c r="R29" s="98"/>
      <c r="W29" s="477"/>
      <c r="X29" s="115" t="s">
        <v>236</v>
      </c>
      <c r="Y29" s="115">
        <v>3.5</v>
      </c>
      <c r="Z29" s="116">
        <v>44.8</v>
      </c>
    </row>
    <row r="30" spans="1:26" ht="13.5" thickBot="1">
      <c r="A30" s="98" t="s">
        <v>214</v>
      </c>
      <c r="B30" s="98" t="s">
        <v>215</v>
      </c>
      <c r="C30" s="98">
        <v>2000</v>
      </c>
      <c r="D30" s="98" t="str">
        <f t="shared" si="0"/>
        <v>PN6-DN2000</v>
      </c>
      <c r="E30" s="98">
        <v>2265</v>
      </c>
      <c r="F30" s="98">
        <v>2180</v>
      </c>
      <c r="G30" s="98">
        <v>2058</v>
      </c>
      <c r="H30" s="98"/>
      <c r="I30" s="98">
        <v>42</v>
      </c>
      <c r="J30" s="98">
        <v>2125</v>
      </c>
      <c r="K30" s="98"/>
      <c r="L30" s="98"/>
      <c r="M30" s="98">
        <v>69</v>
      </c>
      <c r="N30" s="98"/>
      <c r="O30" s="98">
        <v>47</v>
      </c>
      <c r="P30" s="98">
        <v>48</v>
      </c>
      <c r="Q30" s="98">
        <v>39</v>
      </c>
      <c r="R30" s="98"/>
      <c r="W30" s="471"/>
      <c r="X30" s="101" t="s">
        <v>237</v>
      </c>
      <c r="Y30" s="101">
        <v>3.75</v>
      </c>
      <c r="Z30" s="102">
        <v>52.4</v>
      </c>
    </row>
    <row r="31" spans="1:26">
      <c r="A31" s="98" t="s">
        <v>214</v>
      </c>
      <c r="B31" s="98" t="s">
        <v>215</v>
      </c>
      <c r="C31" s="98">
        <v>2200</v>
      </c>
      <c r="D31" s="98" t="str">
        <f t="shared" si="0"/>
        <v>PN6-DN2200</v>
      </c>
      <c r="E31" s="98">
        <v>2475</v>
      </c>
      <c r="F31" s="98">
        <v>2390</v>
      </c>
      <c r="G31" s="98">
        <v>2260</v>
      </c>
      <c r="H31" s="98"/>
      <c r="I31" s="98">
        <v>42</v>
      </c>
      <c r="J31" s="98">
        <v>2335</v>
      </c>
      <c r="K31" s="98"/>
      <c r="L31" s="98"/>
      <c r="M31" s="98">
        <v>76</v>
      </c>
      <c r="N31" s="98"/>
      <c r="O31" s="98">
        <v>48</v>
      </c>
      <c r="P31" s="98">
        <v>52</v>
      </c>
      <c r="Q31" s="98">
        <v>39</v>
      </c>
      <c r="R31" s="98"/>
      <c r="W31" s="474" t="s">
        <v>242</v>
      </c>
      <c r="X31" s="105" t="s">
        <v>233</v>
      </c>
      <c r="Y31" s="105">
        <v>3.25</v>
      </c>
      <c r="Z31" s="106">
        <v>37.9</v>
      </c>
    </row>
    <row r="32" spans="1:26">
      <c r="A32" s="98" t="s">
        <v>214</v>
      </c>
      <c r="B32" s="98" t="s">
        <v>215</v>
      </c>
      <c r="C32" s="98">
        <v>2400</v>
      </c>
      <c r="D32" s="98" t="str">
        <f t="shared" si="0"/>
        <v>PN6-DN2400</v>
      </c>
      <c r="E32" s="98">
        <v>2685</v>
      </c>
      <c r="F32" s="98">
        <v>2600</v>
      </c>
      <c r="G32" s="98">
        <v>2462</v>
      </c>
      <c r="H32" s="98"/>
      <c r="I32" s="98">
        <v>42</v>
      </c>
      <c r="J32" s="98">
        <v>2545</v>
      </c>
      <c r="K32" s="98"/>
      <c r="L32" s="98"/>
      <c r="M32" s="98">
        <v>82</v>
      </c>
      <c r="N32" s="98"/>
      <c r="O32" s="98">
        <v>56</v>
      </c>
      <c r="P32" s="98">
        <v>56</v>
      </c>
      <c r="Q32" s="98">
        <v>39</v>
      </c>
      <c r="R32" s="98"/>
      <c r="W32" s="475"/>
      <c r="X32" s="111" t="s">
        <v>234</v>
      </c>
      <c r="Y32" s="111">
        <v>3.5</v>
      </c>
      <c r="Z32" s="112">
        <v>44.8</v>
      </c>
    </row>
    <row r="33" spans="1:26">
      <c r="A33" s="98" t="s">
        <v>214</v>
      </c>
      <c r="B33" s="98" t="s">
        <v>215</v>
      </c>
      <c r="C33" s="98">
        <v>2600</v>
      </c>
      <c r="D33" s="98" t="str">
        <f t="shared" si="0"/>
        <v>PN6-DN2600</v>
      </c>
      <c r="E33" s="98">
        <v>2905</v>
      </c>
      <c r="F33" s="98">
        <v>2810</v>
      </c>
      <c r="G33" s="98">
        <v>2665</v>
      </c>
      <c r="H33" s="98"/>
      <c r="I33" s="98">
        <v>48</v>
      </c>
      <c r="J33" s="98">
        <v>2750</v>
      </c>
      <c r="K33" s="98"/>
      <c r="L33" s="98"/>
      <c r="M33" s="98">
        <v>86</v>
      </c>
      <c r="N33" s="98"/>
      <c r="O33" s="98">
        <v>59</v>
      </c>
      <c r="P33" s="98">
        <v>60</v>
      </c>
      <c r="Q33" s="98">
        <v>45</v>
      </c>
      <c r="R33" s="98"/>
      <c r="W33" s="475"/>
      <c r="X33" s="111" t="s">
        <v>235</v>
      </c>
      <c r="Y33" s="111">
        <v>3.75</v>
      </c>
      <c r="Z33" s="112">
        <v>52.4</v>
      </c>
    </row>
    <row r="34" spans="1:26">
      <c r="A34" s="98" t="s">
        <v>214</v>
      </c>
      <c r="B34" s="98" t="s">
        <v>215</v>
      </c>
      <c r="C34" s="98">
        <v>2800</v>
      </c>
      <c r="D34" s="98" t="str">
        <f t="shared" si="0"/>
        <v>PN6-DN2800</v>
      </c>
      <c r="E34" s="98">
        <v>3115</v>
      </c>
      <c r="F34" s="98">
        <v>3020</v>
      </c>
      <c r="G34" s="98">
        <v>2865</v>
      </c>
      <c r="H34" s="98"/>
      <c r="I34" s="98">
        <v>48</v>
      </c>
      <c r="J34" s="98">
        <v>2960</v>
      </c>
      <c r="K34" s="98"/>
      <c r="L34" s="98"/>
      <c r="M34" s="98">
        <v>96</v>
      </c>
      <c r="N34" s="98"/>
      <c r="O34" s="98">
        <v>57</v>
      </c>
      <c r="P34" s="98">
        <v>64</v>
      </c>
      <c r="Q34" s="98">
        <v>45</v>
      </c>
      <c r="R34" s="98"/>
      <c r="W34" s="475"/>
      <c r="X34" s="111" t="s">
        <v>236</v>
      </c>
      <c r="Y34" s="111">
        <v>3.75</v>
      </c>
      <c r="Z34" s="112">
        <v>62</v>
      </c>
    </row>
    <row r="35" spans="1:26" ht="13.5" thickBot="1">
      <c r="A35" s="98" t="s">
        <v>214</v>
      </c>
      <c r="B35" s="98" t="s">
        <v>215</v>
      </c>
      <c r="C35" s="98">
        <v>3000</v>
      </c>
      <c r="D35" s="98" t="str">
        <f t="shared" si="0"/>
        <v>PN6-DN3000</v>
      </c>
      <c r="E35" s="98">
        <v>3315</v>
      </c>
      <c r="F35" s="98">
        <v>3220</v>
      </c>
      <c r="G35" s="98">
        <v>3068</v>
      </c>
      <c r="H35" s="98"/>
      <c r="I35" s="98">
        <v>48</v>
      </c>
      <c r="J35" s="98">
        <v>3160</v>
      </c>
      <c r="K35" s="98"/>
      <c r="L35" s="98"/>
      <c r="M35" s="98">
        <v>97</v>
      </c>
      <c r="N35" s="98"/>
      <c r="O35" s="98">
        <v>60</v>
      </c>
      <c r="P35" s="98">
        <v>68</v>
      </c>
      <c r="Q35" s="98">
        <v>45</v>
      </c>
      <c r="R35" s="98"/>
      <c r="W35" s="476"/>
      <c r="X35" s="107" t="s">
        <v>237</v>
      </c>
      <c r="Y35" s="107">
        <v>4.25</v>
      </c>
      <c r="Z35" s="108">
        <v>69.5</v>
      </c>
    </row>
    <row r="36" spans="1:26">
      <c r="A36" s="98" t="s">
        <v>214</v>
      </c>
      <c r="B36" s="98" t="s">
        <v>215</v>
      </c>
      <c r="C36" s="98">
        <v>3200</v>
      </c>
      <c r="D36" s="98" t="str">
        <f t="shared" si="0"/>
        <v>PN6-DN3200</v>
      </c>
      <c r="E36" s="98">
        <v>3525</v>
      </c>
      <c r="F36" s="98">
        <v>3430</v>
      </c>
      <c r="G36" s="98">
        <v>3272</v>
      </c>
      <c r="H36" s="98"/>
      <c r="I36" s="98">
        <v>48</v>
      </c>
      <c r="J36" s="98">
        <v>3370</v>
      </c>
      <c r="K36" s="98"/>
      <c r="L36" s="98"/>
      <c r="M36" s="98">
        <v>101</v>
      </c>
      <c r="N36" s="98"/>
      <c r="O36" s="98">
        <v>66</v>
      </c>
      <c r="P36" s="98">
        <v>72</v>
      </c>
      <c r="Q36" s="98">
        <v>45</v>
      </c>
      <c r="R36" s="98"/>
      <c r="W36" s="470" t="s">
        <v>243</v>
      </c>
      <c r="X36" s="99" t="s">
        <v>233</v>
      </c>
      <c r="Y36" s="99">
        <v>4</v>
      </c>
      <c r="Z36" s="100">
        <v>60.6</v>
      </c>
    </row>
    <row r="37" spans="1:26">
      <c r="A37" s="98" t="s">
        <v>214</v>
      </c>
      <c r="B37" s="98" t="s">
        <v>215</v>
      </c>
      <c r="C37" s="98">
        <v>3400</v>
      </c>
      <c r="D37" s="98" t="str">
        <f t="shared" si="0"/>
        <v>PN6-DN3400</v>
      </c>
      <c r="E37" s="98">
        <v>3735</v>
      </c>
      <c r="F37" s="98">
        <v>3640</v>
      </c>
      <c r="G37" s="98">
        <v>3475</v>
      </c>
      <c r="H37" s="98"/>
      <c r="I37" s="98">
        <v>48</v>
      </c>
      <c r="J37" s="98">
        <v>3580</v>
      </c>
      <c r="K37" s="98"/>
      <c r="L37" s="98"/>
      <c r="M37" s="98">
        <v>105</v>
      </c>
      <c r="N37" s="98"/>
      <c r="O37" s="98">
        <v>69</v>
      </c>
      <c r="P37" s="98">
        <v>76</v>
      </c>
      <c r="Q37" s="98">
        <v>45</v>
      </c>
      <c r="R37" s="98"/>
      <c r="W37" s="477"/>
      <c r="X37" s="115" t="s">
        <v>234</v>
      </c>
      <c r="Y37" s="115">
        <v>4.75</v>
      </c>
      <c r="Z37" s="116">
        <v>89.5</v>
      </c>
    </row>
    <row r="38" spans="1:26">
      <c r="A38" s="98" t="s">
        <v>214</v>
      </c>
      <c r="B38" s="98" t="s">
        <v>215</v>
      </c>
      <c r="C38" s="98">
        <v>3600</v>
      </c>
      <c r="D38" s="98" t="str">
        <f t="shared" si="0"/>
        <v>PN6-DN3600</v>
      </c>
      <c r="E38" s="98">
        <v>3970</v>
      </c>
      <c r="F38" s="98">
        <v>3860</v>
      </c>
      <c r="G38" s="98">
        <v>3678</v>
      </c>
      <c r="H38" s="98"/>
      <c r="I38" s="98">
        <v>56</v>
      </c>
      <c r="J38" s="98">
        <v>3790</v>
      </c>
      <c r="K38" s="98"/>
      <c r="L38" s="98"/>
      <c r="M38" s="98">
        <v>119</v>
      </c>
      <c r="N38" s="98"/>
      <c r="O38" s="98">
        <v>70</v>
      </c>
      <c r="P38" s="98">
        <v>80</v>
      </c>
      <c r="Q38" s="98">
        <v>52</v>
      </c>
      <c r="R38" s="98"/>
      <c r="W38" s="477"/>
      <c r="X38" s="115" t="s">
        <v>235</v>
      </c>
      <c r="Y38" s="115">
        <v>5.5</v>
      </c>
      <c r="Z38" s="116">
        <v>124</v>
      </c>
    </row>
    <row r="39" spans="1:26">
      <c r="A39" s="98" t="s">
        <v>214</v>
      </c>
      <c r="B39" s="98" t="s">
        <v>244</v>
      </c>
      <c r="C39" s="98">
        <v>10</v>
      </c>
      <c r="D39" s="98" t="str">
        <f t="shared" si="0"/>
        <v>PN10-DN10</v>
      </c>
      <c r="E39" s="98">
        <v>90</v>
      </c>
      <c r="F39" s="98">
        <v>60</v>
      </c>
      <c r="G39" s="98">
        <v>28</v>
      </c>
      <c r="H39" s="98">
        <v>17.2</v>
      </c>
      <c r="I39" s="98">
        <v>14</v>
      </c>
      <c r="J39" s="98">
        <v>40</v>
      </c>
      <c r="K39" s="98">
        <v>24</v>
      </c>
      <c r="L39" s="98">
        <v>34</v>
      </c>
      <c r="M39" s="98">
        <v>14</v>
      </c>
      <c r="N39" s="98"/>
      <c r="O39" s="98">
        <v>13</v>
      </c>
      <c r="P39" s="98">
        <v>4</v>
      </c>
      <c r="Q39" s="98">
        <v>12</v>
      </c>
      <c r="R39" s="98"/>
      <c r="W39" s="477"/>
      <c r="X39" s="115" t="s">
        <v>236</v>
      </c>
      <c r="Y39" s="115">
        <v>6</v>
      </c>
      <c r="Z39" s="116">
        <v>150</v>
      </c>
    </row>
    <row r="40" spans="1:26" ht="13.5" thickBot="1">
      <c r="A40" s="98" t="s">
        <v>214</v>
      </c>
      <c r="B40" s="98" t="s">
        <v>244</v>
      </c>
      <c r="C40" s="98">
        <v>15</v>
      </c>
      <c r="D40" s="98" t="str">
        <f t="shared" si="0"/>
        <v>PN10-DN15</v>
      </c>
      <c r="E40" s="98">
        <v>95</v>
      </c>
      <c r="F40" s="98">
        <v>65</v>
      </c>
      <c r="G40" s="98">
        <v>32</v>
      </c>
      <c r="H40" s="98">
        <v>21.3</v>
      </c>
      <c r="I40" s="98">
        <v>14</v>
      </c>
      <c r="J40" s="98">
        <v>45</v>
      </c>
      <c r="K40" s="98">
        <v>29</v>
      </c>
      <c r="L40" s="98">
        <v>39</v>
      </c>
      <c r="M40" s="98">
        <v>14</v>
      </c>
      <c r="N40" s="98"/>
      <c r="O40" s="98">
        <v>16</v>
      </c>
      <c r="P40" s="98">
        <v>4</v>
      </c>
      <c r="Q40" s="98">
        <v>12</v>
      </c>
      <c r="R40" s="98"/>
      <c r="W40" s="471"/>
      <c r="X40" s="101" t="s">
        <v>237</v>
      </c>
      <c r="Y40" s="101">
        <v>6.5</v>
      </c>
      <c r="Z40" s="102">
        <v>179</v>
      </c>
    </row>
    <row r="41" spans="1:26">
      <c r="A41" s="98" t="s">
        <v>214</v>
      </c>
      <c r="B41" s="98" t="s">
        <v>244</v>
      </c>
      <c r="C41" s="98">
        <v>20</v>
      </c>
      <c r="D41" s="98" t="str">
        <f t="shared" si="0"/>
        <v>PN10-DN20</v>
      </c>
      <c r="E41" s="98">
        <v>105</v>
      </c>
      <c r="F41" s="98">
        <v>75</v>
      </c>
      <c r="G41" s="98">
        <v>40</v>
      </c>
      <c r="H41" s="98">
        <v>26.9</v>
      </c>
      <c r="I41" s="98">
        <v>14</v>
      </c>
      <c r="J41" s="98">
        <v>58</v>
      </c>
      <c r="K41" s="98">
        <v>34</v>
      </c>
      <c r="L41" s="98">
        <v>46</v>
      </c>
      <c r="M41" s="98">
        <v>16</v>
      </c>
      <c r="N41" s="98"/>
      <c r="O41" s="98">
        <v>16</v>
      </c>
      <c r="P41" s="98">
        <v>4</v>
      </c>
      <c r="Q41" s="98">
        <v>12</v>
      </c>
      <c r="R41" s="98"/>
      <c r="W41" s="474" t="s">
        <v>245</v>
      </c>
      <c r="X41" s="105" t="s">
        <v>235</v>
      </c>
      <c r="Y41" s="105">
        <v>5.5</v>
      </c>
      <c r="Z41" s="106">
        <v>124</v>
      </c>
    </row>
    <row r="42" spans="1:26">
      <c r="A42" s="98" t="s">
        <v>214</v>
      </c>
      <c r="B42" s="98" t="s">
        <v>244</v>
      </c>
      <c r="C42" s="98">
        <v>25</v>
      </c>
      <c r="D42" s="98" t="str">
        <f t="shared" si="0"/>
        <v>PN10-DN25</v>
      </c>
      <c r="E42" s="98">
        <v>115</v>
      </c>
      <c r="F42" s="98">
        <v>85</v>
      </c>
      <c r="G42" s="98">
        <v>46</v>
      </c>
      <c r="H42" s="98">
        <v>33.700000000000003</v>
      </c>
      <c r="I42" s="98">
        <v>14</v>
      </c>
      <c r="J42" s="98">
        <v>68</v>
      </c>
      <c r="K42" s="98">
        <v>41</v>
      </c>
      <c r="L42" s="98">
        <v>53</v>
      </c>
      <c r="M42" s="98">
        <v>16</v>
      </c>
      <c r="N42" s="98"/>
      <c r="O42" s="98">
        <v>16</v>
      </c>
      <c r="P42" s="98">
        <v>4</v>
      </c>
      <c r="Q42" s="98">
        <v>12</v>
      </c>
      <c r="R42" s="98"/>
      <c r="W42" s="475"/>
      <c r="X42" s="111" t="s">
        <v>236</v>
      </c>
      <c r="Y42" s="111">
        <v>6</v>
      </c>
      <c r="Z42" s="112">
        <v>150</v>
      </c>
    </row>
    <row r="43" spans="1:26" ht="13.5" thickBot="1">
      <c r="A43" s="98" t="s">
        <v>214</v>
      </c>
      <c r="B43" s="98" t="s">
        <v>244</v>
      </c>
      <c r="C43" s="98">
        <v>32</v>
      </c>
      <c r="D43" s="98" t="str">
        <f t="shared" si="0"/>
        <v>PN10-DN32</v>
      </c>
      <c r="E43" s="98">
        <v>140</v>
      </c>
      <c r="F43" s="98">
        <v>100</v>
      </c>
      <c r="G43" s="98">
        <v>56</v>
      </c>
      <c r="H43" s="98">
        <v>42.4</v>
      </c>
      <c r="I43" s="98">
        <v>18</v>
      </c>
      <c r="J43" s="98">
        <v>78</v>
      </c>
      <c r="K43" s="98">
        <v>49</v>
      </c>
      <c r="L43" s="98">
        <v>61</v>
      </c>
      <c r="M43" s="98">
        <v>16</v>
      </c>
      <c r="N43" s="98"/>
      <c r="O43" s="98">
        <v>18</v>
      </c>
      <c r="P43" s="98">
        <v>4</v>
      </c>
      <c r="Q43" s="98">
        <v>16</v>
      </c>
      <c r="R43" s="98"/>
      <c r="W43" s="476"/>
      <c r="X43" s="107" t="s">
        <v>237</v>
      </c>
      <c r="Y43" s="107">
        <v>6.5</v>
      </c>
      <c r="Z43" s="108">
        <v>179</v>
      </c>
    </row>
    <row r="44" spans="1:26">
      <c r="A44" s="98" t="s">
        <v>214</v>
      </c>
      <c r="B44" s="98" t="s">
        <v>244</v>
      </c>
      <c r="C44" s="98">
        <v>40</v>
      </c>
      <c r="D44" s="98" t="str">
        <f t="shared" si="0"/>
        <v>PN10-DN40</v>
      </c>
      <c r="E44" s="98">
        <v>150</v>
      </c>
      <c r="F44" s="98">
        <v>110</v>
      </c>
      <c r="G44" s="98">
        <v>64</v>
      </c>
      <c r="H44" s="98">
        <v>48.3</v>
      </c>
      <c r="I44" s="98">
        <v>18</v>
      </c>
      <c r="J44" s="98">
        <v>88</v>
      </c>
      <c r="K44" s="98">
        <v>56</v>
      </c>
      <c r="L44" s="98">
        <v>68</v>
      </c>
      <c r="M44" s="98">
        <v>15</v>
      </c>
      <c r="N44" s="98"/>
      <c r="O44" s="98">
        <v>20</v>
      </c>
      <c r="P44" s="98">
        <v>4</v>
      </c>
      <c r="Q44" s="98">
        <v>16</v>
      </c>
      <c r="R44" s="98"/>
      <c r="W44" s="470" t="s">
        <v>246</v>
      </c>
      <c r="X44" s="99" t="s">
        <v>247</v>
      </c>
      <c r="Y44" s="478">
        <v>0.21613362431526184</v>
      </c>
      <c r="Z44" s="100">
        <v>0.7</v>
      </c>
    </row>
    <row r="45" spans="1:26" ht="13.5" thickBot="1">
      <c r="A45" s="98" t="s">
        <v>214</v>
      </c>
      <c r="B45" s="98" t="s">
        <v>244</v>
      </c>
      <c r="C45" s="98">
        <v>50</v>
      </c>
      <c r="D45" s="98" t="str">
        <f t="shared" si="0"/>
        <v>PN10-DN50</v>
      </c>
      <c r="E45" s="98">
        <v>165</v>
      </c>
      <c r="F45" s="98">
        <v>125</v>
      </c>
      <c r="G45" s="98">
        <v>74</v>
      </c>
      <c r="H45" s="98">
        <v>60.3</v>
      </c>
      <c r="I45" s="98">
        <v>18</v>
      </c>
      <c r="J45" s="98">
        <v>102</v>
      </c>
      <c r="K45" s="98">
        <v>70</v>
      </c>
      <c r="L45" s="98">
        <v>86</v>
      </c>
      <c r="M45" s="98">
        <v>15</v>
      </c>
      <c r="N45" s="98"/>
      <c r="O45" s="98">
        <v>19</v>
      </c>
      <c r="P45" s="98">
        <v>4</v>
      </c>
      <c r="Q45" s="98">
        <v>16</v>
      </c>
      <c r="R45" s="98"/>
      <c r="W45" s="471"/>
      <c r="X45" s="101" t="s">
        <v>248</v>
      </c>
      <c r="Y45" s="479"/>
      <c r="Z45" s="102">
        <v>1.4</v>
      </c>
    </row>
    <row r="46" spans="1:26">
      <c r="A46" s="98" t="s">
        <v>214</v>
      </c>
      <c r="B46" s="98" t="s">
        <v>244</v>
      </c>
      <c r="C46" s="98">
        <v>65</v>
      </c>
      <c r="D46" s="98" t="str">
        <f t="shared" si="0"/>
        <v>PN10-DN65</v>
      </c>
      <c r="E46" s="98">
        <v>185</v>
      </c>
      <c r="F46" s="98">
        <v>145</v>
      </c>
      <c r="G46" s="98">
        <v>92</v>
      </c>
      <c r="H46" s="98">
        <v>76.099999999999994</v>
      </c>
      <c r="I46" s="98">
        <v>18</v>
      </c>
      <c r="J46" s="98">
        <v>122</v>
      </c>
      <c r="K46" s="98">
        <v>86</v>
      </c>
      <c r="L46" s="98">
        <v>102</v>
      </c>
      <c r="M46" s="98">
        <v>15</v>
      </c>
      <c r="N46" s="98"/>
      <c r="O46" s="98">
        <v>17</v>
      </c>
      <c r="P46" s="98">
        <v>8</v>
      </c>
      <c r="Q46" s="98">
        <v>16</v>
      </c>
      <c r="R46" s="98"/>
      <c r="W46" s="474" t="s">
        <v>249</v>
      </c>
      <c r="X46" s="105" t="s">
        <v>250</v>
      </c>
      <c r="Y46" s="480">
        <v>0.14715714752674103</v>
      </c>
      <c r="Z46" s="106">
        <v>1</v>
      </c>
    </row>
    <row r="47" spans="1:26" ht="13.5" thickBot="1">
      <c r="A47" s="98" t="s">
        <v>214</v>
      </c>
      <c r="B47" s="98" t="s">
        <v>244</v>
      </c>
      <c r="C47" s="98">
        <v>80</v>
      </c>
      <c r="D47" s="98" t="str">
        <f t="shared" si="0"/>
        <v>PN10-DN80</v>
      </c>
      <c r="E47" s="98">
        <v>200</v>
      </c>
      <c r="F47" s="98">
        <v>160</v>
      </c>
      <c r="G47" s="98">
        <v>105</v>
      </c>
      <c r="H47" s="98">
        <v>88.9</v>
      </c>
      <c r="I47" s="98">
        <v>18</v>
      </c>
      <c r="J47" s="98">
        <v>138</v>
      </c>
      <c r="K47" s="98">
        <v>99</v>
      </c>
      <c r="L47" s="98">
        <v>115</v>
      </c>
      <c r="M47" s="98">
        <v>17</v>
      </c>
      <c r="N47" s="98"/>
      <c r="O47" s="98">
        <v>20</v>
      </c>
      <c r="P47" s="98">
        <v>8</v>
      </c>
      <c r="Q47" s="98">
        <v>16</v>
      </c>
      <c r="R47" s="98"/>
      <c r="W47" s="476"/>
      <c r="X47" s="107" t="s">
        <v>251</v>
      </c>
      <c r="Y47" s="481"/>
      <c r="Z47" s="108">
        <v>2.8</v>
      </c>
    </row>
    <row r="48" spans="1:26">
      <c r="A48" s="98" t="s">
        <v>214</v>
      </c>
      <c r="B48" s="98" t="s">
        <v>244</v>
      </c>
      <c r="C48" s="98">
        <v>100</v>
      </c>
      <c r="D48" s="98" t="str">
        <f t="shared" si="0"/>
        <v>PN10-DN100</v>
      </c>
      <c r="E48" s="98">
        <v>220</v>
      </c>
      <c r="F48" s="98">
        <v>180</v>
      </c>
      <c r="G48" s="98">
        <v>131</v>
      </c>
      <c r="H48" s="98">
        <v>114.3</v>
      </c>
      <c r="I48" s="98">
        <v>18</v>
      </c>
      <c r="J48" s="98">
        <v>158</v>
      </c>
      <c r="K48" s="98">
        <v>127</v>
      </c>
      <c r="L48" s="98">
        <v>143</v>
      </c>
      <c r="M48" s="98">
        <v>17</v>
      </c>
      <c r="N48" s="98"/>
      <c r="O48" s="98">
        <v>20</v>
      </c>
      <c r="P48" s="98">
        <v>8</v>
      </c>
      <c r="Q48" s="98">
        <v>16</v>
      </c>
      <c r="R48" s="98"/>
      <c r="W48" s="470" t="s">
        <v>252</v>
      </c>
      <c r="X48" s="99" t="s">
        <v>250</v>
      </c>
      <c r="Y48" s="472">
        <v>0.18872708082199097</v>
      </c>
      <c r="Z48" s="100">
        <v>1</v>
      </c>
    </row>
    <row r="49" spans="1:26" ht="13.5" thickBot="1">
      <c r="A49" s="98" t="s">
        <v>214</v>
      </c>
      <c r="B49" s="98" t="s">
        <v>244</v>
      </c>
      <c r="C49" s="98">
        <v>125</v>
      </c>
      <c r="D49" s="98" t="str">
        <f t="shared" si="0"/>
        <v>PN10-DN125</v>
      </c>
      <c r="E49" s="98">
        <v>250</v>
      </c>
      <c r="F49" s="98">
        <v>210</v>
      </c>
      <c r="G49" s="98">
        <v>156</v>
      </c>
      <c r="H49" s="98">
        <v>139.69999999999999</v>
      </c>
      <c r="I49" s="98">
        <v>18</v>
      </c>
      <c r="J49" s="98">
        <v>188</v>
      </c>
      <c r="K49" s="98">
        <v>152</v>
      </c>
      <c r="L49" s="98">
        <v>172</v>
      </c>
      <c r="M49" s="98">
        <v>19</v>
      </c>
      <c r="N49" s="98"/>
      <c r="O49" s="98">
        <v>21</v>
      </c>
      <c r="P49" s="98">
        <v>8</v>
      </c>
      <c r="Q49" s="98">
        <v>16</v>
      </c>
      <c r="R49" s="98"/>
      <c r="W49" s="471"/>
      <c r="X49" s="101" t="s">
        <v>253</v>
      </c>
      <c r="Y49" s="473"/>
      <c r="Z49" s="102">
        <v>2.8</v>
      </c>
    </row>
    <row r="50" spans="1:26">
      <c r="A50" s="98" t="s">
        <v>214</v>
      </c>
      <c r="B50" s="98" t="s">
        <v>244</v>
      </c>
      <c r="C50" s="98">
        <v>150</v>
      </c>
      <c r="D50" s="98" t="str">
        <f t="shared" si="0"/>
        <v>PN10-DN150</v>
      </c>
      <c r="E50" s="98">
        <v>285</v>
      </c>
      <c r="F50" s="98">
        <v>240</v>
      </c>
      <c r="G50" s="98">
        <v>184</v>
      </c>
      <c r="H50" s="98">
        <v>168.3</v>
      </c>
      <c r="I50" s="98">
        <v>22</v>
      </c>
      <c r="J50" s="98">
        <v>212</v>
      </c>
      <c r="K50" s="98">
        <v>179</v>
      </c>
      <c r="L50" s="98">
        <v>199</v>
      </c>
      <c r="M50" s="98">
        <v>19</v>
      </c>
      <c r="N50" s="98"/>
      <c r="O50" s="98">
        <v>21</v>
      </c>
      <c r="P50" s="98">
        <v>8</v>
      </c>
      <c r="Q50" s="98">
        <v>20</v>
      </c>
      <c r="R50" s="98"/>
    </row>
    <row r="51" spans="1:26">
      <c r="A51" s="98" t="s">
        <v>214</v>
      </c>
      <c r="B51" s="98" t="s">
        <v>244</v>
      </c>
      <c r="C51" s="98">
        <v>200</v>
      </c>
      <c r="D51" s="98" t="str">
        <f t="shared" si="0"/>
        <v>PN10-DN200</v>
      </c>
      <c r="E51" s="98">
        <v>340</v>
      </c>
      <c r="F51" s="98">
        <v>295</v>
      </c>
      <c r="G51" s="98">
        <v>234</v>
      </c>
      <c r="H51" s="98">
        <v>219.1</v>
      </c>
      <c r="I51" s="98">
        <v>22</v>
      </c>
      <c r="J51" s="98">
        <v>268</v>
      </c>
      <c r="K51" s="98">
        <v>228</v>
      </c>
      <c r="L51" s="98">
        <v>248</v>
      </c>
      <c r="M51" s="98">
        <v>21</v>
      </c>
      <c r="N51" s="98"/>
      <c r="O51" s="98">
        <v>22</v>
      </c>
      <c r="P51" s="98">
        <v>8</v>
      </c>
      <c r="Q51" s="98">
        <v>20</v>
      </c>
      <c r="R51" s="98"/>
    </row>
    <row r="52" spans="1:26">
      <c r="A52" s="98" t="s">
        <v>214</v>
      </c>
      <c r="B52" s="98" t="s">
        <v>244</v>
      </c>
      <c r="C52" s="98">
        <v>250</v>
      </c>
      <c r="D52" s="98" t="str">
        <f t="shared" si="0"/>
        <v>PN10-DN250</v>
      </c>
      <c r="E52" s="98">
        <v>395</v>
      </c>
      <c r="F52" s="98">
        <v>350</v>
      </c>
      <c r="G52" s="98">
        <v>292</v>
      </c>
      <c r="H52" s="98">
        <v>273</v>
      </c>
      <c r="I52" s="98">
        <v>22</v>
      </c>
      <c r="J52" s="98">
        <v>320</v>
      </c>
      <c r="K52" s="98">
        <v>279</v>
      </c>
      <c r="L52" s="98">
        <v>303</v>
      </c>
      <c r="M52" s="98">
        <v>23</v>
      </c>
      <c r="N52" s="98"/>
      <c r="O52" s="98">
        <v>26</v>
      </c>
      <c r="P52" s="98">
        <v>12</v>
      </c>
      <c r="Q52" s="98">
        <v>20</v>
      </c>
      <c r="R52" s="98"/>
    </row>
    <row r="53" spans="1:26">
      <c r="A53" s="98" t="s">
        <v>214</v>
      </c>
      <c r="B53" s="98" t="s">
        <v>244</v>
      </c>
      <c r="C53" s="98">
        <v>300</v>
      </c>
      <c r="D53" s="98" t="str">
        <f t="shared" si="0"/>
        <v>PN10-DN300</v>
      </c>
      <c r="E53" s="98">
        <v>445</v>
      </c>
      <c r="F53" s="98">
        <v>400</v>
      </c>
      <c r="G53" s="98">
        <v>342</v>
      </c>
      <c r="H53" s="98">
        <v>323.89999999999998</v>
      </c>
      <c r="I53" s="98">
        <v>22</v>
      </c>
      <c r="J53" s="98">
        <v>370</v>
      </c>
      <c r="K53" s="98">
        <v>330</v>
      </c>
      <c r="L53" s="98">
        <v>354</v>
      </c>
      <c r="M53" s="98">
        <v>22</v>
      </c>
      <c r="N53" s="98"/>
      <c r="O53" s="98">
        <v>26</v>
      </c>
      <c r="P53" s="98">
        <v>12</v>
      </c>
      <c r="Q53" s="98">
        <v>20</v>
      </c>
      <c r="R53" s="98"/>
    </row>
    <row r="54" spans="1:26">
      <c r="A54" s="98" t="s">
        <v>214</v>
      </c>
      <c r="B54" s="98" t="s">
        <v>244</v>
      </c>
      <c r="C54" s="98">
        <v>350</v>
      </c>
      <c r="D54" s="98" t="str">
        <f t="shared" si="0"/>
        <v>PN10-DN350</v>
      </c>
      <c r="E54" s="98">
        <v>505</v>
      </c>
      <c r="F54" s="98">
        <v>460</v>
      </c>
      <c r="G54" s="98">
        <v>385</v>
      </c>
      <c r="H54" s="98">
        <v>355.6</v>
      </c>
      <c r="I54" s="98">
        <v>22</v>
      </c>
      <c r="J54" s="98">
        <v>430</v>
      </c>
      <c r="K54" s="98">
        <v>376</v>
      </c>
      <c r="L54" s="98">
        <v>400</v>
      </c>
      <c r="M54" s="98">
        <v>22</v>
      </c>
      <c r="N54" s="98"/>
      <c r="O54" s="98">
        <v>26</v>
      </c>
      <c r="P54" s="98">
        <v>16</v>
      </c>
      <c r="Q54" s="98">
        <v>20</v>
      </c>
      <c r="R54" s="98"/>
    </row>
    <row r="55" spans="1:26">
      <c r="A55" s="98" t="s">
        <v>214</v>
      </c>
      <c r="B55" s="98" t="s">
        <v>244</v>
      </c>
      <c r="C55" s="98">
        <v>400</v>
      </c>
      <c r="D55" s="98" t="str">
        <f t="shared" si="0"/>
        <v>PN10-DN400</v>
      </c>
      <c r="E55" s="98">
        <v>565</v>
      </c>
      <c r="F55" s="98">
        <v>515</v>
      </c>
      <c r="G55" s="98">
        <v>440</v>
      </c>
      <c r="H55" s="98">
        <v>406.4</v>
      </c>
      <c r="I55" s="98">
        <v>26</v>
      </c>
      <c r="J55" s="98">
        <v>482</v>
      </c>
      <c r="K55" s="98">
        <v>422</v>
      </c>
      <c r="L55" s="98">
        <v>450</v>
      </c>
      <c r="M55" s="98">
        <v>22</v>
      </c>
      <c r="N55" s="98"/>
      <c r="O55" s="98">
        <v>30</v>
      </c>
      <c r="P55" s="98">
        <v>16</v>
      </c>
      <c r="Q55" s="98">
        <v>24</v>
      </c>
      <c r="R55" s="98"/>
    </row>
    <row r="56" spans="1:26">
      <c r="A56" s="98" t="s">
        <v>214</v>
      </c>
      <c r="B56" s="98" t="s">
        <v>244</v>
      </c>
      <c r="C56" s="98">
        <v>450</v>
      </c>
      <c r="D56" s="98" t="str">
        <f t="shared" si="0"/>
        <v>PN10-DN450</v>
      </c>
      <c r="E56" s="98">
        <v>615</v>
      </c>
      <c r="F56" s="98">
        <v>565</v>
      </c>
      <c r="G56" s="98">
        <v>488</v>
      </c>
      <c r="H56" s="98">
        <v>457.2</v>
      </c>
      <c r="I56" s="98">
        <v>26</v>
      </c>
      <c r="J56" s="98">
        <v>532</v>
      </c>
      <c r="K56" s="98"/>
      <c r="L56" s="98"/>
      <c r="M56" s="98">
        <v>24</v>
      </c>
      <c r="N56" s="98"/>
      <c r="O56" s="98">
        <v>28</v>
      </c>
      <c r="P56" s="98">
        <v>20</v>
      </c>
      <c r="Q56" s="98">
        <v>24</v>
      </c>
      <c r="R56" s="98"/>
    </row>
    <row r="57" spans="1:26">
      <c r="A57" s="98" t="s">
        <v>214</v>
      </c>
      <c r="B57" s="98" t="s">
        <v>244</v>
      </c>
      <c r="C57" s="98">
        <v>500</v>
      </c>
      <c r="D57" s="98" t="str">
        <f t="shared" si="0"/>
        <v>PN10-DN500</v>
      </c>
      <c r="E57" s="98">
        <v>670</v>
      </c>
      <c r="F57" s="98">
        <v>620</v>
      </c>
      <c r="G57" s="98">
        <v>542</v>
      </c>
      <c r="H57" s="98">
        <v>508</v>
      </c>
      <c r="I57" s="98">
        <v>26</v>
      </c>
      <c r="J57" s="98">
        <v>585</v>
      </c>
      <c r="K57" s="98">
        <v>522</v>
      </c>
      <c r="L57" s="98">
        <v>550</v>
      </c>
      <c r="M57" s="98">
        <v>24</v>
      </c>
      <c r="N57" s="98"/>
      <c r="O57" s="98">
        <v>31</v>
      </c>
      <c r="P57" s="98">
        <v>20</v>
      </c>
      <c r="Q57" s="98">
        <v>24</v>
      </c>
      <c r="R57" s="98"/>
    </row>
    <row r="58" spans="1:26">
      <c r="A58" s="98" t="s">
        <v>214</v>
      </c>
      <c r="B58" s="98" t="s">
        <v>244</v>
      </c>
      <c r="C58" s="98">
        <v>600</v>
      </c>
      <c r="D58" s="98" t="str">
        <f t="shared" si="0"/>
        <v>PN10-DN600</v>
      </c>
      <c r="E58" s="98">
        <v>780</v>
      </c>
      <c r="F58" s="98">
        <v>725</v>
      </c>
      <c r="G58" s="98">
        <v>642</v>
      </c>
      <c r="H58" s="98">
        <v>609.6</v>
      </c>
      <c r="I58" s="98">
        <v>30</v>
      </c>
      <c r="J58" s="98">
        <v>685</v>
      </c>
      <c r="K58" s="98">
        <v>622</v>
      </c>
      <c r="L58" s="98">
        <v>650</v>
      </c>
      <c r="M58" s="98">
        <v>25</v>
      </c>
      <c r="N58" s="98"/>
      <c r="O58" s="98">
        <v>34</v>
      </c>
      <c r="P58" s="98">
        <v>20</v>
      </c>
      <c r="Q58" s="98">
        <v>27</v>
      </c>
      <c r="R58" s="98"/>
    </row>
    <row r="59" spans="1:26">
      <c r="A59" s="98" t="s">
        <v>214</v>
      </c>
      <c r="B59" s="98" t="s">
        <v>244</v>
      </c>
      <c r="C59" s="98">
        <v>700</v>
      </c>
      <c r="D59" s="98" t="str">
        <f t="shared" si="0"/>
        <v>PN10-DN700</v>
      </c>
      <c r="E59" s="98">
        <v>895</v>
      </c>
      <c r="F59" s="98">
        <v>840</v>
      </c>
      <c r="G59" s="98">
        <v>746</v>
      </c>
      <c r="H59" s="98">
        <v>711</v>
      </c>
      <c r="I59" s="98">
        <v>30</v>
      </c>
      <c r="J59" s="98">
        <v>800</v>
      </c>
      <c r="K59" s="98">
        <v>722</v>
      </c>
      <c r="L59" s="98">
        <v>756</v>
      </c>
      <c r="M59" s="98">
        <v>30</v>
      </c>
      <c r="N59" s="98"/>
      <c r="O59" s="98">
        <v>32</v>
      </c>
      <c r="P59" s="98">
        <v>24</v>
      </c>
      <c r="Q59" s="98">
        <v>27</v>
      </c>
      <c r="R59" s="98"/>
    </row>
    <row r="60" spans="1:26">
      <c r="A60" s="98" t="s">
        <v>214</v>
      </c>
      <c r="B60" s="98" t="s">
        <v>244</v>
      </c>
      <c r="C60" s="98">
        <v>800</v>
      </c>
      <c r="D60" s="98" t="str">
        <f t="shared" si="0"/>
        <v>PN10-DN800</v>
      </c>
      <c r="E60" s="98">
        <v>1015</v>
      </c>
      <c r="F60" s="98">
        <v>950</v>
      </c>
      <c r="G60" s="98">
        <v>850</v>
      </c>
      <c r="H60" s="98">
        <v>813</v>
      </c>
      <c r="I60" s="98">
        <v>33</v>
      </c>
      <c r="J60" s="98">
        <v>905</v>
      </c>
      <c r="K60" s="98">
        <v>830</v>
      </c>
      <c r="L60" s="98">
        <v>864</v>
      </c>
      <c r="M60" s="98">
        <v>33</v>
      </c>
      <c r="N60" s="98"/>
      <c r="O60" s="98">
        <v>40</v>
      </c>
      <c r="P60" s="98">
        <v>24</v>
      </c>
      <c r="Q60" s="98">
        <v>30</v>
      </c>
      <c r="R60" s="98"/>
    </row>
    <row r="61" spans="1:26">
      <c r="A61" s="98" t="s">
        <v>214</v>
      </c>
      <c r="B61" s="98" t="s">
        <v>244</v>
      </c>
      <c r="C61" s="98">
        <v>900</v>
      </c>
      <c r="D61" s="98" t="str">
        <f t="shared" si="0"/>
        <v>PN10-DN900</v>
      </c>
      <c r="E61" s="98">
        <v>1115</v>
      </c>
      <c r="F61" s="98">
        <v>1050</v>
      </c>
      <c r="G61" s="98">
        <v>950</v>
      </c>
      <c r="H61" s="98">
        <v>914</v>
      </c>
      <c r="I61" s="98">
        <v>33</v>
      </c>
      <c r="J61" s="98">
        <v>1005</v>
      </c>
      <c r="K61" s="98">
        <v>930</v>
      </c>
      <c r="L61" s="98">
        <v>964</v>
      </c>
      <c r="M61" s="98">
        <v>33</v>
      </c>
      <c r="N61" s="98"/>
      <c r="O61" s="98">
        <v>41</v>
      </c>
      <c r="P61" s="98">
        <v>28</v>
      </c>
      <c r="Q61" s="98">
        <v>30</v>
      </c>
      <c r="R61" s="98"/>
    </row>
    <row r="62" spans="1:26">
      <c r="A62" s="98" t="s">
        <v>214</v>
      </c>
      <c r="B62" s="98" t="s">
        <v>244</v>
      </c>
      <c r="C62" s="98">
        <v>1000</v>
      </c>
      <c r="D62" s="98" t="str">
        <f t="shared" si="0"/>
        <v>PN10-DN1000</v>
      </c>
      <c r="E62" s="98">
        <v>1230</v>
      </c>
      <c r="F62" s="98">
        <v>1160</v>
      </c>
      <c r="G62" s="98">
        <v>1052</v>
      </c>
      <c r="H62" s="98"/>
      <c r="I62" s="98">
        <v>36</v>
      </c>
      <c r="J62" s="98">
        <v>1110</v>
      </c>
      <c r="K62" s="98">
        <v>1030</v>
      </c>
      <c r="L62" s="98">
        <v>1074</v>
      </c>
      <c r="M62" s="98">
        <v>39</v>
      </c>
      <c r="N62" s="98"/>
      <c r="O62" s="98">
        <v>41</v>
      </c>
      <c r="P62" s="98">
        <v>28</v>
      </c>
      <c r="Q62" s="98">
        <v>33</v>
      </c>
      <c r="R62" s="98"/>
    </row>
    <row r="63" spans="1:26">
      <c r="A63" s="98" t="s">
        <v>214</v>
      </c>
      <c r="B63" s="98" t="s">
        <v>244</v>
      </c>
      <c r="C63" s="98">
        <v>1200</v>
      </c>
      <c r="D63" s="98" t="str">
        <f t="shared" si="0"/>
        <v>PN10-DN1200</v>
      </c>
      <c r="E63" s="98">
        <v>1455</v>
      </c>
      <c r="F63" s="98">
        <v>1380</v>
      </c>
      <c r="G63" s="98">
        <v>1256</v>
      </c>
      <c r="H63" s="98"/>
      <c r="I63" s="98">
        <v>39</v>
      </c>
      <c r="J63" s="98">
        <v>1330</v>
      </c>
      <c r="K63" s="98"/>
      <c r="L63" s="98"/>
      <c r="M63" s="98">
        <v>50</v>
      </c>
      <c r="N63" s="98"/>
      <c r="O63" s="98">
        <v>52</v>
      </c>
      <c r="P63" s="98">
        <v>32</v>
      </c>
      <c r="Q63" s="98">
        <v>36</v>
      </c>
      <c r="R63" s="98"/>
    </row>
    <row r="64" spans="1:26">
      <c r="A64" s="98" t="s">
        <v>214</v>
      </c>
      <c r="B64" s="98" t="s">
        <v>244</v>
      </c>
      <c r="C64" s="98">
        <v>1400</v>
      </c>
      <c r="D64" s="98" t="str">
        <f t="shared" si="0"/>
        <v>PN10-DN1400</v>
      </c>
      <c r="E64" s="98">
        <v>1675</v>
      </c>
      <c r="F64" s="98">
        <v>1590</v>
      </c>
      <c r="G64" s="98">
        <v>1460</v>
      </c>
      <c r="H64" s="98"/>
      <c r="I64" s="98">
        <v>42</v>
      </c>
      <c r="J64" s="98">
        <v>1535</v>
      </c>
      <c r="K64" s="98"/>
      <c r="L64" s="98"/>
      <c r="M64" s="98">
        <v>60</v>
      </c>
      <c r="N64" s="98"/>
      <c r="O64" s="98">
        <v>53</v>
      </c>
      <c r="P64" s="98">
        <v>36</v>
      </c>
      <c r="Q64" s="98">
        <v>39</v>
      </c>
      <c r="R64" s="98"/>
    </row>
    <row r="65" spans="1:18">
      <c r="A65" s="98" t="s">
        <v>214</v>
      </c>
      <c r="B65" s="98" t="s">
        <v>244</v>
      </c>
      <c r="C65" s="98">
        <v>1600</v>
      </c>
      <c r="D65" s="98" t="str">
        <f t="shared" si="0"/>
        <v>PN10-DN1600</v>
      </c>
      <c r="E65" s="98">
        <v>1915</v>
      </c>
      <c r="F65" s="98">
        <v>1820</v>
      </c>
      <c r="G65" s="98">
        <v>1666</v>
      </c>
      <c r="H65" s="98"/>
      <c r="I65" s="98">
        <v>48</v>
      </c>
      <c r="J65" s="98">
        <v>1760</v>
      </c>
      <c r="K65" s="98"/>
      <c r="L65" s="98"/>
      <c r="M65" s="98">
        <v>70</v>
      </c>
      <c r="N65" s="98"/>
      <c r="O65" s="98">
        <v>59</v>
      </c>
      <c r="P65" s="98">
        <v>40</v>
      </c>
      <c r="Q65" s="98">
        <v>45</v>
      </c>
      <c r="R65" s="98"/>
    </row>
    <row r="66" spans="1:18">
      <c r="A66" s="98" t="s">
        <v>214</v>
      </c>
      <c r="B66" s="98" t="s">
        <v>244</v>
      </c>
      <c r="C66" s="98">
        <v>1800</v>
      </c>
      <c r="D66" s="98" t="str">
        <f t="shared" ref="D66:D129" si="1">B66&amp;"-DN"&amp;C66</f>
        <v>PN10-DN1800</v>
      </c>
      <c r="E66" s="98">
        <v>2115</v>
      </c>
      <c r="F66" s="98">
        <v>2020</v>
      </c>
      <c r="G66" s="98">
        <v>1868</v>
      </c>
      <c r="H66" s="98"/>
      <c r="I66" s="98">
        <v>48</v>
      </c>
      <c r="J66" s="98">
        <v>1960</v>
      </c>
      <c r="K66" s="98"/>
      <c r="L66" s="98"/>
      <c r="M66" s="98">
        <v>80</v>
      </c>
      <c r="N66" s="98"/>
      <c r="O66" s="98">
        <v>60</v>
      </c>
      <c r="P66" s="98">
        <v>44</v>
      </c>
      <c r="Q66" s="98">
        <v>45</v>
      </c>
      <c r="R66" s="98"/>
    </row>
    <row r="67" spans="1:18">
      <c r="A67" s="98" t="s">
        <v>214</v>
      </c>
      <c r="B67" s="98" t="s">
        <v>244</v>
      </c>
      <c r="C67" s="98">
        <v>2000</v>
      </c>
      <c r="D67" s="98" t="str">
        <f t="shared" si="1"/>
        <v>PN10-DN2000</v>
      </c>
      <c r="E67" s="98">
        <v>2325</v>
      </c>
      <c r="F67" s="98">
        <v>2230</v>
      </c>
      <c r="G67" s="98">
        <v>2072</v>
      </c>
      <c r="H67" s="98"/>
      <c r="I67" s="98">
        <v>48</v>
      </c>
      <c r="J67" s="98">
        <v>2170</v>
      </c>
      <c r="K67" s="98"/>
      <c r="L67" s="98"/>
      <c r="M67" s="98">
        <v>85</v>
      </c>
      <c r="N67" s="98"/>
      <c r="O67" s="98">
        <v>66</v>
      </c>
      <c r="P67" s="98">
        <v>48</v>
      </c>
      <c r="Q67" s="98">
        <v>45</v>
      </c>
      <c r="R67" s="98"/>
    </row>
    <row r="68" spans="1:18">
      <c r="A68" s="98" t="s">
        <v>214</v>
      </c>
      <c r="B68" s="98" t="s">
        <v>244</v>
      </c>
      <c r="C68" s="98">
        <v>2200</v>
      </c>
      <c r="D68" s="98" t="str">
        <f t="shared" si="1"/>
        <v>PN10-DN2200</v>
      </c>
      <c r="E68" s="98">
        <v>2550</v>
      </c>
      <c r="F68" s="98">
        <v>2440</v>
      </c>
      <c r="G68" s="98">
        <v>2275</v>
      </c>
      <c r="H68" s="98"/>
      <c r="I68" s="98">
        <v>56</v>
      </c>
      <c r="J68" s="98">
        <v>2370</v>
      </c>
      <c r="K68" s="98"/>
      <c r="L68" s="98"/>
      <c r="M68" s="98">
        <v>95</v>
      </c>
      <c r="N68" s="98"/>
      <c r="O68" s="98">
        <v>67</v>
      </c>
      <c r="P68" s="98">
        <v>52</v>
      </c>
      <c r="Q68" s="98">
        <v>52</v>
      </c>
      <c r="R68" s="98"/>
    </row>
    <row r="69" spans="1:18">
      <c r="A69" s="98" t="s">
        <v>214</v>
      </c>
      <c r="B69" s="98" t="s">
        <v>244</v>
      </c>
      <c r="C69" s="98">
        <v>2400</v>
      </c>
      <c r="D69" s="98" t="str">
        <f t="shared" si="1"/>
        <v>PN10-DN2400</v>
      </c>
      <c r="E69" s="98">
        <v>2760</v>
      </c>
      <c r="F69" s="98">
        <v>2650</v>
      </c>
      <c r="G69" s="98">
        <v>2478</v>
      </c>
      <c r="H69" s="98"/>
      <c r="I69" s="98">
        <v>56</v>
      </c>
      <c r="J69" s="98">
        <v>2570</v>
      </c>
      <c r="K69" s="98"/>
      <c r="L69" s="98"/>
      <c r="M69" s="98">
        <v>105</v>
      </c>
      <c r="N69" s="98"/>
      <c r="O69" s="98">
        <v>73</v>
      </c>
      <c r="P69" s="98">
        <v>56</v>
      </c>
      <c r="Q69" s="98">
        <v>52</v>
      </c>
      <c r="R69" s="98"/>
    </row>
    <row r="70" spans="1:18">
      <c r="A70" s="98" t="s">
        <v>214</v>
      </c>
      <c r="B70" s="98" t="s">
        <v>244</v>
      </c>
      <c r="C70" s="98">
        <v>2600</v>
      </c>
      <c r="D70" s="98" t="str">
        <f t="shared" si="1"/>
        <v>PN10-DN2600</v>
      </c>
      <c r="E70" s="98">
        <v>2960</v>
      </c>
      <c r="F70" s="98">
        <v>2850</v>
      </c>
      <c r="G70" s="98">
        <v>2680</v>
      </c>
      <c r="H70" s="98"/>
      <c r="I70" s="98">
        <v>56</v>
      </c>
      <c r="J70" s="98">
        <v>2780</v>
      </c>
      <c r="K70" s="98"/>
      <c r="L70" s="98"/>
      <c r="M70" s="98">
        <v>105</v>
      </c>
      <c r="N70" s="98"/>
      <c r="O70" s="98">
        <v>74</v>
      </c>
      <c r="P70" s="98">
        <v>60</v>
      </c>
      <c r="Q70" s="98">
        <v>52</v>
      </c>
      <c r="R70" s="98"/>
    </row>
    <row r="71" spans="1:18">
      <c r="A71" s="98" t="s">
        <v>214</v>
      </c>
      <c r="B71" s="98" t="s">
        <v>244</v>
      </c>
      <c r="C71" s="98">
        <v>2800</v>
      </c>
      <c r="D71" s="98" t="str">
        <f t="shared" si="1"/>
        <v>PN10-DN2800</v>
      </c>
      <c r="E71" s="98">
        <v>3180</v>
      </c>
      <c r="F71" s="98">
        <v>3070</v>
      </c>
      <c r="G71" s="98">
        <v>2882</v>
      </c>
      <c r="H71" s="98"/>
      <c r="I71" s="98">
        <v>56</v>
      </c>
      <c r="J71" s="98">
        <v>3000</v>
      </c>
      <c r="K71" s="98"/>
      <c r="L71" s="98"/>
      <c r="M71" s="98">
        <v>119</v>
      </c>
      <c r="N71" s="98"/>
      <c r="O71" s="98">
        <v>80</v>
      </c>
      <c r="P71" s="98">
        <v>64</v>
      </c>
      <c r="Q71" s="98">
        <v>52</v>
      </c>
      <c r="R71" s="98"/>
    </row>
    <row r="72" spans="1:18">
      <c r="A72" s="98" t="s">
        <v>214</v>
      </c>
      <c r="B72" s="98" t="s">
        <v>244</v>
      </c>
      <c r="C72" s="98">
        <v>3000</v>
      </c>
      <c r="D72" s="98" t="str">
        <f t="shared" si="1"/>
        <v>PN10-DN3000</v>
      </c>
      <c r="E72" s="98">
        <v>3405</v>
      </c>
      <c r="F72" s="98">
        <v>3290</v>
      </c>
      <c r="G72" s="98">
        <v>3085</v>
      </c>
      <c r="H72" s="98"/>
      <c r="I72" s="98">
        <v>62</v>
      </c>
      <c r="J72" s="98">
        <v>3210</v>
      </c>
      <c r="K72" s="98"/>
      <c r="L72" s="98"/>
      <c r="M72" s="98">
        <v>127</v>
      </c>
      <c r="N72" s="98"/>
      <c r="O72" s="98">
        <v>80</v>
      </c>
      <c r="P72" s="98">
        <v>68</v>
      </c>
      <c r="Q72" s="98">
        <v>56</v>
      </c>
      <c r="R72" s="98"/>
    </row>
    <row r="73" spans="1:18">
      <c r="A73" s="98" t="s">
        <v>214</v>
      </c>
      <c r="B73" s="98" t="s">
        <v>254</v>
      </c>
      <c r="C73" s="98">
        <v>10</v>
      </c>
      <c r="D73" s="98" t="str">
        <f t="shared" si="1"/>
        <v>PN16-DN10</v>
      </c>
      <c r="E73" s="98">
        <v>90</v>
      </c>
      <c r="F73" s="98">
        <v>60</v>
      </c>
      <c r="G73" s="98">
        <v>28</v>
      </c>
      <c r="H73" s="98">
        <v>17.2</v>
      </c>
      <c r="I73" s="98">
        <v>14</v>
      </c>
      <c r="J73" s="98">
        <v>40</v>
      </c>
      <c r="K73" s="98"/>
      <c r="L73" s="98"/>
      <c r="M73" s="98">
        <v>14</v>
      </c>
      <c r="N73" s="98"/>
      <c r="O73" s="98">
        <v>13</v>
      </c>
      <c r="P73" s="98">
        <v>4</v>
      </c>
      <c r="Q73" s="98">
        <v>12</v>
      </c>
      <c r="R73" s="98"/>
    </row>
    <row r="74" spans="1:18">
      <c r="A74" s="98" t="s">
        <v>214</v>
      </c>
      <c r="B74" s="98" t="s">
        <v>254</v>
      </c>
      <c r="C74" s="98">
        <v>15</v>
      </c>
      <c r="D74" s="98" t="str">
        <f t="shared" si="1"/>
        <v>PN16-DN15</v>
      </c>
      <c r="E74" s="98">
        <v>95</v>
      </c>
      <c r="F74" s="98">
        <v>65</v>
      </c>
      <c r="G74" s="98">
        <v>32</v>
      </c>
      <c r="H74" s="98">
        <v>21.3</v>
      </c>
      <c r="I74" s="98">
        <v>14</v>
      </c>
      <c r="J74" s="98">
        <v>45</v>
      </c>
      <c r="K74" s="98"/>
      <c r="L74" s="98"/>
      <c r="M74" s="98">
        <v>14</v>
      </c>
      <c r="N74" s="98"/>
      <c r="O74" s="98">
        <v>16</v>
      </c>
      <c r="P74" s="98">
        <v>4</v>
      </c>
      <c r="Q74" s="98">
        <v>12</v>
      </c>
      <c r="R74" s="98"/>
    </row>
    <row r="75" spans="1:18">
      <c r="A75" s="98" t="s">
        <v>214</v>
      </c>
      <c r="B75" s="98" t="s">
        <v>254</v>
      </c>
      <c r="C75" s="98">
        <v>20</v>
      </c>
      <c r="D75" s="98" t="str">
        <f t="shared" si="1"/>
        <v>PN16-DN20</v>
      </c>
      <c r="E75" s="98">
        <v>105</v>
      </c>
      <c r="F75" s="98">
        <v>75</v>
      </c>
      <c r="G75" s="98">
        <v>40</v>
      </c>
      <c r="H75" s="98">
        <v>26.9</v>
      </c>
      <c r="I75" s="98">
        <v>14</v>
      </c>
      <c r="J75" s="98">
        <v>58</v>
      </c>
      <c r="K75" s="98"/>
      <c r="L75" s="98"/>
      <c r="M75" s="98">
        <v>16</v>
      </c>
      <c r="N75" s="98"/>
      <c r="O75" s="98">
        <v>16</v>
      </c>
      <c r="P75" s="98">
        <v>4</v>
      </c>
      <c r="Q75" s="98">
        <v>12</v>
      </c>
      <c r="R75" s="98"/>
    </row>
    <row r="76" spans="1:18">
      <c r="A76" s="98" t="s">
        <v>214</v>
      </c>
      <c r="B76" s="98" t="s">
        <v>254</v>
      </c>
      <c r="C76" s="98">
        <v>25</v>
      </c>
      <c r="D76" s="98" t="str">
        <f t="shared" si="1"/>
        <v>PN16-DN25</v>
      </c>
      <c r="E76" s="98">
        <v>115</v>
      </c>
      <c r="F76" s="98">
        <v>85</v>
      </c>
      <c r="G76" s="98">
        <v>46</v>
      </c>
      <c r="H76" s="98">
        <v>33.700000000000003</v>
      </c>
      <c r="I76" s="98">
        <v>14</v>
      </c>
      <c r="J76" s="98">
        <v>68</v>
      </c>
      <c r="K76" s="98"/>
      <c r="L76" s="98"/>
      <c r="M76" s="98">
        <v>16</v>
      </c>
      <c r="N76" s="98"/>
      <c r="O76" s="98">
        <v>16</v>
      </c>
      <c r="P76" s="98">
        <v>4</v>
      </c>
      <c r="Q76" s="98">
        <v>12</v>
      </c>
      <c r="R76" s="98"/>
    </row>
    <row r="77" spans="1:18">
      <c r="A77" s="98" t="s">
        <v>214</v>
      </c>
      <c r="B77" s="98" t="s">
        <v>254</v>
      </c>
      <c r="C77" s="98">
        <v>32</v>
      </c>
      <c r="D77" s="98" t="str">
        <f t="shared" si="1"/>
        <v>PN16-DN32</v>
      </c>
      <c r="E77" s="98">
        <v>140</v>
      </c>
      <c r="F77" s="98">
        <v>100</v>
      </c>
      <c r="G77" s="98">
        <v>56</v>
      </c>
      <c r="H77" s="98">
        <v>42.4</v>
      </c>
      <c r="I77" s="98">
        <v>18</v>
      </c>
      <c r="J77" s="98">
        <v>78</v>
      </c>
      <c r="K77" s="98"/>
      <c r="L77" s="98"/>
      <c r="M77" s="98">
        <v>16</v>
      </c>
      <c r="N77" s="98"/>
      <c r="O77" s="98">
        <v>18</v>
      </c>
      <c r="P77" s="98">
        <v>4</v>
      </c>
      <c r="Q77" s="98">
        <v>16</v>
      </c>
      <c r="R77" s="98"/>
    </row>
    <row r="78" spans="1:18">
      <c r="A78" s="98" t="s">
        <v>214</v>
      </c>
      <c r="B78" s="98" t="s">
        <v>254</v>
      </c>
      <c r="C78" s="98">
        <v>40</v>
      </c>
      <c r="D78" s="98" t="str">
        <f t="shared" si="1"/>
        <v>PN16-DN40</v>
      </c>
      <c r="E78" s="98">
        <v>150</v>
      </c>
      <c r="F78" s="98">
        <v>110</v>
      </c>
      <c r="G78" s="98">
        <v>64</v>
      </c>
      <c r="H78" s="98">
        <v>48.3</v>
      </c>
      <c r="I78" s="98">
        <v>18</v>
      </c>
      <c r="J78" s="98">
        <v>88</v>
      </c>
      <c r="K78" s="98"/>
      <c r="L78" s="98"/>
      <c r="M78" s="98">
        <v>15</v>
      </c>
      <c r="N78" s="98"/>
      <c r="O78" s="98">
        <v>20</v>
      </c>
      <c r="P78" s="98">
        <v>4</v>
      </c>
      <c r="Q78" s="98">
        <v>16</v>
      </c>
      <c r="R78" s="98"/>
    </row>
    <row r="79" spans="1:18">
      <c r="A79" s="98" t="s">
        <v>214</v>
      </c>
      <c r="B79" s="98" t="s">
        <v>254</v>
      </c>
      <c r="C79" s="98">
        <v>50</v>
      </c>
      <c r="D79" s="98" t="str">
        <f t="shared" si="1"/>
        <v>PN16-DN50</v>
      </c>
      <c r="E79" s="98">
        <v>165</v>
      </c>
      <c r="F79" s="98">
        <v>125</v>
      </c>
      <c r="G79" s="98">
        <v>74</v>
      </c>
      <c r="H79" s="98">
        <v>60.3</v>
      </c>
      <c r="I79" s="98">
        <v>18</v>
      </c>
      <c r="J79" s="98">
        <v>102</v>
      </c>
      <c r="K79" s="98"/>
      <c r="L79" s="98"/>
      <c r="M79" s="98">
        <v>15</v>
      </c>
      <c r="N79" s="98"/>
      <c r="O79" s="98">
        <v>19</v>
      </c>
      <c r="P79" s="98">
        <v>4</v>
      </c>
      <c r="Q79" s="98">
        <v>16</v>
      </c>
      <c r="R79" s="98"/>
    </row>
    <row r="80" spans="1:18">
      <c r="A80" s="98" t="s">
        <v>214</v>
      </c>
      <c r="B80" s="98" t="s">
        <v>254</v>
      </c>
      <c r="C80" s="98">
        <v>65</v>
      </c>
      <c r="D80" s="98" t="str">
        <f t="shared" si="1"/>
        <v>PN16-DN65</v>
      </c>
      <c r="E80" s="98">
        <v>185</v>
      </c>
      <c r="F80" s="98">
        <v>145</v>
      </c>
      <c r="G80" s="98">
        <v>92</v>
      </c>
      <c r="H80" s="98">
        <v>76.099999999999994</v>
      </c>
      <c r="I80" s="98">
        <v>18</v>
      </c>
      <c r="J80" s="98">
        <v>122</v>
      </c>
      <c r="K80" s="98"/>
      <c r="L80" s="98"/>
      <c r="M80" s="98">
        <v>15</v>
      </c>
      <c r="N80" s="98"/>
      <c r="O80" s="98">
        <v>17</v>
      </c>
      <c r="P80" s="98">
        <v>8</v>
      </c>
      <c r="Q80" s="98">
        <v>16</v>
      </c>
      <c r="R80" s="98"/>
    </row>
    <row r="81" spans="1:18">
      <c r="A81" s="98" t="s">
        <v>214</v>
      </c>
      <c r="B81" s="98" t="s">
        <v>254</v>
      </c>
      <c r="C81" s="98">
        <v>80</v>
      </c>
      <c r="D81" s="98" t="str">
        <f t="shared" si="1"/>
        <v>PN16-DN80</v>
      </c>
      <c r="E81" s="98">
        <v>200</v>
      </c>
      <c r="F81" s="98">
        <v>160</v>
      </c>
      <c r="G81" s="98">
        <v>105</v>
      </c>
      <c r="H81" s="98">
        <v>88.9</v>
      </c>
      <c r="I81" s="98">
        <v>18</v>
      </c>
      <c r="J81" s="98">
        <v>138</v>
      </c>
      <c r="K81" s="98"/>
      <c r="L81" s="98"/>
      <c r="M81" s="98">
        <v>17</v>
      </c>
      <c r="N81" s="98"/>
      <c r="O81" s="98">
        <v>20</v>
      </c>
      <c r="P81" s="98">
        <v>8</v>
      </c>
      <c r="Q81" s="98">
        <v>16</v>
      </c>
      <c r="R81" s="98"/>
    </row>
    <row r="82" spans="1:18">
      <c r="A82" s="98" t="s">
        <v>214</v>
      </c>
      <c r="B82" s="98" t="s">
        <v>254</v>
      </c>
      <c r="C82" s="98">
        <v>100</v>
      </c>
      <c r="D82" s="98" t="str">
        <f t="shared" si="1"/>
        <v>PN16-DN100</v>
      </c>
      <c r="E82" s="98">
        <v>220</v>
      </c>
      <c r="F82" s="98">
        <v>180</v>
      </c>
      <c r="G82" s="98">
        <v>131</v>
      </c>
      <c r="H82" s="98">
        <v>114.3</v>
      </c>
      <c r="I82" s="98">
        <v>18</v>
      </c>
      <c r="J82" s="98">
        <v>158</v>
      </c>
      <c r="K82" s="98">
        <v>127</v>
      </c>
      <c r="L82" s="98">
        <v>143</v>
      </c>
      <c r="M82" s="98">
        <v>17</v>
      </c>
      <c r="N82" s="98"/>
      <c r="O82" s="98">
        <v>20</v>
      </c>
      <c r="P82" s="98">
        <v>8</v>
      </c>
      <c r="Q82" s="98">
        <v>16</v>
      </c>
      <c r="R82" s="98"/>
    </row>
    <row r="83" spans="1:18">
      <c r="A83" s="98" t="s">
        <v>214</v>
      </c>
      <c r="B83" s="98" t="s">
        <v>254</v>
      </c>
      <c r="C83" s="98">
        <v>125</v>
      </c>
      <c r="D83" s="98" t="str">
        <f t="shared" si="1"/>
        <v>PN16-DN125</v>
      </c>
      <c r="E83" s="98">
        <v>250</v>
      </c>
      <c r="F83" s="98">
        <v>210</v>
      </c>
      <c r="G83" s="98">
        <v>156</v>
      </c>
      <c r="H83" s="98">
        <v>139.69999999999999</v>
      </c>
      <c r="I83" s="98">
        <v>18</v>
      </c>
      <c r="J83" s="98">
        <v>188</v>
      </c>
      <c r="K83" s="98"/>
      <c r="L83" s="98"/>
      <c r="M83" s="98">
        <v>19</v>
      </c>
      <c r="N83" s="98"/>
      <c r="O83" s="98">
        <v>21</v>
      </c>
      <c r="P83" s="98">
        <v>8</v>
      </c>
      <c r="Q83" s="98">
        <v>16</v>
      </c>
      <c r="R83" s="98"/>
    </row>
    <row r="84" spans="1:18">
      <c r="A84" s="98" t="s">
        <v>214</v>
      </c>
      <c r="B84" s="98" t="s">
        <v>254</v>
      </c>
      <c r="C84" s="98">
        <v>150</v>
      </c>
      <c r="D84" s="98" t="str">
        <f t="shared" si="1"/>
        <v>PN16-DN150</v>
      </c>
      <c r="E84" s="98">
        <v>285</v>
      </c>
      <c r="F84" s="98">
        <v>240</v>
      </c>
      <c r="G84" s="98">
        <v>184</v>
      </c>
      <c r="H84" s="98">
        <v>168.3</v>
      </c>
      <c r="I84" s="98">
        <v>22</v>
      </c>
      <c r="J84" s="98">
        <v>212</v>
      </c>
      <c r="K84" s="98"/>
      <c r="L84" s="98"/>
      <c r="M84" s="98">
        <v>19</v>
      </c>
      <c r="N84" s="98"/>
      <c r="O84" s="98">
        <v>21</v>
      </c>
      <c r="P84" s="98">
        <v>8</v>
      </c>
      <c r="Q84" s="98">
        <v>20</v>
      </c>
      <c r="R84" s="98"/>
    </row>
    <row r="85" spans="1:18">
      <c r="A85" s="98" t="s">
        <v>214</v>
      </c>
      <c r="B85" s="98" t="s">
        <v>254</v>
      </c>
      <c r="C85" s="98">
        <v>200</v>
      </c>
      <c r="D85" s="98" t="str">
        <f t="shared" si="1"/>
        <v>PN16-DN200</v>
      </c>
      <c r="E85" s="98">
        <v>340</v>
      </c>
      <c r="F85" s="98">
        <v>295</v>
      </c>
      <c r="G85" s="98">
        <v>235</v>
      </c>
      <c r="H85" s="98">
        <v>219.1</v>
      </c>
      <c r="I85" s="98">
        <v>22</v>
      </c>
      <c r="J85" s="98">
        <v>268</v>
      </c>
      <c r="K85" s="98"/>
      <c r="L85" s="98"/>
      <c r="M85" s="98">
        <v>21</v>
      </c>
      <c r="N85" s="98"/>
      <c r="O85" s="98">
        <v>22</v>
      </c>
      <c r="P85" s="98">
        <v>12</v>
      </c>
      <c r="Q85" s="98">
        <v>20</v>
      </c>
      <c r="R85" s="98"/>
    </row>
    <row r="86" spans="1:18">
      <c r="A86" s="98" t="s">
        <v>214</v>
      </c>
      <c r="B86" s="98" t="s">
        <v>254</v>
      </c>
      <c r="C86" s="98">
        <v>250</v>
      </c>
      <c r="D86" s="98" t="str">
        <f t="shared" si="1"/>
        <v>PN16-DN250</v>
      </c>
      <c r="E86" s="98">
        <v>405</v>
      </c>
      <c r="F86" s="98">
        <v>355</v>
      </c>
      <c r="G86" s="98">
        <v>292</v>
      </c>
      <c r="H86" s="98">
        <v>273</v>
      </c>
      <c r="I86" s="98">
        <v>26</v>
      </c>
      <c r="J86" s="98">
        <v>320</v>
      </c>
      <c r="K86" s="98"/>
      <c r="L86" s="98"/>
      <c r="M86" s="98">
        <v>23</v>
      </c>
      <c r="N86" s="98"/>
      <c r="O86" s="98">
        <v>28</v>
      </c>
      <c r="P86" s="98">
        <v>12</v>
      </c>
      <c r="Q86" s="98">
        <v>24</v>
      </c>
      <c r="R86" s="98"/>
    </row>
    <row r="87" spans="1:18">
      <c r="A87" s="98" t="s">
        <v>214</v>
      </c>
      <c r="B87" s="98" t="s">
        <v>254</v>
      </c>
      <c r="C87" s="98">
        <v>300</v>
      </c>
      <c r="D87" s="98" t="str">
        <f t="shared" si="1"/>
        <v>PN16-DN300</v>
      </c>
      <c r="E87" s="98">
        <v>460</v>
      </c>
      <c r="F87" s="98">
        <v>410</v>
      </c>
      <c r="G87" s="98">
        <v>344</v>
      </c>
      <c r="H87" s="98">
        <v>323.89999999999998</v>
      </c>
      <c r="I87" s="98">
        <v>26</v>
      </c>
      <c r="J87" s="98">
        <v>378</v>
      </c>
      <c r="K87" s="98"/>
      <c r="L87" s="98"/>
      <c r="M87" s="98">
        <v>24</v>
      </c>
      <c r="N87" s="98"/>
      <c r="O87" s="98">
        <v>34</v>
      </c>
      <c r="P87" s="98">
        <v>12</v>
      </c>
      <c r="Q87" s="98">
        <v>24</v>
      </c>
      <c r="R87" s="98"/>
    </row>
    <row r="88" spans="1:18">
      <c r="A88" s="98" t="s">
        <v>214</v>
      </c>
      <c r="B88" s="98" t="s">
        <v>254</v>
      </c>
      <c r="C88" s="98">
        <v>350</v>
      </c>
      <c r="D88" s="98" t="str">
        <f t="shared" si="1"/>
        <v>PN16-DN350</v>
      </c>
      <c r="E88" s="98">
        <v>520</v>
      </c>
      <c r="F88" s="98">
        <v>470</v>
      </c>
      <c r="G88" s="98">
        <v>390</v>
      </c>
      <c r="H88" s="98">
        <v>355.6</v>
      </c>
      <c r="I88" s="98">
        <v>26</v>
      </c>
      <c r="J88" s="98">
        <v>438</v>
      </c>
      <c r="K88" s="98"/>
      <c r="L88" s="98"/>
      <c r="M88" s="98">
        <v>26</v>
      </c>
      <c r="N88" s="98"/>
      <c r="O88" s="98">
        <v>36</v>
      </c>
      <c r="P88" s="98">
        <v>16</v>
      </c>
      <c r="Q88" s="98">
        <v>24</v>
      </c>
      <c r="R88" s="98"/>
    </row>
    <row r="89" spans="1:18">
      <c r="A89" s="98" t="s">
        <v>214</v>
      </c>
      <c r="B89" s="98" t="s">
        <v>254</v>
      </c>
      <c r="C89" s="98">
        <v>400</v>
      </c>
      <c r="D89" s="98" t="str">
        <f t="shared" si="1"/>
        <v>PN16-DN400</v>
      </c>
      <c r="E89" s="98">
        <v>580</v>
      </c>
      <c r="F89" s="98">
        <v>525</v>
      </c>
      <c r="G89" s="98">
        <v>445</v>
      </c>
      <c r="H89" s="98">
        <v>406.4</v>
      </c>
      <c r="I89" s="98">
        <v>30</v>
      </c>
      <c r="J89" s="98">
        <v>490</v>
      </c>
      <c r="K89" s="98"/>
      <c r="L89" s="98"/>
      <c r="M89" s="98">
        <v>28</v>
      </c>
      <c r="N89" s="98"/>
      <c r="O89" s="98">
        <v>37</v>
      </c>
      <c r="P89" s="98">
        <v>16</v>
      </c>
      <c r="Q89" s="98">
        <v>27</v>
      </c>
      <c r="R89" s="98"/>
    </row>
    <row r="90" spans="1:18">
      <c r="A90" s="98" t="s">
        <v>214</v>
      </c>
      <c r="B90" s="98" t="s">
        <v>254</v>
      </c>
      <c r="C90" s="98">
        <v>450</v>
      </c>
      <c r="D90" s="98" t="str">
        <f t="shared" si="1"/>
        <v>PN16-DN450</v>
      </c>
      <c r="E90" s="98">
        <v>640</v>
      </c>
      <c r="F90" s="98">
        <v>585</v>
      </c>
      <c r="G90" s="98">
        <v>490</v>
      </c>
      <c r="H90" s="98">
        <v>457.2</v>
      </c>
      <c r="I90" s="98">
        <v>30</v>
      </c>
      <c r="J90" s="98">
        <v>550</v>
      </c>
      <c r="K90" s="98"/>
      <c r="L90" s="98"/>
      <c r="M90" s="98">
        <v>30</v>
      </c>
      <c r="N90" s="98"/>
      <c r="O90" s="98">
        <v>33</v>
      </c>
      <c r="P90" s="98">
        <v>20</v>
      </c>
      <c r="Q90" s="98">
        <v>27</v>
      </c>
      <c r="R90" s="98"/>
    </row>
    <row r="91" spans="1:18">
      <c r="A91" s="98" t="s">
        <v>214</v>
      </c>
      <c r="B91" s="98" t="s">
        <v>254</v>
      </c>
      <c r="C91" s="98">
        <v>500</v>
      </c>
      <c r="D91" s="98" t="str">
        <f t="shared" si="1"/>
        <v>PN16-DN500</v>
      </c>
      <c r="E91" s="98">
        <v>715</v>
      </c>
      <c r="F91" s="98">
        <v>650</v>
      </c>
      <c r="G91" s="98">
        <v>548</v>
      </c>
      <c r="H91" s="98">
        <v>508</v>
      </c>
      <c r="I91" s="98">
        <v>33</v>
      </c>
      <c r="J91" s="98">
        <v>610</v>
      </c>
      <c r="K91" s="98"/>
      <c r="L91" s="98"/>
      <c r="M91" s="98">
        <v>32</v>
      </c>
      <c r="N91" s="98"/>
      <c r="O91" s="98">
        <v>32</v>
      </c>
      <c r="P91" s="98">
        <v>20</v>
      </c>
      <c r="Q91" s="98">
        <v>30</v>
      </c>
      <c r="R91" s="98"/>
    </row>
    <row r="92" spans="1:18">
      <c r="A92" s="98" t="s">
        <v>214</v>
      </c>
      <c r="B92" s="98" t="s">
        <v>254</v>
      </c>
      <c r="C92" s="98">
        <v>600</v>
      </c>
      <c r="D92" s="98" t="str">
        <f t="shared" si="1"/>
        <v>PN16-DN600</v>
      </c>
      <c r="E92" s="98">
        <v>840</v>
      </c>
      <c r="F92" s="98">
        <v>770</v>
      </c>
      <c r="G92" s="98">
        <v>670</v>
      </c>
      <c r="H92" s="98">
        <v>609.6</v>
      </c>
      <c r="I92" s="98">
        <v>36</v>
      </c>
      <c r="J92" s="98">
        <v>725</v>
      </c>
      <c r="K92" s="98"/>
      <c r="L92" s="98"/>
      <c r="M92" s="98">
        <v>35</v>
      </c>
      <c r="N92" s="98"/>
      <c r="O92" s="98">
        <v>30</v>
      </c>
      <c r="P92" s="98">
        <v>20</v>
      </c>
      <c r="Q92" s="98">
        <v>33</v>
      </c>
      <c r="R92" s="98"/>
    </row>
    <row r="93" spans="1:18">
      <c r="A93" s="98" t="s">
        <v>214</v>
      </c>
      <c r="B93" s="98" t="s">
        <v>254</v>
      </c>
      <c r="C93" s="98">
        <v>700</v>
      </c>
      <c r="D93" s="98" t="str">
        <f t="shared" si="1"/>
        <v>PN16-DN700</v>
      </c>
      <c r="E93" s="98">
        <v>910</v>
      </c>
      <c r="F93" s="98">
        <v>840</v>
      </c>
      <c r="G93" s="98">
        <v>755</v>
      </c>
      <c r="H93" s="98">
        <v>711</v>
      </c>
      <c r="I93" s="98">
        <v>36</v>
      </c>
      <c r="J93" s="98">
        <v>795</v>
      </c>
      <c r="K93" s="98"/>
      <c r="L93" s="98"/>
      <c r="M93" s="98">
        <v>35</v>
      </c>
      <c r="N93" s="98"/>
      <c r="O93" s="98">
        <v>46</v>
      </c>
      <c r="P93" s="98">
        <v>24</v>
      </c>
      <c r="Q93" s="98">
        <v>33</v>
      </c>
      <c r="R93" s="98"/>
    </row>
    <row r="94" spans="1:18">
      <c r="A94" s="98" t="s">
        <v>214</v>
      </c>
      <c r="B94" s="98" t="s">
        <v>254</v>
      </c>
      <c r="C94" s="98">
        <v>800</v>
      </c>
      <c r="D94" s="98" t="str">
        <f t="shared" si="1"/>
        <v>PN16-DN800</v>
      </c>
      <c r="E94" s="98">
        <v>1025</v>
      </c>
      <c r="F94" s="98">
        <v>950</v>
      </c>
      <c r="G94" s="98">
        <v>855</v>
      </c>
      <c r="H94" s="98">
        <v>813</v>
      </c>
      <c r="I94" s="98">
        <v>39</v>
      </c>
      <c r="J94" s="98">
        <v>900</v>
      </c>
      <c r="K94" s="98"/>
      <c r="L94" s="98"/>
      <c r="M94" s="98">
        <v>36</v>
      </c>
      <c r="N94" s="98"/>
      <c r="O94" s="98">
        <v>47</v>
      </c>
      <c r="P94" s="98">
        <v>24</v>
      </c>
      <c r="Q94" s="98">
        <v>36</v>
      </c>
      <c r="R94" s="98"/>
    </row>
    <row r="95" spans="1:18">
      <c r="A95" s="98" t="s">
        <v>214</v>
      </c>
      <c r="B95" s="98" t="s">
        <v>254</v>
      </c>
      <c r="C95" s="98">
        <v>900</v>
      </c>
      <c r="D95" s="98" t="str">
        <f t="shared" si="1"/>
        <v>PN16-DN900</v>
      </c>
      <c r="E95" s="98">
        <v>1125</v>
      </c>
      <c r="F95" s="98">
        <v>1050</v>
      </c>
      <c r="G95" s="98">
        <v>955</v>
      </c>
      <c r="H95" s="98">
        <v>914</v>
      </c>
      <c r="I95" s="98">
        <v>39</v>
      </c>
      <c r="J95" s="98">
        <v>1000</v>
      </c>
      <c r="K95" s="98"/>
      <c r="L95" s="98"/>
      <c r="M95" s="98">
        <v>43</v>
      </c>
      <c r="N95" s="98"/>
      <c r="O95" s="98">
        <v>50</v>
      </c>
      <c r="P95" s="98">
        <v>28</v>
      </c>
      <c r="Q95" s="98">
        <v>36</v>
      </c>
      <c r="R95" s="98"/>
    </row>
    <row r="96" spans="1:18">
      <c r="A96" s="98" t="s">
        <v>214</v>
      </c>
      <c r="B96" s="98" t="s">
        <v>254</v>
      </c>
      <c r="C96" s="98">
        <v>1000</v>
      </c>
      <c r="D96" s="98" t="str">
        <f t="shared" si="1"/>
        <v>PN16-DN1000</v>
      </c>
      <c r="E96" s="98">
        <v>1255</v>
      </c>
      <c r="F96" s="98">
        <v>1170</v>
      </c>
      <c r="G96" s="98">
        <v>1058</v>
      </c>
      <c r="H96" s="98"/>
      <c r="I96" s="98">
        <v>42</v>
      </c>
      <c r="J96" s="98">
        <v>1115</v>
      </c>
      <c r="K96" s="98"/>
      <c r="L96" s="98"/>
      <c r="M96" s="98">
        <v>54</v>
      </c>
      <c r="N96" s="98"/>
      <c r="O96" s="98">
        <v>56</v>
      </c>
      <c r="P96" s="98">
        <v>28</v>
      </c>
      <c r="Q96" s="98">
        <v>39</v>
      </c>
      <c r="R96" s="98"/>
    </row>
    <row r="97" spans="1:18">
      <c r="A97" s="98" t="s">
        <v>214</v>
      </c>
      <c r="B97" s="98" t="s">
        <v>254</v>
      </c>
      <c r="C97" s="98">
        <v>1200</v>
      </c>
      <c r="D97" s="98" t="str">
        <f t="shared" si="1"/>
        <v>PN16-DN1200</v>
      </c>
      <c r="E97" s="98">
        <v>1485</v>
      </c>
      <c r="F97" s="98">
        <v>1390</v>
      </c>
      <c r="G97" s="98">
        <v>1262</v>
      </c>
      <c r="H97" s="98"/>
      <c r="I97" s="98">
        <v>48</v>
      </c>
      <c r="J97" s="98">
        <v>1330</v>
      </c>
      <c r="K97" s="98"/>
      <c r="L97" s="98"/>
      <c r="M97" s="98">
        <v>73</v>
      </c>
      <c r="N97" s="98"/>
      <c r="O97" s="98">
        <v>52</v>
      </c>
      <c r="P97" s="98">
        <v>32</v>
      </c>
      <c r="Q97" s="98">
        <v>45</v>
      </c>
      <c r="R97" s="98"/>
    </row>
    <row r="98" spans="1:18">
      <c r="A98" s="98" t="s">
        <v>214</v>
      </c>
      <c r="B98" s="98" t="s">
        <v>254</v>
      </c>
      <c r="C98" s="98">
        <v>1400</v>
      </c>
      <c r="D98" s="98" t="str">
        <f t="shared" si="1"/>
        <v>PN16-DN1400</v>
      </c>
      <c r="E98" s="98">
        <v>1685</v>
      </c>
      <c r="F98" s="98">
        <v>1590</v>
      </c>
      <c r="G98" s="98">
        <v>1465</v>
      </c>
      <c r="H98" s="98"/>
      <c r="I98" s="98">
        <v>48</v>
      </c>
      <c r="J98" s="98">
        <v>1530</v>
      </c>
      <c r="K98" s="98"/>
      <c r="L98" s="98"/>
      <c r="M98" s="98">
        <v>79</v>
      </c>
      <c r="N98" s="98"/>
      <c r="O98" s="98">
        <v>63</v>
      </c>
      <c r="P98" s="98">
        <v>36</v>
      </c>
      <c r="Q98" s="98">
        <v>45</v>
      </c>
      <c r="R98" s="98"/>
    </row>
    <row r="99" spans="1:18">
      <c r="A99" s="98" t="s">
        <v>214</v>
      </c>
      <c r="B99" s="98" t="s">
        <v>254</v>
      </c>
      <c r="C99" s="98">
        <v>1600</v>
      </c>
      <c r="D99" s="98" t="str">
        <f t="shared" si="1"/>
        <v>PN16-DN1600</v>
      </c>
      <c r="E99" s="98">
        <v>1930</v>
      </c>
      <c r="F99" s="98">
        <v>1820</v>
      </c>
      <c r="G99" s="98">
        <v>1668</v>
      </c>
      <c r="H99" s="98"/>
      <c r="I99" s="98">
        <v>56</v>
      </c>
      <c r="J99" s="98">
        <v>1750</v>
      </c>
      <c r="K99" s="98"/>
      <c r="L99" s="98"/>
      <c r="M99" s="98">
        <v>97</v>
      </c>
      <c r="N99" s="98"/>
      <c r="O99" s="98">
        <v>67</v>
      </c>
      <c r="P99" s="98">
        <v>40</v>
      </c>
      <c r="Q99" s="98">
        <v>52</v>
      </c>
      <c r="R99" s="98"/>
    </row>
    <row r="100" spans="1:18">
      <c r="A100" s="98" t="s">
        <v>214</v>
      </c>
      <c r="B100" s="98" t="s">
        <v>254</v>
      </c>
      <c r="C100" s="98">
        <v>1800</v>
      </c>
      <c r="D100" s="98" t="str">
        <f t="shared" si="1"/>
        <v>PN16-DN1800</v>
      </c>
      <c r="E100" s="98">
        <v>2130</v>
      </c>
      <c r="F100" s="98">
        <v>2020</v>
      </c>
      <c r="G100" s="98">
        <v>1870</v>
      </c>
      <c r="H100" s="98"/>
      <c r="I100" s="98">
        <v>56</v>
      </c>
      <c r="J100" s="98">
        <v>1950</v>
      </c>
      <c r="K100" s="98"/>
      <c r="L100" s="98"/>
      <c r="M100" s="98">
        <v>105</v>
      </c>
      <c r="N100" s="98"/>
      <c r="O100" s="98">
        <v>73</v>
      </c>
      <c r="P100" s="98">
        <v>44</v>
      </c>
      <c r="Q100" s="98">
        <v>52</v>
      </c>
      <c r="R100" s="98"/>
    </row>
    <row r="101" spans="1:18">
      <c r="A101" s="98" t="s">
        <v>214</v>
      </c>
      <c r="B101" s="98" t="s">
        <v>254</v>
      </c>
      <c r="C101" s="98">
        <v>2000</v>
      </c>
      <c r="D101" s="98" t="str">
        <f t="shared" si="1"/>
        <v>PN16-DN2000</v>
      </c>
      <c r="E101" s="98">
        <v>2345</v>
      </c>
      <c r="F101" s="98">
        <v>2230</v>
      </c>
      <c r="G101" s="98">
        <v>2072</v>
      </c>
      <c r="H101" s="98"/>
      <c r="I101" s="98">
        <v>62</v>
      </c>
      <c r="J101" s="98">
        <v>2150</v>
      </c>
      <c r="K101" s="98"/>
      <c r="L101" s="98"/>
      <c r="M101" s="98">
        <v>119</v>
      </c>
      <c r="N101" s="98"/>
      <c r="O101" s="98">
        <v>74</v>
      </c>
      <c r="P101" s="98">
        <v>48</v>
      </c>
      <c r="Q101" s="98">
        <v>56</v>
      </c>
      <c r="R101" s="98"/>
    </row>
    <row r="102" spans="1:18">
      <c r="A102" s="98" t="s">
        <v>214</v>
      </c>
      <c r="B102" s="98" t="s">
        <v>255</v>
      </c>
      <c r="C102" s="98">
        <v>10</v>
      </c>
      <c r="D102" s="98" t="str">
        <f t="shared" si="1"/>
        <v>PN25-DN10</v>
      </c>
      <c r="E102" s="98">
        <v>90</v>
      </c>
      <c r="F102" s="98">
        <v>60</v>
      </c>
      <c r="G102" s="98">
        <v>28</v>
      </c>
      <c r="H102" s="98">
        <v>17.2</v>
      </c>
      <c r="I102" s="98">
        <v>14</v>
      </c>
      <c r="J102" s="98">
        <v>40</v>
      </c>
      <c r="K102" s="98">
        <v>24</v>
      </c>
      <c r="L102" s="98">
        <v>34</v>
      </c>
      <c r="M102" s="98">
        <v>14</v>
      </c>
      <c r="N102" s="98"/>
      <c r="O102" s="98">
        <v>13</v>
      </c>
      <c r="P102" s="98">
        <v>4</v>
      </c>
      <c r="Q102" s="98">
        <v>12</v>
      </c>
      <c r="R102" s="98"/>
    </row>
    <row r="103" spans="1:18">
      <c r="A103" s="98" t="s">
        <v>214</v>
      </c>
      <c r="B103" s="98" t="s">
        <v>255</v>
      </c>
      <c r="C103" s="98">
        <v>15</v>
      </c>
      <c r="D103" s="98" t="str">
        <f t="shared" si="1"/>
        <v>PN25-DN15</v>
      </c>
      <c r="E103" s="98">
        <v>95</v>
      </c>
      <c r="F103" s="98">
        <v>65</v>
      </c>
      <c r="G103" s="98">
        <v>32</v>
      </c>
      <c r="H103" s="98">
        <v>21.3</v>
      </c>
      <c r="I103" s="98">
        <v>14</v>
      </c>
      <c r="J103" s="98">
        <v>45</v>
      </c>
      <c r="K103" s="98">
        <v>29</v>
      </c>
      <c r="L103" s="98">
        <v>39</v>
      </c>
      <c r="M103" s="98">
        <v>14</v>
      </c>
      <c r="N103" s="98"/>
      <c r="O103" s="98">
        <v>16</v>
      </c>
      <c r="P103" s="98">
        <v>4</v>
      </c>
      <c r="Q103" s="98">
        <v>12</v>
      </c>
      <c r="R103" s="98"/>
    </row>
    <row r="104" spans="1:18">
      <c r="A104" s="98" t="s">
        <v>214</v>
      </c>
      <c r="B104" s="98" t="s">
        <v>255</v>
      </c>
      <c r="C104" s="98">
        <v>20</v>
      </c>
      <c r="D104" s="98" t="str">
        <f t="shared" si="1"/>
        <v>PN25-DN20</v>
      </c>
      <c r="E104" s="98">
        <v>105</v>
      </c>
      <c r="F104" s="98">
        <v>75</v>
      </c>
      <c r="G104" s="98">
        <v>40</v>
      </c>
      <c r="H104" s="98">
        <v>26.9</v>
      </c>
      <c r="I104" s="98">
        <v>14</v>
      </c>
      <c r="J104" s="98">
        <v>58</v>
      </c>
      <c r="K104" s="98">
        <v>34</v>
      </c>
      <c r="L104" s="98">
        <v>46</v>
      </c>
      <c r="M104" s="98">
        <v>16</v>
      </c>
      <c r="N104" s="98"/>
      <c r="O104" s="98">
        <v>16</v>
      </c>
      <c r="P104" s="98">
        <v>4</v>
      </c>
      <c r="Q104" s="98">
        <v>12</v>
      </c>
      <c r="R104" s="98"/>
    </row>
    <row r="105" spans="1:18">
      <c r="A105" s="98" t="s">
        <v>214</v>
      </c>
      <c r="B105" s="98" t="s">
        <v>255</v>
      </c>
      <c r="C105" s="98">
        <v>25</v>
      </c>
      <c r="D105" s="98" t="str">
        <f t="shared" si="1"/>
        <v>PN25-DN25</v>
      </c>
      <c r="E105" s="98">
        <v>115</v>
      </c>
      <c r="F105" s="98">
        <v>85</v>
      </c>
      <c r="G105" s="98">
        <v>46</v>
      </c>
      <c r="H105" s="98">
        <v>33.700000000000003</v>
      </c>
      <c r="I105" s="98">
        <v>14</v>
      </c>
      <c r="J105" s="98">
        <v>68</v>
      </c>
      <c r="K105" s="98">
        <v>41</v>
      </c>
      <c r="L105" s="98">
        <v>53</v>
      </c>
      <c r="M105" s="98">
        <v>16</v>
      </c>
      <c r="N105" s="98"/>
      <c r="O105" s="98">
        <v>16</v>
      </c>
      <c r="P105" s="98">
        <v>4</v>
      </c>
      <c r="Q105" s="98">
        <v>12</v>
      </c>
      <c r="R105" s="98"/>
    </row>
    <row r="106" spans="1:18">
      <c r="A106" s="98" t="s">
        <v>214</v>
      </c>
      <c r="B106" s="98" t="s">
        <v>255</v>
      </c>
      <c r="C106" s="98">
        <v>32</v>
      </c>
      <c r="D106" s="98" t="str">
        <f t="shared" si="1"/>
        <v>PN25-DN32</v>
      </c>
      <c r="E106" s="98">
        <v>140</v>
      </c>
      <c r="F106" s="98">
        <v>100</v>
      </c>
      <c r="G106" s="98">
        <v>56</v>
      </c>
      <c r="H106" s="98">
        <v>42.4</v>
      </c>
      <c r="I106" s="98">
        <v>18</v>
      </c>
      <c r="J106" s="98">
        <v>78</v>
      </c>
      <c r="K106" s="98">
        <v>49</v>
      </c>
      <c r="L106" s="98">
        <v>61</v>
      </c>
      <c r="M106" s="98">
        <v>16</v>
      </c>
      <c r="N106" s="98"/>
      <c r="O106" s="98">
        <v>18</v>
      </c>
      <c r="P106" s="98">
        <v>4</v>
      </c>
      <c r="Q106" s="98">
        <v>16</v>
      </c>
      <c r="R106" s="98"/>
    </row>
    <row r="107" spans="1:18">
      <c r="A107" s="98" t="s">
        <v>214</v>
      </c>
      <c r="B107" s="98" t="s">
        <v>255</v>
      </c>
      <c r="C107" s="98">
        <v>40</v>
      </c>
      <c r="D107" s="98" t="str">
        <f t="shared" si="1"/>
        <v>PN25-DN40</v>
      </c>
      <c r="E107" s="98">
        <v>150</v>
      </c>
      <c r="F107" s="98">
        <v>110</v>
      </c>
      <c r="G107" s="98">
        <v>64</v>
      </c>
      <c r="H107" s="98">
        <v>48.3</v>
      </c>
      <c r="I107" s="98">
        <v>18</v>
      </c>
      <c r="J107" s="98">
        <v>88</v>
      </c>
      <c r="K107" s="98">
        <v>56</v>
      </c>
      <c r="L107" s="98">
        <v>68</v>
      </c>
      <c r="M107" s="98">
        <v>15</v>
      </c>
      <c r="N107" s="98"/>
      <c r="O107" s="98">
        <v>20</v>
      </c>
      <c r="P107" s="98">
        <v>4</v>
      </c>
      <c r="Q107" s="98">
        <v>16</v>
      </c>
      <c r="R107" s="98"/>
    </row>
    <row r="108" spans="1:18">
      <c r="A108" s="98" t="s">
        <v>214</v>
      </c>
      <c r="B108" s="98" t="s">
        <v>255</v>
      </c>
      <c r="C108" s="98">
        <v>50</v>
      </c>
      <c r="D108" s="98" t="str">
        <f t="shared" si="1"/>
        <v>PN25-DN50</v>
      </c>
      <c r="E108" s="98">
        <v>165</v>
      </c>
      <c r="F108" s="98">
        <v>125</v>
      </c>
      <c r="G108" s="98">
        <v>75</v>
      </c>
      <c r="H108" s="98">
        <v>60.3</v>
      </c>
      <c r="I108" s="98">
        <v>18</v>
      </c>
      <c r="J108" s="98">
        <v>102</v>
      </c>
      <c r="K108" s="98">
        <v>70</v>
      </c>
      <c r="L108" s="98">
        <v>86</v>
      </c>
      <c r="M108" s="98">
        <v>17</v>
      </c>
      <c r="N108" s="98"/>
      <c r="O108" s="98">
        <v>20</v>
      </c>
      <c r="P108" s="98">
        <v>4</v>
      </c>
      <c r="Q108" s="98">
        <v>16</v>
      </c>
      <c r="R108" s="98"/>
    </row>
    <row r="109" spans="1:18">
      <c r="A109" s="98" t="s">
        <v>214</v>
      </c>
      <c r="B109" s="98" t="s">
        <v>255</v>
      </c>
      <c r="C109" s="98">
        <v>65</v>
      </c>
      <c r="D109" s="98" t="str">
        <f t="shared" si="1"/>
        <v>PN25-DN65</v>
      </c>
      <c r="E109" s="98">
        <v>185</v>
      </c>
      <c r="F109" s="98">
        <v>145</v>
      </c>
      <c r="G109" s="98">
        <v>90</v>
      </c>
      <c r="H109" s="98">
        <v>76.099999999999994</v>
      </c>
      <c r="I109" s="98">
        <v>18</v>
      </c>
      <c r="J109" s="98">
        <v>122</v>
      </c>
      <c r="K109" s="98">
        <v>86</v>
      </c>
      <c r="L109" s="98">
        <v>102</v>
      </c>
      <c r="M109" s="98">
        <v>19</v>
      </c>
      <c r="N109" s="98"/>
      <c r="O109" s="98">
        <v>20</v>
      </c>
      <c r="P109" s="98">
        <v>8</v>
      </c>
      <c r="Q109" s="98">
        <v>16</v>
      </c>
      <c r="R109" s="98"/>
    </row>
    <row r="110" spans="1:18">
      <c r="A110" s="98" t="s">
        <v>214</v>
      </c>
      <c r="B110" s="98" t="s">
        <v>255</v>
      </c>
      <c r="C110" s="98">
        <v>80</v>
      </c>
      <c r="D110" s="98" t="str">
        <f t="shared" si="1"/>
        <v>PN25-DN80</v>
      </c>
      <c r="E110" s="98">
        <v>200</v>
      </c>
      <c r="F110" s="98">
        <v>160</v>
      </c>
      <c r="G110" s="98">
        <v>105</v>
      </c>
      <c r="H110" s="98">
        <v>88.9</v>
      </c>
      <c r="I110" s="98">
        <v>18</v>
      </c>
      <c r="J110" s="98">
        <v>138</v>
      </c>
      <c r="K110" s="98">
        <v>99</v>
      </c>
      <c r="L110" s="98">
        <v>115</v>
      </c>
      <c r="M110" s="98">
        <v>21</v>
      </c>
      <c r="N110" s="98"/>
      <c r="O110" s="98">
        <v>22</v>
      </c>
      <c r="P110" s="98">
        <v>8</v>
      </c>
      <c r="Q110" s="98">
        <v>16</v>
      </c>
      <c r="R110" s="98"/>
    </row>
    <row r="111" spans="1:18">
      <c r="A111" s="98" t="s">
        <v>214</v>
      </c>
      <c r="B111" s="98" t="s">
        <v>255</v>
      </c>
      <c r="C111" s="98">
        <v>100</v>
      </c>
      <c r="D111" s="98" t="str">
        <f t="shared" si="1"/>
        <v>PN25-DN100</v>
      </c>
      <c r="E111" s="98">
        <v>235</v>
      </c>
      <c r="F111" s="98">
        <v>190</v>
      </c>
      <c r="G111" s="98">
        <v>134</v>
      </c>
      <c r="H111" s="98">
        <v>114.3</v>
      </c>
      <c r="I111" s="98">
        <v>22</v>
      </c>
      <c r="J111" s="98">
        <v>162</v>
      </c>
      <c r="K111" s="98">
        <v>127</v>
      </c>
      <c r="L111" s="98">
        <v>143</v>
      </c>
      <c r="M111" s="98">
        <v>21</v>
      </c>
      <c r="N111" s="98"/>
      <c r="O111" s="98">
        <v>29</v>
      </c>
      <c r="P111" s="98">
        <v>8</v>
      </c>
      <c r="Q111" s="98">
        <v>20</v>
      </c>
      <c r="R111" s="98"/>
    </row>
    <row r="112" spans="1:18">
      <c r="A112" s="98" t="s">
        <v>214</v>
      </c>
      <c r="B112" s="98" t="s">
        <v>255</v>
      </c>
      <c r="C112" s="98">
        <v>125</v>
      </c>
      <c r="D112" s="98" t="str">
        <f t="shared" si="1"/>
        <v>PN25-DN125</v>
      </c>
      <c r="E112" s="98">
        <v>270</v>
      </c>
      <c r="F112" s="98">
        <v>220</v>
      </c>
      <c r="G112" s="98">
        <v>162</v>
      </c>
      <c r="H112" s="98">
        <v>139.69999999999999</v>
      </c>
      <c r="I112" s="98">
        <v>26</v>
      </c>
      <c r="J112" s="98">
        <v>188</v>
      </c>
      <c r="K112" s="98">
        <v>152</v>
      </c>
      <c r="L112" s="98">
        <v>172</v>
      </c>
      <c r="M112" s="98">
        <v>23</v>
      </c>
      <c r="N112" s="98"/>
      <c r="O112" s="98">
        <v>30</v>
      </c>
      <c r="P112" s="98">
        <v>8</v>
      </c>
      <c r="Q112" s="98">
        <v>24</v>
      </c>
      <c r="R112" s="98"/>
    </row>
    <row r="113" spans="1:18">
      <c r="A113" s="98" t="s">
        <v>214</v>
      </c>
      <c r="B113" s="98" t="s">
        <v>255</v>
      </c>
      <c r="C113" s="98">
        <v>150</v>
      </c>
      <c r="D113" s="98" t="str">
        <f t="shared" si="1"/>
        <v>PN25-DN150</v>
      </c>
      <c r="E113" s="98">
        <v>300</v>
      </c>
      <c r="F113" s="98">
        <v>250</v>
      </c>
      <c r="G113" s="98">
        <v>192</v>
      </c>
      <c r="H113" s="98">
        <v>168.3</v>
      </c>
      <c r="I113" s="98">
        <v>26</v>
      </c>
      <c r="J113" s="98">
        <v>218</v>
      </c>
      <c r="K113" s="98">
        <v>179</v>
      </c>
      <c r="L113" s="98">
        <v>199</v>
      </c>
      <c r="M113" s="98">
        <v>25</v>
      </c>
      <c r="N113" s="98"/>
      <c r="O113" s="98">
        <v>35</v>
      </c>
      <c r="P113" s="98">
        <v>8</v>
      </c>
      <c r="Q113" s="98">
        <v>24</v>
      </c>
      <c r="R113" s="98"/>
    </row>
    <row r="114" spans="1:18">
      <c r="A114" s="98" t="s">
        <v>214</v>
      </c>
      <c r="B114" s="98" t="s">
        <v>255</v>
      </c>
      <c r="C114" s="98">
        <v>200</v>
      </c>
      <c r="D114" s="98" t="str">
        <f t="shared" si="1"/>
        <v>PN25-DN200</v>
      </c>
      <c r="E114" s="98">
        <v>360</v>
      </c>
      <c r="F114" s="98">
        <v>310</v>
      </c>
      <c r="G114" s="98">
        <v>244</v>
      </c>
      <c r="H114" s="98">
        <v>219.1</v>
      </c>
      <c r="I114" s="98">
        <v>26</v>
      </c>
      <c r="J114" s="98">
        <v>278</v>
      </c>
      <c r="K114" s="98">
        <v>228</v>
      </c>
      <c r="L114" s="98">
        <v>248</v>
      </c>
      <c r="M114" s="98">
        <v>27</v>
      </c>
      <c r="N114" s="98"/>
      <c r="O114" s="98">
        <v>34</v>
      </c>
      <c r="P114" s="98">
        <v>12</v>
      </c>
      <c r="Q114" s="98">
        <v>24</v>
      </c>
      <c r="R114" s="98"/>
    </row>
    <row r="115" spans="1:18">
      <c r="A115" s="98" t="s">
        <v>214</v>
      </c>
      <c r="B115" s="98" t="s">
        <v>255</v>
      </c>
      <c r="C115" s="98">
        <v>250</v>
      </c>
      <c r="D115" s="98" t="str">
        <f t="shared" si="1"/>
        <v>PN25-DN250</v>
      </c>
      <c r="E115" s="98">
        <v>425</v>
      </c>
      <c r="F115" s="98">
        <v>370</v>
      </c>
      <c r="G115" s="98">
        <v>298</v>
      </c>
      <c r="H115" s="98">
        <v>273</v>
      </c>
      <c r="I115" s="98">
        <v>30</v>
      </c>
      <c r="J115" s="98">
        <v>335</v>
      </c>
      <c r="K115" s="98">
        <v>279</v>
      </c>
      <c r="L115" s="98">
        <v>303</v>
      </c>
      <c r="M115" s="98">
        <v>29</v>
      </c>
      <c r="N115" s="98"/>
      <c r="O115" s="98">
        <v>38</v>
      </c>
      <c r="P115" s="98">
        <v>12</v>
      </c>
      <c r="Q115" s="98">
        <v>27</v>
      </c>
      <c r="R115" s="98"/>
    </row>
    <row r="116" spans="1:18">
      <c r="A116" s="98" t="s">
        <v>214</v>
      </c>
      <c r="B116" s="98" t="s">
        <v>255</v>
      </c>
      <c r="C116" s="98">
        <v>300</v>
      </c>
      <c r="D116" s="98" t="str">
        <f t="shared" si="1"/>
        <v>PN25-DN300</v>
      </c>
      <c r="E116" s="98">
        <v>485</v>
      </c>
      <c r="F116" s="98">
        <v>430</v>
      </c>
      <c r="G116" s="98">
        <v>352</v>
      </c>
      <c r="H116" s="98">
        <v>323.89999999999998</v>
      </c>
      <c r="I116" s="98">
        <v>30</v>
      </c>
      <c r="J116" s="98">
        <v>395</v>
      </c>
      <c r="K116" s="98">
        <v>330</v>
      </c>
      <c r="L116" s="98">
        <v>354</v>
      </c>
      <c r="M116" s="98">
        <v>30</v>
      </c>
      <c r="N116" s="98"/>
      <c r="O116" s="98">
        <v>40</v>
      </c>
      <c r="P116" s="98">
        <v>16</v>
      </c>
      <c r="Q116" s="98">
        <v>27</v>
      </c>
      <c r="R116" s="98"/>
    </row>
    <row r="117" spans="1:18">
      <c r="A117" s="98" t="s">
        <v>214</v>
      </c>
      <c r="B117" s="98" t="s">
        <v>255</v>
      </c>
      <c r="C117" s="98">
        <v>350</v>
      </c>
      <c r="D117" s="98" t="str">
        <f t="shared" si="1"/>
        <v>PN25-DN350</v>
      </c>
      <c r="E117" s="98">
        <v>555</v>
      </c>
      <c r="F117" s="98">
        <v>490</v>
      </c>
      <c r="G117" s="98">
        <v>398</v>
      </c>
      <c r="H117" s="98">
        <v>355.6</v>
      </c>
      <c r="I117" s="98">
        <v>33</v>
      </c>
      <c r="J117" s="98">
        <v>450</v>
      </c>
      <c r="K117" s="98">
        <v>376</v>
      </c>
      <c r="L117" s="98">
        <v>400</v>
      </c>
      <c r="M117" s="98">
        <v>34</v>
      </c>
      <c r="N117" s="98"/>
      <c r="O117" s="98">
        <v>42</v>
      </c>
      <c r="P117" s="98">
        <v>16</v>
      </c>
      <c r="Q117" s="98">
        <v>30</v>
      </c>
      <c r="R117" s="98"/>
    </row>
    <row r="118" spans="1:18">
      <c r="A118" s="98" t="s">
        <v>214</v>
      </c>
      <c r="B118" s="98" t="s">
        <v>255</v>
      </c>
      <c r="C118" s="98">
        <v>400</v>
      </c>
      <c r="D118" s="98" t="str">
        <f t="shared" si="1"/>
        <v>PN25-DN400</v>
      </c>
      <c r="E118" s="98">
        <v>620</v>
      </c>
      <c r="F118" s="98">
        <v>550</v>
      </c>
      <c r="G118" s="98">
        <v>452</v>
      </c>
      <c r="H118" s="98">
        <v>406.4</v>
      </c>
      <c r="I118" s="98">
        <v>36</v>
      </c>
      <c r="J118" s="98">
        <v>505</v>
      </c>
      <c r="K118" s="98">
        <v>422</v>
      </c>
      <c r="L118" s="98">
        <v>450</v>
      </c>
      <c r="M118" s="98">
        <v>36</v>
      </c>
      <c r="N118" s="98"/>
      <c r="O118" s="98">
        <v>50</v>
      </c>
      <c r="P118" s="98">
        <v>16</v>
      </c>
      <c r="Q118" s="98">
        <v>33</v>
      </c>
      <c r="R118" s="98"/>
    </row>
    <row r="119" spans="1:18">
      <c r="A119" s="98" t="s">
        <v>214</v>
      </c>
      <c r="B119" s="98" t="s">
        <v>255</v>
      </c>
      <c r="C119" s="98">
        <v>450</v>
      </c>
      <c r="D119" s="98" t="str">
        <f t="shared" si="1"/>
        <v>PN25-DN450</v>
      </c>
      <c r="E119" s="98">
        <v>670</v>
      </c>
      <c r="F119" s="98">
        <v>600</v>
      </c>
      <c r="G119" s="98">
        <v>500</v>
      </c>
      <c r="H119" s="98">
        <v>457.2</v>
      </c>
      <c r="I119" s="98">
        <v>36</v>
      </c>
      <c r="J119" s="98">
        <v>555</v>
      </c>
      <c r="K119" s="98"/>
      <c r="L119" s="98"/>
      <c r="M119" s="98">
        <v>42</v>
      </c>
      <c r="N119" s="98"/>
      <c r="O119" s="98">
        <v>44</v>
      </c>
      <c r="P119" s="98">
        <v>20</v>
      </c>
      <c r="Q119" s="98">
        <v>33</v>
      </c>
      <c r="R119" s="98"/>
    </row>
    <row r="120" spans="1:18">
      <c r="A120" s="98" t="s">
        <v>214</v>
      </c>
      <c r="B120" s="98" t="s">
        <v>255</v>
      </c>
      <c r="C120" s="98">
        <v>500</v>
      </c>
      <c r="D120" s="98" t="str">
        <f t="shared" si="1"/>
        <v>PN25-DN500</v>
      </c>
      <c r="E120" s="98">
        <v>730</v>
      </c>
      <c r="F120" s="98">
        <v>660</v>
      </c>
      <c r="G120" s="98">
        <v>558</v>
      </c>
      <c r="H120" s="98">
        <v>508</v>
      </c>
      <c r="I120" s="98">
        <v>36</v>
      </c>
      <c r="J120" s="98">
        <v>615</v>
      </c>
      <c r="K120" s="98">
        <v>522</v>
      </c>
      <c r="L120" s="98">
        <v>550</v>
      </c>
      <c r="M120" s="98">
        <v>44</v>
      </c>
      <c r="N120" s="98"/>
      <c r="O120" s="98">
        <v>57</v>
      </c>
      <c r="P120" s="98">
        <v>20</v>
      </c>
      <c r="Q120" s="98">
        <v>33</v>
      </c>
      <c r="R120" s="98"/>
    </row>
    <row r="121" spans="1:18">
      <c r="A121" s="98" t="s">
        <v>214</v>
      </c>
      <c r="B121" s="98" t="s">
        <v>255</v>
      </c>
      <c r="C121" s="98">
        <v>600</v>
      </c>
      <c r="D121" s="98" t="str">
        <f t="shared" si="1"/>
        <v>PN25-DN600</v>
      </c>
      <c r="E121" s="98">
        <v>845</v>
      </c>
      <c r="F121" s="98">
        <v>770</v>
      </c>
      <c r="G121" s="98">
        <v>660</v>
      </c>
      <c r="H121" s="98">
        <v>609.6</v>
      </c>
      <c r="I121" s="98">
        <v>39</v>
      </c>
      <c r="J121" s="98">
        <v>720</v>
      </c>
      <c r="K121" s="98">
        <v>622</v>
      </c>
      <c r="L121" s="98">
        <v>650</v>
      </c>
      <c r="M121" s="98">
        <v>43</v>
      </c>
      <c r="N121" s="98"/>
      <c r="O121" s="98">
        <v>57</v>
      </c>
      <c r="P121" s="98">
        <v>20</v>
      </c>
      <c r="Q121" s="98">
        <v>36</v>
      </c>
      <c r="R121" s="98"/>
    </row>
    <row r="122" spans="1:18">
      <c r="A122" s="98" t="s">
        <v>214</v>
      </c>
      <c r="B122" s="98" t="s">
        <v>255</v>
      </c>
      <c r="C122" s="98">
        <v>700</v>
      </c>
      <c r="D122" s="98" t="str">
        <f t="shared" si="1"/>
        <v>PN25-DN700</v>
      </c>
      <c r="E122" s="98">
        <v>960</v>
      </c>
      <c r="F122" s="98">
        <v>875</v>
      </c>
      <c r="G122" s="98">
        <v>760</v>
      </c>
      <c r="H122" s="98">
        <v>711</v>
      </c>
      <c r="I122" s="98">
        <v>42</v>
      </c>
      <c r="J122" s="98">
        <v>820</v>
      </c>
      <c r="K122" s="98">
        <v>722</v>
      </c>
      <c r="L122" s="98">
        <v>756</v>
      </c>
      <c r="M122" s="98">
        <v>45</v>
      </c>
      <c r="N122" s="98"/>
      <c r="O122" s="98">
        <v>59</v>
      </c>
      <c r="P122" s="98">
        <v>24</v>
      </c>
      <c r="Q122" s="98">
        <v>39</v>
      </c>
      <c r="R122" s="98"/>
    </row>
    <row r="123" spans="1:18">
      <c r="A123" s="98" t="s">
        <v>214</v>
      </c>
      <c r="B123" s="98" t="s">
        <v>255</v>
      </c>
      <c r="C123" s="98">
        <v>800</v>
      </c>
      <c r="D123" s="98" t="str">
        <f t="shared" si="1"/>
        <v>PN25-DN800</v>
      </c>
      <c r="E123" s="98">
        <v>1085</v>
      </c>
      <c r="F123" s="98">
        <v>990</v>
      </c>
      <c r="G123" s="98">
        <v>864</v>
      </c>
      <c r="H123" s="98">
        <v>813</v>
      </c>
      <c r="I123" s="98">
        <v>48</v>
      </c>
      <c r="J123" s="98">
        <v>930</v>
      </c>
      <c r="K123" s="98">
        <v>830</v>
      </c>
      <c r="L123" s="98">
        <v>864</v>
      </c>
      <c r="M123" s="98">
        <v>48</v>
      </c>
      <c r="N123" s="98"/>
      <c r="O123" s="98">
        <v>63</v>
      </c>
      <c r="P123" s="98">
        <v>24</v>
      </c>
      <c r="Q123" s="98">
        <v>45</v>
      </c>
      <c r="R123" s="98"/>
    </row>
    <row r="124" spans="1:18">
      <c r="A124" s="98" t="s">
        <v>214</v>
      </c>
      <c r="B124" s="98" t="s">
        <v>255</v>
      </c>
      <c r="C124" s="98">
        <v>900</v>
      </c>
      <c r="D124" s="98" t="str">
        <f t="shared" si="1"/>
        <v>PN25-DN900</v>
      </c>
      <c r="E124" s="98">
        <v>1185</v>
      </c>
      <c r="F124" s="98">
        <v>1090</v>
      </c>
      <c r="G124" s="98">
        <v>968</v>
      </c>
      <c r="H124" s="98">
        <v>914</v>
      </c>
      <c r="I124" s="98">
        <v>48</v>
      </c>
      <c r="J124" s="98">
        <v>1030</v>
      </c>
      <c r="K124" s="98">
        <v>930</v>
      </c>
      <c r="L124" s="98">
        <v>964</v>
      </c>
      <c r="M124" s="98">
        <v>52</v>
      </c>
      <c r="N124" s="98"/>
      <c r="O124" s="98">
        <v>67</v>
      </c>
      <c r="P124" s="98">
        <v>28</v>
      </c>
      <c r="Q124" s="98">
        <v>45</v>
      </c>
      <c r="R124" s="98"/>
    </row>
    <row r="125" spans="1:18">
      <c r="A125" s="98" t="s">
        <v>214</v>
      </c>
      <c r="B125" s="98" t="s">
        <v>255</v>
      </c>
      <c r="C125" s="98">
        <v>1000</v>
      </c>
      <c r="D125" s="98" t="str">
        <f t="shared" si="1"/>
        <v>PN25-DN1000</v>
      </c>
      <c r="E125" s="98">
        <v>1320</v>
      </c>
      <c r="F125" s="98">
        <v>1210</v>
      </c>
      <c r="G125" s="98">
        <v>1070</v>
      </c>
      <c r="H125" s="98"/>
      <c r="I125" s="98">
        <v>56</v>
      </c>
      <c r="J125" s="98">
        <v>1140</v>
      </c>
      <c r="K125" s="98">
        <v>1030</v>
      </c>
      <c r="L125" s="98">
        <v>1074</v>
      </c>
      <c r="M125" s="98">
        <v>58</v>
      </c>
      <c r="N125" s="98"/>
      <c r="O125" s="98">
        <v>73</v>
      </c>
      <c r="P125" s="98">
        <v>28</v>
      </c>
      <c r="Q125" s="98">
        <v>52</v>
      </c>
      <c r="R125" s="98"/>
    </row>
    <row r="126" spans="1:18">
      <c r="A126" s="98" t="s">
        <v>214</v>
      </c>
      <c r="B126" s="98" t="s">
        <v>256</v>
      </c>
      <c r="C126" s="98">
        <v>10</v>
      </c>
      <c r="D126" s="98" t="str">
        <f t="shared" si="1"/>
        <v>PN40-DN10</v>
      </c>
      <c r="E126" s="98">
        <v>90</v>
      </c>
      <c r="F126" s="98">
        <v>60</v>
      </c>
      <c r="G126" s="98">
        <v>28</v>
      </c>
      <c r="H126" s="98">
        <v>17.2</v>
      </c>
      <c r="I126" s="98">
        <v>14</v>
      </c>
      <c r="J126" s="98">
        <v>40</v>
      </c>
      <c r="K126" s="98">
        <v>24</v>
      </c>
      <c r="L126" s="98">
        <v>34</v>
      </c>
      <c r="M126" s="98">
        <v>14</v>
      </c>
      <c r="N126" s="98"/>
      <c r="O126" s="98">
        <v>15</v>
      </c>
      <c r="P126" s="98">
        <v>4</v>
      </c>
      <c r="Q126" s="98">
        <v>12</v>
      </c>
      <c r="R126" s="98"/>
    </row>
    <row r="127" spans="1:18">
      <c r="A127" s="98" t="s">
        <v>214</v>
      </c>
      <c r="B127" s="98" t="s">
        <v>256</v>
      </c>
      <c r="C127" s="98">
        <v>15</v>
      </c>
      <c r="D127" s="98" t="str">
        <f t="shared" si="1"/>
        <v>PN40-DN15</v>
      </c>
      <c r="E127" s="98">
        <v>95</v>
      </c>
      <c r="F127" s="98">
        <v>65</v>
      </c>
      <c r="G127" s="98">
        <v>32</v>
      </c>
      <c r="H127" s="98">
        <v>21.3</v>
      </c>
      <c r="I127" s="98">
        <v>14</v>
      </c>
      <c r="J127" s="98">
        <v>45</v>
      </c>
      <c r="K127" s="98">
        <v>29</v>
      </c>
      <c r="L127" s="98">
        <v>39</v>
      </c>
      <c r="M127" s="98">
        <v>14</v>
      </c>
      <c r="N127" s="98"/>
      <c r="O127" s="98">
        <v>18</v>
      </c>
      <c r="P127" s="98">
        <v>4</v>
      </c>
      <c r="Q127" s="98">
        <v>12</v>
      </c>
      <c r="R127" s="98"/>
    </row>
    <row r="128" spans="1:18">
      <c r="A128" s="98" t="s">
        <v>214</v>
      </c>
      <c r="B128" s="98" t="s">
        <v>256</v>
      </c>
      <c r="C128" s="98">
        <v>20</v>
      </c>
      <c r="D128" s="98" t="str">
        <f t="shared" si="1"/>
        <v>PN40-DN20</v>
      </c>
      <c r="E128" s="98">
        <v>105</v>
      </c>
      <c r="F128" s="98">
        <v>75</v>
      </c>
      <c r="G128" s="98">
        <v>40</v>
      </c>
      <c r="H128" s="98">
        <v>26.9</v>
      </c>
      <c r="I128" s="98">
        <v>14</v>
      </c>
      <c r="J128" s="98">
        <v>58</v>
      </c>
      <c r="K128" s="98">
        <v>34</v>
      </c>
      <c r="L128" s="98">
        <v>46</v>
      </c>
      <c r="M128" s="98">
        <v>16</v>
      </c>
      <c r="N128" s="98"/>
      <c r="O128" s="98">
        <v>18</v>
      </c>
      <c r="P128" s="98">
        <v>4</v>
      </c>
      <c r="Q128" s="98">
        <v>12</v>
      </c>
      <c r="R128" s="98"/>
    </row>
    <row r="129" spans="1:18">
      <c r="A129" s="98" t="s">
        <v>214</v>
      </c>
      <c r="B129" s="98" t="s">
        <v>256</v>
      </c>
      <c r="C129" s="98">
        <v>25</v>
      </c>
      <c r="D129" s="98" t="str">
        <f t="shared" si="1"/>
        <v>PN40-DN25</v>
      </c>
      <c r="E129" s="98">
        <v>115</v>
      </c>
      <c r="F129" s="98">
        <v>85</v>
      </c>
      <c r="G129" s="98">
        <v>46</v>
      </c>
      <c r="H129" s="98">
        <v>33.700000000000003</v>
      </c>
      <c r="I129" s="98">
        <v>14</v>
      </c>
      <c r="J129" s="98">
        <v>68</v>
      </c>
      <c r="K129" s="98">
        <v>41</v>
      </c>
      <c r="L129" s="98">
        <v>53</v>
      </c>
      <c r="M129" s="98">
        <v>16</v>
      </c>
      <c r="N129" s="98"/>
      <c r="O129" s="98">
        <v>18</v>
      </c>
      <c r="P129" s="98">
        <v>4</v>
      </c>
      <c r="Q129" s="98">
        <v>12</v>
      </c>
      <c r="R129" s="98"/>
    </row>
    <row r="130" spans="1:18">
      <c r="A130" s="98" t="s">
        <v>214</v>
      </c>
      <c r="B130" s="98" t="s">
        <v>256</v>
      </c>
      <c r="C130" s="98">
        <v>32</v>
      </c>
      <c r="D130" s="98" t="str">
        <f t="shared" ref="D130:D193" si="2">B130&amp;"-DN"&amp;C130</f>
        <v>PN40-DN32</v>
      </c>
      <c r="E130" s="98">
        <v>140</v>
      </c>
      <c r="F130" s="98">
        <v>100</v>
      </c>
      <c r="G130" s="98">
        <v>56</v>
      </c>
      <c r="H130" s="98">
        <v>42.4</v>
      </c>
      <c r="I130" s="98">
        <v>18</v>
      </c>
      <c r="J130" s="98">
        <v>78</v>
      </c>
      <c r="K130" s="98">
        <v>49</v>
      </c>
      <c r="L130" s="98">
        <v>61</v>
      </c>
      <c r="M130" s="98">
        <v>16</v>
      </c>
      <c r="N130" s="98"/>
      <c r="O130" s="98">
        <v>20</v>
      </c>
      <c r="P130" s="98">
        <v>4</v>
      </c>
      <c r="Q130" s="98">
        <v>16</v>
      </c>
      <c r="R130" s="98"/>
    </row>
    <row r="131" spans="1:18">
      <c r="A131" s="98" t="s">
        <v>214</v>
      </c>
      <c r="B131" s="98" t="s">
        <v>256</v>
      </c>
      <c r="C131" s="98">
        <v>40</v>
      </c>
      <c r="D131" s="98" t="str">
        <f t="shared" si="2"/>
        <v>PN40-DN40</v>
      </c>
      <c r="E131" s="98">
        <v>150</v>
      </c>
      <c r="F131" s="98">
        <v>110</v>
      </c>
      <c r="G131" s="98">
        <v>64</v>
      </c>
      <c r="H131" s="98">
        <v>48.3</v>
      </c>
      <c r="I131" s="98">
        <v>18</v>
      </c>
      <c r="J131" s="98">
        <v>88</v>
      </c>
      <c r="K131" s="98">
        <v>56</v>
      </c>
      <c r="L131" s="98">
        <v>68</v>
      </c>
      <c r="M131" s="98">
        <v>15</v>
      </c>
      <c r="N131" s="98"/>
      <c r="O131" s="98">
        <v>23</v>
      </c>
      <c r="P131" s="98">
        <v>4</v>
      </c>
      <c r="Q131" s="98">
        <v>16</v>
      </c>
      <c r="R131" s="98"/>
    </row>
    <row r="132" spans="1:18">
      <c r="A132" s="98" t="s">
        <v>214</v>
      </c>
      <c r="B132" s="98" t="s">
        <v>256</v>
      </c>
      <c r="C132" s="98">
        <v>50</v>
      </c>
      <c r="D132" s="98" t="str">
        <f t="shared" si="2"/>
        <v>PN40-DN50</v>
      </c>
      <c r="E132" s="98">
        <v>165</v>
      </c>
      <c r="F132" s="98">
        <v>125</v>
      </c>
      <c r="G132" s="98">
        <v>75</v>
      </c>
      <c r="H132" s="98">
        <v>60.3</v>
      </c>
      <c r="I132" s="98">
        <v>18</v>
      </c>
      <c r="J132" s="98">
        <v>102</v>
      </c>
      <c r="K132" s="98">
        <v>70</v>
      </c>
      <c r="L132" s="98">
        <v>86</v>
      </c>
      <c r="M132" s="98">
        <v>17</v>
      </c>
      <c r="N132" s="98"/>
      <c r="O132" s="98">
        <v>23</v>
      </c>
      <c r="P132" s="98">
        <v>4</v>
      </c>
      <c r="Q132" s="98">
        <v>16</v>
      </c>
      <c r="R132" s="98"/>
    </row>
    <row r="133" spans="1:18">
      <c r="A133" s="98" t="s">
        <v>214</v>
      </c>
      <c r="B133" s="98" t="s">
        <v>256</v>
      </c>
      <c r="C133" s="98">
        <v>65</v>
      </c>
      <c r="D133" s="98" t="str">
        <f t="shared" si="2"/>
        <v>PN40-DN65</v>
      </c>
      <c r="E133" s="98">
        <v>185</v>
      </c>
      <c r="F133" s="98">
        <v>145</v>
      </c>
      <c r="G133" s="98">
        <v>90</v>
      </c>
      <c r="H133" s="98">
        <v>76.099999999999994</v>
      </c>
      <c r="I133" s="98">
        <v>18</v>
      </c>
      <c r="J133" s="98">
        <v>122</v>
      </c>
      <c r="K133" s="98">
        <v>86</v>
      </c>
      <c r="L133" s="98">
        <v>102</v>
      </c>
      <c r="M133" s="98">
        <v>19</v>
      </c>
      <c r="N133" s="98"/>
      <c r="O133" s="98">
        <v>23</v>
      </c>
      <c r="P133" s="98">
        <v>8</v>
      </c>
      <c r="Q133" s="98">
        <v>16</v>
      </c>
      <c r="R133" s="98"/>
    </row>
    <row r="134" spans="1:18">
      <c r="A134" s="98" t="s">
        <v>214</v>
      </c>
      <c r="B134" s="98" t="s">
        <v>256</v>
      </c>
      <c r="C134" s="98">
        <v>80</v>
      </c>
      <c r="D134" s="98" t="str">
        <f t="shared" si="2"/>
        <v>PN40-DN80</v>
      </c>
      <c r="E134" s="98">
        <v>200</v>
      </c>
      <c r="F134" s="98">
        <v>160</v>
      </c>
      <c r="G134" s="98">
        <v>105</v>
      </c>
      <c r="H134" s="98">
        <v>88.9</v>
      </c>
      <c r="I134" s="98">
        <v>18</v>
      </c>
      <c r="J134" s="98">
        <v>138</v>
      </c>
      <c r="K134" s="98">
        <v>99</v>
      </c>
      <c r="L134" s="98">
        <v>115</v>
      </c>
      <c r="M134" s="98">
        <v>21</v>
      </c>
      <c r="N134" s="98"/>
      <c r="O134" s="98">
        <v>25</v>
      </c>
      <c r="P134" s="98">
        <v>8</v>
      </c>
      <c r="Q134" s="98">
        <v>16</v>
      </c>
      <c r="R134" s="98"/>
    </row>
    <row r="135" spans="1:18">
      <c r="A135" s="98" t="s">
        <v>214</v>
      </c>
      <c r="B135" s="98" t="s">
        <v>256</v>
      </c>
      <c r="C135" s="98">
        <v>100</v>
      </c>
      <c r="D135" s="98" t="str">
        <f t="shared" si="2"/>
        <v>PN40-DN100</v>
      </c>
      <c r="E135" s="98">
        <v>235</v>
      </c>
      <c r="F135" s="98">
        <v>190</v>
      </c>
      <c r="G135" s="98">
        <v>134</v>
      </c>
      <c r="H135" s="98">
        <v>114.3</v>
      </c>
      <c r="I135" s="98">
        <v>22</v>
      </c>
      <c r="J135" s="98">
        <v>162</v>
      </c>
      <c r="K135" s="98">
        <v>127</v>
      </c>
      <c r="L135" s="98">
        <v>143</v>
      </c>
      <c r="M135" s="98">
        <v>21</v>
      </c>
      <c r="N135" s="98"/>
      <c r="O135" s="98">
        <v>32</v>
      </c>
      <c r="P135" s="98">
        <v>8</v>
      </c>
      <c r="Q135" s="98">
        <v>20</v>
      </c>
      <c r="R135" s="98"/>
    </row>
    <row r="136" spans="1:18">
      <c r="A136" s="98" t="s">
        <v>214</v>
      </c>
      <c r="B136" s="98" t="s">
        <v>256</v>
      </c>
      <c r="C136" s="98">
        <v>125</v>
      </c>
      <c r="D136" s="98" t="str">
        <f t="shared" si="2"/>
        <v>PN40-DN125</v>
      </c>
      <c r="E136" s="98">
        <v>270</v>
      </c>
      <c r="F136" s="98">
        <v>220</v>
      </c>
      <c r="G136" s="98">
        <v>162</v>
      </c>
      <c r="H136" s="98">
        <v>139.69999999999999</v>
      </c>
      <c r="I136" s="98">
        <v>26</v>
      </c>
      <c r="J136" s="98">
        <v>188</v>
      </c>
      <c r="K136" s="98">
        <v>152</v>
      </c>
      <c r="L136" s="98">
        <v>172</v>
      </c>
      <c r="M136" s="98">
        <v>23</v>
      </c>
      <c r="N136" s="98"/>
      <c r="O136" s="98">
        <v>33</v>
      </c>
      <c r="P136" s="98">
        <v>8</v>
      </c>
      <c r="Q136" s="98">
        <v>24</v>
      </c>
      <c r="R136" s="98"/>
    </row>
    <row r="137" spans="1:18">
      <c r="A137" s="98" t="s">
        <v>214</v>
      </c>
      <c r="B137" s="98" t="s">
        <v>256</v>
      </c>
      <c r="C137" s="98">
        <v>150</v>
      </c>
      <c r="D137" s="98" t="str">
        <f t="shared" si="2"/>
        <v>PN40-DN150</v>
      </c>
      <c r="E137" s="98">
        <v>300</v>
      </c>
      <c r="F137" s="98">
        <v>250</v>
      </c>
      <c r="G137" s="98">
        <v>192</v>
      </c>
      <c r="H137" s="98">
        <v>168.3</v>
      </c>
      <c r="I137" s="98">
        <v>26</v>
      </c>
      <c r="J137" s="98">
        <v>218</v>
      </c>
      <c r="K137" s="98">
        <v>179</v>
      </c>
      <c r="L137" s="98">
        <v>199</v>
      </c>
      <c r="M137" s="98">
        <v>25</v>
      </c>
      <c r="N137" s="98"/>
      <c r="O137" s="98">
        <v>38</v>
      </c>
      <c r="P137" s="98">
        <v>8</v>
      </c>
      <c r="Q137" s="98">
        <v>24</v>
      </c>
      <c r="R137" s="98"/>
    </row>
    <row r="138" spans="1:18">
      <c r="A138" s="98" t="s">
        <v>214</v>
      </c>
      <c r="B138" s="98" t="s">
        <v>256</v>
      </c>
      <c r="C138" s="98">
        <v>200</v>
      </c>
      <c r="D138" s="98" t="str">
        <f t="shared" si="2"/>
        <v>PN40-DN200</v>
      </c>
      <c r="E138" s="98">
        <v>375</v>
      </c>
      <c r="F138" s="98">
        <v>320</v>
      </c>
      <c r="G138" s="98">
        <v>244</v>
      </c>
      <c r="H138" s="98">
        <v>219.1</v>
      </c>
      <c r="I138" s="98">
        <v>30</v>
      </c>
      <c r="J138" s="98">
        <v>285</v>
      </c>
      <c r="K138" s="98">
        <v>228</v>
      </c>
      <c r="L138" s="98">
        <v>248</v>
      </c>
      <c r="M138" s="98">
        <v>31</v>
      </c>
      <c r="N138" s="98"/>
      <c r="O138" s="98">
        <v>41</v>
      </c>
      <c r="P138" s="98">
        <v>12</v>
      </c>
      <c r="Q138" s="98">
        <v>27</v>
      </c>
      <c r="R138" s="98"/>
    </row>
    <row r="139" spans="1:18">
      <c r="A139" s="98" t="s">
        <v>214</v>
      </c>
      <c r="B139" s="98" t="s">
        <v>256</v>
      </c>
      <c r="C139" s="98">
        <v>250</v>
      </c>
      <c r="D139" s="98" t="str">
        <f t="shared" si="2"/>
        <v>PN40-DN250</v>
      </c>
      <c r="E139" s="98">
        <v>450</v>
      </c>
      <c r="F139" s="98">
        <v>385</v>
      </c>
      <c r="G139" s="98">
        <v>306</v>
      </c>
      <c r="H139" s="98">
        <v>273</v>
      </c>
      <c r="I139" s="98">
        <v>33</v>
      </c>
      <c r="J139" s="98">
        <v>345</v>
      </c>
      <c r="K139" s="98">
        <v>279</v>
      </c>
      <c r="L139" s="98">
        <v>303</v>
      </c>
      <c r="M139" s="98">
        <v>35</v>
      </c>
      <c r="N139" s="98"/>
      <c r="O139" s="98">
        <v>52</v>
      </c>
      <c r="P139" s="98">
        <v>12</v>
      </c>
      <c r="Q139" s="98">
        <v>30</v>
      </c>
      <c r="R139" s="98"/>
    </row>
    <row r="140" spans="1:18">
      <c r="A140" s="98" t="s">
        <v>214</v>
      </c>
      <c r="B140" s="98" t="s">
        <v>256</v>
      </c>
      <c r="C140" s="98">
        <v>300</v>
      </c>
      <c r="D140" s="98" t="str">
        <f t="shared" si="2"/>
        <v>PN40-DN300</v>
      </c>
      <c r="E140" s="98">
        <v>515</v>
      </c>
      <c r="F140" s="98">
        <v>450</v>
      </c>
      <c r="G140" s="98">
        <v>362</v>
      </c>
      <c r="H140" s="98">
        <v>323.89999999999998</v>
      </c>
      <c r="I140" s="98">
        <v>33</v>
      </c>
      <c r="J140" s="98">
        <v>410</v>
      </c>
      <c r="K140" s="98">
        <v>330</v>
      </c>
      <c r="L140" s="98">
        <v>354</v>
      </c>
      <c r="M140" s="98">
        <v>38</v>
      </c>
      <c r="N140" s="98"/>
      <c r="O140" s="98">
        <v>59</v>
      </c>
      <c r="P140" s="98">
        <v>16</v>
      </c>
      <c r="Q140" s="98">
        <v>30</v>
      </c>
      <c r="R140" s="98"/>
    </row>
    <row r="141" spans="1:18">
      <c r="A141" s="98" t="s">
        <v>214</v>
      </c>
      <c r="B141" s="98" t="s">
        <v>256</v>
      </c>
      <c r="C141" s="98">
        <v>350</v>
      </c>
      <c r="D141" s="98" t="str">
        <f t="shared" si="2"/>
        <v>PN40-DN350</v>
      </c>
      <c r="E141" s="98">
        <v>580</v>
      </c>
      <c r="F141" s="98">
        <v>510</v>
      </c>
      <c r="G141" s="98">
        <v>408</v>
      </c>
      <c r="H141" s="98">
        <v>355.6</v>
      </c>
      <c r="I141" s="98">
        <v>36</v>
      </c>
      <c r="J141" s="98">
        <v>465</v>
      </c>
      <c r="K141" s="98">
        <v>376</v>
      </c>
      <c r="L141" s="98">
        <v>400</v>
      </c>
      <c r="M141" s="98">
        <v>42</v>
      </c>
      <c r="N141" s="98"/>
      <c r="O141" s="98">
        <v>63</v>
      </c>
      <c r="P141" s="98">
        <v>16</v>
      </c>
      <c r="Q141" s="98">
        <v>33</v>
      </c>
      <c r="R141" s="98"/>
    </row>
    <row r="142" spans="1:18">
      <c r="A142" s="98" t="s">
        <v>214</v>
      </c>
      <c r="B142" s="98" t="s">
        <v>256</v>
      </c>
      <c r="C142" s="98">
        <v>400</v>
      </c>
      <c r="D142" s="98" t="str">
        <f t="shared" si="2"/>
        <v>PN40-DN400</v>
      </c>
      <c r="E142" s="98">
        <v>660</v>
      </c>
      <c r="F142" s="98">
        <v>585</v>
      </c>
      <c r="G142" s="98">
        <v>462</v>
      </c>
      <c r="H142" s="98">
        <v>406.4</v>
      </c>
      <c r="I142" s="98">
        <v>39</v>
      </c>
      <c r="J142" s="98">
        <v>535</v>
      </c>
      <c r="K142" s="98">
        <v>422</v>
      </c>
      <c r="L142" s="98">
        <v>450</v>
      </c>
      <c r="M142" s="98">
        <v>46</v>
      </c>
      <c r="N142" s="98"/>
      <c r="O142" s="98">
        <v>69</v>
      </c>
      <c r="P142" s="98">
        <v>16</v>
      </c>
      <c r="Q142" s="98">
        <v>36</v>
      </c>
      <c r="R142" s="98"/>
    </row>
    <row r="143" spans="1:18">
      <c r="A143" s="98" t="s">
        <v>214</v>
      </c>
      <c r="B143" s="98" t="s">
        <v>256</v>
      </c>
      <c r="C143" s="98">
        <v>450</v>
      </c>
      <c r="D143" s="98" t="str">
        <f t="shared" si="2"/>
        <v>PN40-DN450</v>
      </c>
      <c r="E143" s="98">
        <v>685</v>
      </c>
      <c r="F143" s="98">
        <v>610</v>
      </c>
      <c r="G143" s="98">
        <v>500</v>
      </c>
      <c r="H143" s="98">
        <v>457.2</v>
      </c>
      <c r="I143" s="98">
        <v>39</v>
      </c>
      <c r="J143" s="98">
        <v>560</v>
      </c>
      <c r="K143" s="98"/>
      <c r="L143" s="98"/>
      <c r="M143" s="98">
        <v>53</v>
      </c>
      <c r="N143" s="98"/>
      <c r="O143" s="98">
        <v>62</v>
      </c>
      <c r="P143" s="98">
        <v>20</v>
      </c>
      <c r="Q143" s="98">
        <v>36</v>
      </c>
      <c r="R143" s="98"/>
    </row>
    <row r="144" spans="1:18">
      <c r="A144" s="98" t="s">
        <v>214</v>
      </c>
      <c r="B144" s="98" t="s">
        <v>256</v>
      </c>
      <c r="C144" s="98">
        <v>500</v>
      </c>
      <c r="D144" s="98" t="str">
        <f t="shared" si="2"/>
        <v>PN40-DN500</v>
      </c>
      <c r="E144" s="98">
        <v>755</v>
      </c>
      <c r="F144" s="98">
        <v>670</v>
      </c>
      <c r="G144" s="98">
        <v>562</v>
      </c>
      <c r="H144" s="98">
        <v>508</v>
      </c>
      <c r="I144" s="98">
        <v>42</v>
      </c>
      <c r="J144" s="98">
        <v>615</v>
      </c>
      <c r="K144" s="98">
        <v>522</v>
      </c>
      <c r="L144" s="98">
        <v>550</v>
      </c>
      <c r="M144" s="98">
        <v>53</v>
      </c>
      <c r="N144" s="98"/>
      <c r="O144" s="98">
        <v>67</v>
      </c>
      <c r="P144" s="98">
        <v>20</v>
      </c>
      <c r="Q144" s="98">
        <v>39</v>
      </c>
      <c r="R144" s="98"/>
    </row>
    <row r="145" spans="1:18">
      <c r="A145" s="98" t="s">
        <v>214</v>
      </c>
      <c r="B145" s="98" t="s">
        <v>256</v>
      </c>
      <c r="C145" s="98">
        <v>600</v>
      </c>
      <c r="D145" s="98" t="str">
        <f t="shared" si="2"/>
        <v>PN40-DN600</v>
      </c>
      <c r="E145" s="98">
        <v>890</v>
      </c>
      <c r="F145" s="98">
        <v>795</v>
      </c>
      <c r="G145" s="98">
        <v>666</v>
      </c>
      <c r="H145" s="98">
        <v>609.6</v>
      </c>
      <c r="I145" s="98">
        <v>48</v>
      </c>
      <c r="J145" s="98">
        <v>735</v>
      </c>
      <c r="K145" s="98">
        <v>622</v>
      </c>
      <c r="L145" s="98">
        <v>650</v>
      </c>
      <c r="M145" s="98">
        <v>67</v>
      </c>
      <c r="N145" s="98"/>
      <c r="O145" s="98">
        <v>63</v>
      </c>
      <c r="P145" s="98">
        <v>20</v>
      </c>
      <c r="Q145" s="98">
        <v>45</v>
      </c>
      <c r="R145" s="98"/>
    </row>
    <row r="146" spans="1:18">
      <c r="A146" s="98" t="s">
        <v>214</v>
      </c>
      <c r="B146" s="98" t="s">
        <v>257</v>
      </c>
      <c r="C146" s="98">
        <v>10</v>
      </c>
      <c r="D146" s="98" t="str">
        <f t="shared" si="2"/>
        <v>PN63-DN10</v>
      </c>
      <c r="E146" s="98">
        <v>100</v>
      </c>
      <c r="F146" s="98">
        <v>70</v>
      </c>
      <c r="G146" s="98">
        <v>32</v>
      </c>
      <c r="H146" s="98">
        <v>17.2</v>
      </c>
      <c r="I146" s="98">
        <v>14</v>
      </c>
      <c r="J146" s="98">
        <v>40</v>
      </c>
      <c r="K146" s="98">
        <v>24</v>
      </c>
      <c r="L146" s="98">
        <v>34</v>
      </c>
      <c r="M146" s="98">
        <v>18</v>
      </c>
      <c r="N146" s="98"/>
      <c r="O146" s="98">
        <v>19</v>
      </c>
      <c r="P146" s="98">
        <v>4</v>
      </c>
      <c r="Q146" s="98">
        <v>12</v>
      </c>
      <c r="R146" s="98"/>
    </row>
    <row r="147" spans="1:18">
      <c r="A147" s="98" t="s">
        <v>214</v>
      </c>
      <c r="B147" s="98" t="s">
        <v>257</v>
      </c>
      <c r="C147" s="98">
        <v>15</v>
      </c>
      <c r="D147" s="98" t="str">
        <f t="shared" si="2"/>
        <v>PN63-DN15</v>
      </c>
      <c r="E147" s="98">
        <v>105</v>
      </c>
      <c r="F147" s="98">
        <v>75</v>
      </c>
      <c r="G147" s="98">
        <v>34</v>
      </c>
      <c r="H147" s="98">
        <v>21.3</v>
      </c>
      <c r="I147" s="98">
        <v>14</v>
      </c>
      <c r="J147" s="98">
        <v>45</v>
      </c>
      <c r="K147" s="98">
        <v>29</v>
      </c>
      <c r="L147" s="98">
        <v>39</v>
      </c>
      <c r="M147" s="98">
        <v>18</v>
      </c>
      <c r="N147" s="98"/>
      <c r="O147" s="98">
        <v>19</v>
      </c>
      <c r="P147" s="98">
        <v>4</v>
      </c>
      <c r="Q147" s="98">
        <v>12</v>
      </c>
      <c r="R147" s="98"/>
    </row>
    <row r="148" spans="1:18">
      <c r="A148" s="98" t="s">
        <v>214</v>
      </c>
      <c r="B148" s="98" t="s">
        <v>257</v>
      </c>
      <c r="C148" s="98">
        <v>20</v>
      </c>
      <c r="D148" s="98" t="str">
        <f t="shared" si="2"/>
        <v>PN63-DN20</v>
      </c>
      <c r="E148" s="98">
        <v>130</v>
      </c>
      <c r="F148" s="98">
        <v>90</v>
      </c>
      <c r="G148" s="98">
        <v>42</v>
      </c>
      <c r="H148" s="98">
        <v>26.9</v>
      </c>
      <c r="I148" s="98">
        <v>18</v>
      </c>
      <c r="J148" s="98">
        <v>58</v>
      </c>
      <c r="K148" s="98">
        <v>34</v>
      </c>
      <c r="L148" s="98"/>
      <c r="M148" s="98">
        <v>20</v>
      </c>
      <c r="N148" s="98"/>
      <c r="O148" s="98">
        <v>18</v>
      </c>
      <c r="P148" s="98">
        <v>4</v>
      </c>
      <c r="Q148" s="98">
        <v>16</v>
      </c>
      <c r="R148" s="98"/>
    </row>
    <row r="149" spans="1:18">
      <c r="A149" s="98" t="s">
        <v>214</v>
      </c>
      <c r="B149" s="98" t="s">
        <v>257</v>
      </c>
      <c r="C149" s="98">
        <v>25</v>
      </c>
      <c r="D149" s="98" t="str">
        <f t="shared" si="2"/>
        <v>PN63-DN25</v>
      </c>
      <c r="E149" s="98">
        <v>140</v>
      </c>
      <c r="F149" s="98">
        <v>100</v>
      </c>
      <c r="G149" s="98">
        <v>52</v>
      </c>
      <c r="H149" s="98">
        <v>33.700000000000003</v>
      </c>
      <c r="I149" s="98">
        <v>18</v>
      </c>
      <c r="J149" s="98">
        <v>68</v>
      </c>
      <c r="K149" s="98">
        <v>41</v>
      </c>
      <c r="L149" s="98">
        <v>53</v>
      </c>
      <c r="M149" s="98">
        <v>22</v>
      </c>
      <c r="N149" s="98"/>
      <c r="O149" s="98">
        <v>26</v>
      </c>
      <c r="P149" s="98">
        <v>4</v>
      </c>
      <c r="Q149" s="98">
        <v>16</v>
      </c>
      <c r="R149" s="98"/>
    </row>
    <row r="150" spans="1:18">
      <c r="A150" s="98" t="s">
        <v>214</v>
      </c>
      <c r="B150" s="98" t="s">
        <v>257</v>
      </c>
      <c r="C150" s="98">
        <v>32</v>
      </c>
      <c r="D150" s="98" t="str">
        <f t="shared" si="2"/>
        <v>PN63-DN32</v>
      </c>
      <c r="E150" s="98">
        <v>155</v>
      </c>
      <c r="F150" s="98">
        <v>110</v>
      </c>
      <c r="G150" s="98">
        <v>62</v>
      </c>
      <c r="H150" s="98">
        <v>42.4</v>
      </c>
      <c r="I150" s="98">
        <v>22</v>
      </c>
      <c r="J150" s="98">
        <v>78</v>
      </c>
      <c r="K150" s="98">
        <v>49</v>
      </c>
      <c r="L150" s="98"/>
      <c r="M150" s="98">
        <v>22</v>
      </c>
      <c r="N150" s="98"/>
      <c r="O150" s="98">
        <v>28</v>
      </c>
      <c r="P150" s="98">
        <v>4</v>
      </c>
      <c r="Q150" s="98">
        <v>20</v>
      </c>
      <c r="R150" s="98"/>
    </row>
    <row r="151" spans="1:18">
      <c r="A151" s="98" t="s">
        <v>214</v>
      </c>
      <c r="B151" s="98" t="s">
        <v>257</v>
      </c>
      <c r="C151" s="98">
        <v>40</v>
      </c>
      <c r="D151" s="98" t="str">
        <f t="shared" si="2"/>
        <v>PN63-DN40</v>
      </c>
      <c r="E151" s="98">
        <v>170</v>
      </c>
      <c r="F151" s="98">
        <v>125</v>
      </c>
      <c r="G151" s="98">
        <v>70</v>
      </c>
      <c r="H151" s="98">
        <v>48.3</v>
      </c>
      <c r="I151" s="98">
        <v>22</v>
      </c>
      <c r="J151" s="98">
        <v>88</v>
      </c>
      <c r="K151" s="98">
        <v>56</v>
      </c>
      <c r="L151" s="98">
        <v>68</v>
      </c>
      <c r="M151" s="98">
        <v>23</v>
      </c>
      <c r="N151" s="98"/>
      <c r="O151" s="98">
        <v>26</v>
      </c>
      <c r="P151" s="98">
        <v>4</v>
      </c>
      <c r="Q151" s="98">
        <v>20</v>
      </c>
      <c r="R151" s="98"/>
    </row>
    <row r="152" spans="1:18">
      <c r="A152" s="98" t="s">
        <v>214</v>
      </c>
      <c r="B152" s="98" t="s">
        <v>257</v>
      </c>
      <c r="C152" s="98">
        <v>50</v>
      </c>
      <c r="D152" s="98" t="str">
        <f t="shared" si="2"/>
        <v>PN63-DN50</v>
      </c>
      <c r="E152" s="98">
        <v>180</v>
      </c>
      <c r="F152" s="98">
        <v>135</v>
      </c>
      <c r="G152" s="98">
        <v>82</v>
      </c>
      <c r="H152" s="98">
        <v>60.3</v>
      </c>
      <c r="I152" s="98">
        <v>22</v>
      </c>
      <c r="J152" s="98">
        <v>102</v>
      </c>
      <c r="K152" s="98">
        <v>70</v>
      </c>
      <c r="L152" s="98">
        <v>86</v>
      </c>
      <c r="M152" s="98">
        <v>23</v>
      </c>
      <c r="N152" s="98"/>
      <c r="O152" s="98">
        <v>26</v>
      </c>
      <c r="P152" s="98">
        <v>4</v>
      </c>
      <c r="Q152" s="98">
        <v>20</v>
      </c>
      <c r="R152" s="98"/>
    </row>
    <row r="153" spans="1:18">
      <c r="A153" s="98" t="s">
        <v>214</v>
      </c>
      <c r="B153" s="98" t="s">
        <v>257</v>
      </c>
      <c r="C153" s="98">
        <v>65</v>
      </c>
      <c r="D153" s="98" t="str">
        <f t="shared" si="2"/>
        <v>PN63-DN65</v>
      </c>
      <c r="E153" s="98">
        <v>205</v>
      </c>
      <c r="F153" s="98">
        <v>160</v>
      </c>
      <c r="G153" s="98">
        <v>98</v>
      </c>
      <c r="H153" s="98">
        <v>76.099999999999994</v>
      </c>
      <c r="I153" s="98">
        <v>22</v>
      </c>
      <c r="J153" s="98">
        <v>122</v>
      </c>
      <c r="K153" s="98">
        <v>86</v>
      </c>
      <c r="L153" s="98">
        <v>106</v>
      </c>
      <c r="M153" s="98">
        <v>23</v>
      </c>
      <c r="N153" s="98"/>
      <c r="O153" s="98">
        <v>30</v>
      </c>
      <c r="P153" s="98">
        <v>8</v>
      </c>
      <c r="Q153" s="98">
        <v>20</v>
      </c>
      <c r="R153" s="98"/>
    </row>
    <row r="154" spans="1:18">
      <c r="A154" s="98" t="s">
        <v>214</v>
      </c>
      <c r="B154" s="98" t="s">
        <v>257</v>
      </c>
      <c r="C154" s="98">
        <v>80</v>
      </c>
      <c r="D154" s="98" t="str">
        <f t="shared" si="2"/>
        <v>PN63-DN80</v>
      </c>
      <c r="E154" s="98">
        <v>215</v>
      </c>
      <c r="F154" s="98">
        <v>170</v>
      </c>
      <c r="G154" s="98">
        <v>112</v>
      </c>
      <c r="H154" s="98">
        <v>88.9</v>
      </c>
      <c r="I154" s="98">
        <v>22</v>
      </c>
      <c r="J154" s="98">
        <v>138</v>
      </c>
      <c r="K154" s="98">
        <v>99</v>
      </c>
      <c r="L154" s="98">
        <v>119</v>
      </c>
      <c r="M154" s="98">
        <v>25</v>
      </c>
      <c r="N154" s="98"/>
      <c r="O154" s="98">
        <v>32</v>
      </c>
      <c r="P154" s="98">
        <v>8</v>
      </c>
      <c r="Q154" s="98">
        <v>20</v>
      </c>
      <c r="R154" s="98"/>
    </row>
    <row r="155" spans="1:18">
      <c r="A155" s="98" t="s">
        <v>214</v>
      </c>
      <c r="B155" s="98" t="s">
        <v>257</v>
      </c>
      <c r="C155" s="98">
        <v>100</v>
      </c>
      <c r="D155" s="98" t="str">
        <f t="shared" si="2"/>
        <v>PN63-DN100</v>
      </c>
      <c r="E155" s="98">
        <v>250</v>
      </c>
      <c r="F155" s="98">
        <v>200</v>
      </c>
      <c r="G155" s="98">
        <v>138</v>
      </c>
      <c r="H155" s="98">
        <v>114.3</v>
      </c>
      <c r="I155" s="98">
        <v>26</v>
      </c>
      <c r="J155" s="98">
        <v>162</v>
      </c>
      <c r="K155" s="98">
        <v>127</v>
      </c>
      <c r="L155" s="98">
        <v>147</v>
      </c>
      <c r="M155" s="98">
        <v>27</v>
      </c>
      <c r="N155" s="98"/>
      <c r="O155" s="98">
        <v>36</v>
      </c>
      <c r="P155" s="98">
        <v>8</v>
      </c>
      <c r="Q155" s="98">
        <v>24</v>
      </c>
      <c r="R155" s="98"/>
    </row>
    <row r="156" spans="1:18">
      <c r="A156" s="98" t="s">
        <v>214</v>
      </c>
      <c r="B156" s="98" t="s">
        <v>257</v>
      </c>
      <c r="C156" s="98">
        <v>125</v>
      </c>
      <c r="D156" s="98" t="str">
        <f t="shared" si="2"/>
        <v>PN63-DN125</v>
      </c>
      <c r="E156" s="98">
        <v>295</v>
      </c>
      <c r="F156" s="98">
        <v>240</v>
      </c>
      <c r="G156" s="98">
        <v>168</v>
      </c>
      <c r="H156" s="98">
        <v>139.69999999999999</v>
      </c>
      <c r="I156" s="98">
        <v>30</v>
      </c>
      <c r="J156" s="98">
        <v>188</v>
      </c>
      <c r="K156" s="98">
        <v>152</v>
      </c>
      <c r="L156" s="98">
        <v>176</v>
      </c>
      <c r="M156" s="98">
        <v>31</v>
      </c>
      <c r="N156" s="98"/>
      <c r="O156" s="98">
        <v>42</v>
      </c>
      <c r="P156" s="98">
        <v>8</v>
      </c>
      <c r="Q156" s="98">
        <v>27</v>
      </c>
      <c r="R156" s="98"/>
    </row>
    <row r="157" spans="1:18">
      <c r="A157" s="98" t="s">
        <v>214</v>
      </c>
      <c r="B157" s="98" t="s">
        <v>257</v>
      </c>
      <c r="C157" s="98">
        <v>150</v>
      </c>
      <c r="D157" s="98" t="str">
        <f t="shared" si="2"/>
        <v>PN63-DN150</v>
      </c>
      <c r="E157" s="98">
        <v>345</v>
      </c>
      <c r="F157" s="98">
        <v>280</v>
      </c>
      <c r="G157" s="98">
        <v>202</v>
      </c>
      <c r="H157" s="98">
        <v>168.3</v>
      </c>
      <c r="I157" s="98">
        <v>33</v>
      </c>
      <c r="J157" s="98">
        <v>218</v>
      </c>
      <c r="K157" s="98">
        <v>179</v>
      </c>
      <c r="L157" s="98">
        <v>203</v>
      </c>
      <c r="M157" s="98">
        <v>33</v>
      </c>
      <c r="N157" s="98"/>
      <c r="O157" s="98">
        <v>47</v>
      </c>
      <c r="P157" s="98">
        <v>8</v>
      </c>
      <c r="Q157" s="98">
        <v>30</v>
      </c>
      <c r="R157" s="98"/>
    </row>
    <row r="158" spans="1:18">
      <c r="A158" s="98" t="s">
        <v>214</v>
      </c>
      <c r="B158" s="98" t="s">
        <v>257</v>
      </c>
      <c r="C158" s="98">
        <v>200</v>
      </c>
      <c r="D158" s="98" t="str">
        <f t="shared" si="2"/>
        <v>PN63-DN200</v>
      </c>
      <c r="E158" s="98">
        <v>415</v>
      </c>
      <c r="F158" s="98">
        <v>345</v>
      </c>
      <c r="G158" s="98">
        <v>256</v>
      </c>
      <c r="H158" s="98">
        <v>219.1</v>
      </c>
      <c r="I158" s="98">
        <v>36</v>
      </c>
      <c r="J158" s="98">
        <v>285</v>
      </c>
      <c r="K158" s="98">
        <v>228</v>
      </c>
      <c r="L158" s="98">
        <v>252</v>
      </c>
      <c r="M158" s="98">
        <v>39</v>
      </c>
      <c r="N158" s="98"/>
      <c r="O158" s="98">
        <v>52</v>
      </c>
      <c r="P158" s="98">
        <v>12</v>
      </c>
      <c r="Q158" s="98">
        <v>33</v>
      </c>
      <c r="R158" s="98"/>
    </row>
    <row r="159" spans="1:18">
      <c r="A159" s="98" t="s">
        <v>214</v>
      </c>
      <c r="B159" s="98" t="s">
        <v>257</v>
      </c>
      <c r="C159" s="98">
        <v>250</v>
      </c>
      <c r="D159" s="98" t="str">
        <f t="shared" si="2"/>
        <v>PN63-DN250</v>
      </c>
      <c r="E159" s="98">
        <v>270</v>
      </c>
      <c r="F159" s="98">
        <v>400</v>
      </c>
      <c r="G159" s="98">
        <v>316</v>
      </c>
      <c r="H159" s="98">
        <v>273</v>
      </c>
      <c r="I159" s="98">
        <v>36</v>
      </c>
      <c r="J159" s="98">
        <v>345</v>
      </c>
      <c r="K159" s="98">
        <v>279</v>
      </c>
      <c r="L159" s="98">
        <v>307</v>
      </c>
      <c r="M159" s="98">
        <v>43</v>
      </c>
      <c r="N159" s="98"/>
      <c r="O159" s="98">
        <v>61</v>
      </c>
      <c r="P159" s="98">
        <v>12</v>
      </c>
      <c r="Q159" s="98">
        <v>33</v>
      </c>
      <c r="R159" s="98"/>
    </row>
    <row r="160" spans="1:18">
      <c r="A160" s="98" t="s">
        <v>214</v>
      </c>
      <c r="B160" s="98" t="s">
        <v>257</v>
      </c>
      <c r="C160" s="98">
        <v>300</v>
      </c>
      <c r="D160" s="98" t="str">
        <f t="shared" si="2"/>
        <v>PN63-DN300</v>
      </c>
      <c r="E160" s="98">
        <v>530</v>
      </c>
      <c r="F160" s="98">
        <v>460</v>
      </c>
      <c r="G160" s="98">
        <v>372</v>
      </c>
      <c r="H160" s="98">
        <v>323.89999999999998</v>
      </c>
      <c r="I160" s="98">
        <v>36</v>
      </c>
      <c r="J160" s="98">
        <v>410</v>
      </c>
      <c r="K160" s="98">
        <v>330</v>
      </c>
      <c r="L160" s="98">
        <v>358</v>
      </c>
      <c r="M160" s="98">
        <v>48</v>
      </c>
      <c r="N160" s="98"/>
      <c r="O160" s="98">
        <v>70</v>
      </c>
      <c r="P160" s="98">
        <v>16</v>
      </c>
      <c r="Q160" s="98">
        <v>33</v>
      </c>
      <c r="R160" s="98"/>
    </row>
    <row r="161" spans="1:18">
      <c r="A161" s="98" t="s">
        <v>214</v>
      </c>
      <c r="B161" s="98" t="s">
        <v>257</v>
      </c>
      <c r="C161" s="98">
        <v>350</v>
      </c>
      <c r="D161" s="98" t="str">
        <f t="shared" si="2"/>
        <v>PN63-DN350</v>
      </c>
      <c r="E161" s="98">
        <v>600</v>
      </c>
      <c r="F161" s="98">
        <v>525</v>
      </c>
      <c r="G161" s="98">
        <v>420</v>
      </c>
      <c r="H161" s="98">
        <v>355.6</v>
      </c>
      <c r="I161" s="98">
        <v>39</v>
      </c>
      <c r="J161" s="98">
        <v>465</v>
      </c>
      <c r="K161" s="98">
        <v>376</v>
      </c>
      <c r="L161" s="98">
        <v>404</v>
      </c>
      <c r="M161" s="98">
        <v>52</v>
      </c>
      <c r="N161" s="98"/>
      <c r="O161" s="98">
        <v>74</v>
      </c>
      <c r="P161" s="98">
        <v>16</v>
      </c>
      <c r="Q161" s="98">
        <v>36</v>
      </c>
      <c r="R161" s="98"/>
    </row>
    <row r="162" spans="1:18">
      <c r="A162" s="98" t="s">
        <v>214</v>
      </c>
      <c r="B162" s="98" t="s">
        <v>257</v>
      </c>
      <c r="C162" s="98">
        <v>400</v>
      </c>
      <c r="D162" s="98" t="str">
        <f t="shared" si="2"/>
        <v>PN63-DN400</v>
      </c>
      <c r="E162" s="98">
        <v>670</v>
      </c>
      <c r="F162" s="98">
        <v>585</v>
      </c>
      <c r="G162" s="98">
        <v>475</v>
      </c>
      <c r="H162" s="98">
        <v>406.4</v>
      </c>
      <c r="I162" s="98">
        <v>42</v>
      </c>
      <c r="J162" s="98">
        <v>535</v>
      </c>
      <c r="K162" s="98">
        <v>422</v>
      </c>
      <c r="L162" s="98">
        <v>456</v>
      </c>
      <c r="M162" s="98">
        <v>56</v>
      </c>
      <c r="N162" s="98"/>
      <c r="O162" s="98">
        <v>80</v>
      </c>
      <c r="P162" s="98">
        <v>16</v>
      </c>
      <c r="Q162" s="98">
        <v>39</v>
      </c>
      <c r="R162" s="98"/>
    </row>
    <row r="163" spans="1:18">
      <c r="A163" s="98" t="s">
        <v>214</v>
      </c>
      <c r="B163" s="98" t="s">
        <v>258</v>
      </c>
      <c r="C163" s="98">
        <v>10</v>
      </c>
      <c r="D163" s="98" t="str">
        <f t="shared" si="2"/>
        <v>PN100-DN10</v>
      </c>
      <c r="E163" s="98">
        <v>100</v>
      </c>
      <c r="F163" s="98">
        <v>70</v>
      </c>
      <c r="G163" s="98">
        <v>32</v>
      </c>
      <c r="H163" s="98">
        <v>17.2</v>
      </c>
      <c r="I163" s="98">
        <v>14</v>
      </c>
      <c r="J163" s="98">
        <v>40</v>
      </c>
      <c r="K163" s="98">
        <v>24</v>
      </c>
      <c r="L163" s="98">
        <v>34</v>
      </c>
      <c r="M163" s="98">
        <v>18</v>
      </c>
      <c r="N163" s="98"/>
      <c r="O163" s="98">
        <v>19</v>
      </c>
      <c r="P163" s="98">
        <v>4</v>
      </c>
      <c r="Q163" s="98">
        <v>12</v>
      </c>
      <c r="R163" s="98"/>
    </row>
    <row r="164" spans="1:18">
      <c r="A164" s="98" t="s">
        <v>214</v>
      </c>
      <c r="B164" s="98" t="s">
        <v>258</v>
      </c>
      <c r="C164" s="98">
        <v>15</v>
      </c>
      <c r="D164" s="98" t="str">
        <f t="shared" si="2"/>
        <v>PN100-DN15</v>
      </c>
      <c r="E164" s="98">
        <v>105</v>
      </c>
      <c r="F164" s="98">
        <v>75</v>
      </c>
      <c r="G164" s="98">
        <v>34</v>
      </c>
      <c r="H164" s="98">
        <v>21.3</v>
      </c>
      <c r="I164" s="98">
        <v>14</v>
      </c>
      <c r="J164" s="98">
        <v>45</v>
      </c>
      <c r="K164" s="98">
        <v>29</v>
      </c>
      <c r="L164" s="98">
        <v>39</v>
      </c>
      <c r="M164" s="98">
        <v>18</v>
      </c>
      <c r="N164" s="98"/>
      <c r="O164" s="98">
        <v>19</v>
      </c>
      <c r="P164" s="98">
        <v>4</v>
      </c>
      <c r="Q164" s="98">
        <v>12</v>
      </c>
      <c r="R164" s="98"/>
    </row>
    <row r="165" spans="1:18">
      <c r="A165" s="98" t="s">
        <v>214</v>
      </c>
      <c r="B165" s="98" t="s">
        <v>258</v>
      </c>
      <c r="C165" s="98">
        <v>20</v>
      </c>
      <c r="D165" s="98" t="str">
        <f t="shared" si="2"/>
        <v>PN100-DN20</v>
      </c>
      <c r="E165" s="98">
        <v>130</v>
      </c>
      <c r="F165" s="98">
        <v>90</v>
      </c>
      <c r="G165" s="98">
        <v>42</v>
      </c>
      <c r="H165" s="98">
        <v>26.9</v>
      </c>
      <c r="I165" s="98">
        <v>18</v>
      </c>
      <c r="J165" s="98">
        <v>58</v>
      </c>
      <c r="K165" s="98">
        <v>34</v>
      </c>
      <c r="L165" s="98"/>
      <c r="M165" s="98">
        <v>20</v>
      </c>
      <c r="N165" s="98"/>
      <c r="O165" s="98">
        <v>18</v>
      </c>
      <c r="P165" s="98">
        <v>4</v>
      </c>
      <c r="Q165" s="98">
        <v>16</v>
      </c>
      <c r="R165" s="98"/>
    </row>
    <row r="166" spans="1:18">
      <c r="A166" s="98" t="s">
        <v>214</v>
      </c>
      <c r="B166" s="98" t="s">
        <v>258</v>
      </c>
      <c r="C166" s="98">
        <v>25</v>
      </c>
      <c r="D166" s="98" t="str">
        <f t="shared" si="2"/>
        <v>PN100-DN25</v>
      </c>
      <c r="E166" s="98">
        <v>140</v>
      </c>
      <c r="F166" s="98">
        <v>100</v>
      </c>
      <c r="G166" s="98">
        <v>52</v>
      </c>
      <c r="H166" s="98">
        <v>33.700000000000003</v>
      </c>
      <c r="I166" s="98">
        <v>18</v>
      </c>
      <c r="J166" s="98">
        <v>68</v>
      </c>
      <c r="K166" s="98">
        <v>41</v>
      </c>
      <c r="L166" s="98">
        <v>53</v>
      </c>
      <c r="M166" s="98">
        <v>22</v>
      </c>
      <c r="N166" s="98"/>
      <c r="O166" s="98">
        <v>26</v>
      </c>
      <c r="P166" s="98">
        <v>4</v>
      </c>
      <c r="Q166" s="98">
        <v>16</v>
      </c>
      <c r="R166" s="98"/>
    </row>
    <row r="167" spans="1:18">
      <c r="A167" s="98" t="s">
        <v>214</v>
      </c>
      <c r="B167" s="98" t="s">
        <v>258</v>
      </c>
      <c r="C167" s="98">
        <v>32</v>
      </c>
      <c r="D167" s="98" t="str">
        <f t="shared" si="2"/>
        <v>PN100-DN32</v>
      </c>
      <c r="E167" s="98">
        <v>155</v>
      </c>
      <c r="F167" s="98">
        <v>110</v>
      </c>
      <c r="G167" s="98">
        <v>62</v>
      </c>
      <c r="H167" s="98">
        <v>42.4</v>
      </c>
      <c r="I167" s="98">
        <v>22</v>
      </c>
      <c r="J167" s="98">
        <v>78</v>
      </c>
      <c r="K167" s="98">
        <v>49</v>
      </c>
      <c r="L167" s="98"/>
      <c r="M167" s="98">
        <v>22</v>
      </c>
      <c r="N167" s="98"/>
      <c r="O167" s="98">
        <v>28</v>
      </c>
      <c r="P167" s="98">
        <v>4</v>
      </c>
      <c r="Q167" s="98">
        <v>20</v>
      </c>
      <c r="R167" s="98"/>
    </row>
    <row r="168" spans="1:18">
      <c r="A168" s="98" t="s">
        <v>214</v>
      </c>
      <c r="B168" s="98" t="s">
        <v>258</v>
      </c>
      <c r="C168" s="98">
        <v>40</v>
      </c>
      <c r="D168" s="98" t="str">
        <f t="shared" si="2"/>
        <v>PN100-DN40</v>
      </c>
      <c r="E168" s="98">
        <v>170</v>
      </c>
      <c r="F168" s="98">
        <v>125</v>
      </c>
      <c r="G168" s="98">
        <v>70</v>
      </c>
      <c r="H168" s="98">
        <v>48.3</v>
      </c>
      <c r="I168" s="98">
        <v>22</v>
      </c>
      <c r="J168" s="98">
        <v>88</v>
      </c>
      <c r="K168" s="98">
        <v>56</v>
      </c>
      <c r="L168" s="98">
        <v>68</v>
      </c>
      <c r="M168" s="98">
        <v>23</v>
      </c>
      <c r="N168" s="98"/>
      <c r="O168" s="98">
        <v>26</v>
      </c>
      <c r="P168" s="98">
        <v>4</v>
      </c>
      <c r="Q168" s="98">
        <v>20</v>
      </c>
      <c r="R168" s="98"/>
    </row>
    <row r="169" spans="1:18">
      <c r="A169" s="98" t="s">
        <v>214</v>
      </c>
      <c r="B169" s="98" t="s">
        <v>258</v>
      </c>
      <c r="C169" s="98">
        <v>50</v>
      </c>
      <c r="D169" s="98" t="str">
        <f t="shared" si="2"/>
        <v>PN100-DN50</v>
      </c>
      <c r="E169" s="98">
        <v>195</v>
      </c>
      <c r="F169" s="98">
        <v>145</v>
      </c>
      <c r="G169" s="98">
        <v>90</v>
      </c>
      <c r="H169" s="98">
        <v>60.3</v>
      </c>
      <c r="I169" s="98">
        <v>26</v>
      </c>
      <c r="J169" s="98">
        <v>102</v>
      </c>
      <c r="K169" s="98">
        <v>70</v>
      </c>
      <c r="L169" s="98">
        <v>86</v>
      </c>
      <c r="M169" s="98">
        <v>25</v>
      </c>
      <c r="N169" s="98"/>
      <c r="O169" s="98">
        <v>30</v>
      </c>
      <c r="P169" s="98">
        <v>4</v>
      </c>
      <c r="Q169" s="98">
        <v>24</v>
      </c>
      <c r="R169" s="98"/>
    </row>
    <row r="170" spans="1:18">
      <c r="A170" s="98" t="s">
        <v>214</v>
      </c>
      <c r="B170" s="98" t="s">
        <v>258</v>
      </c>
      <c r="C170" s="98">
        <v>65</v>
      </c>
      <c r="D170" s="98" t="str">
        <f t="shared" si="2"/>
        <v>PN100-DN65</v>
      </c>
      <c r="E170" s="98">
        <v>220</v>
      </c>
      <c r="F170" s="98">
        <v>170</v>
      </c>
      <c r="G170" s="98">
        <v>108</v>
      </c>
      <c r="H170" s="98">
        <v>76.099999999999994</v>
      </c>
      <c r="I170" s="98">
        <v>26</v>
      </c>
      <c r="J170" s="98">
        <v>122</v>
      </c>
      <c r="K170" s="98">
        <v>86</v>
      </c>
      <c r="L170" s="98">
        <v>106</v>
      </c>
      <c r="M170" s="98">
        <v>27</v>
      </c>
      <c r="N170" s="98"/>
      <c r="O170" s="98">
        <v>34</v>
      </c>
      <c r="P170" s="98">
        <v>8</v>
      </c>
      <c r="Q170" s="98">
        <v>24</v>
      </c>
      <c r="R170" s="98"/>
    </row>
    <row r="171" spans="1:18">
      <c r="A171" s="98" t="s">
        <v>214</v>
      </c>
      <c r="B171" s="98" t="s">
        <v>258</v>
      </c>
      <c r="C171" s="98">
        <v>80</v>
      </c>
      <c r="D171" s="98" t="str">
        <f t="shared" si="2"/>
        <v>PN100-DN80</v>
      </c>
      <c r="E171" s="98">
        <v>230</v>
      </c>
      <c r="F171" s="98">
        <v>180</v>
      </c>
      <c r="G171" s="98">
        <v>120</v>
      </c>
      <c r="H171" s="98">
        <v>88.9</v>
      </c>
      <c r="I171" s="98">
        <v>26</v>
      </c>
      <c r="J171" s="98">
        <v>138</v>
      </c>
      <c r="K171" s="98">
        <v>99</v>
      </c>
      <c r="L171" s="98">
        <v>119</v>
      </c>
      <c r="M171" s="98">
        <v>29</v>
      </c>
      <c r="N171" s="98"/>
      <c r="O171" s="98">
        <v>34</v>
      </c>
      <c r="P171" s="98">
        <v>8</v>
      </c>
      <c r="Q171" s="98">
        <v>24</v>
      </c>
      <c r="R171" s="98"/>
    </row>
    <row r="172" spans="1:18">
      <c r="A172" s="98" t="s">
        <v>214</v>
      </c>
      <c r="B172" s="98" t="s">
        <v>258</v>
      </c>
      <c r="C172" s="98">
        <v>100</v>
      </c>
      <c r="D172" s="98" t="str">
        <f t="shared" si="2"/>
        <v>PN100-DN100</v>
      </c>
      <c r="E172" s="98">
        <v>265</v>
      </c>
      <c r="F172" s="98">
        <v>210</v>
      </c>
      <c r="G172" s="98">
        <v>150</v>
      </c>
      <c r="H172" s="98">
        <v>114.3</v>
      </c>
      <c r="I172" s="98">
        <v>30</v>
      </c>
      <c r="J172" s="98">
        <v>162</v>
      </c>
      <c r="K172" s="98">
        <v>127</v>
      </c>
      <c r="L172" s="98">
        <v>147</v>
      </c>
      <c r="M172" s="98">
        <v>33</v>
      </c>
      <c r="N172" s="98"/>
      <c r="O172" s="98">
        <v>42</v>
      </c>
      <c r="P172" s="98">
        <v>8</v>
      </c>
      <c r="Q172" s="98">
        <v>27</v>
      </c>
      <c r="R172" s="98"/>
    </row>
    <row r="173" spans="1:18">
      <c r="A173" s="98" t="s">
        <v>214</v>
      </c>
      <c r="B173" s="98" t="s">
        <v>258</v>
      </c>
      <c r="C173" s="98">
        <v>125</v>
      </c>
      <c r="D173" s="98" t="str">
        <f t="shared" si="2"/>
        <v>PN100-DN125</v>
      </c>
      <c r="E173" s="98">
        <v>315</v>
      </c>
      <c r="F173" s="98">
        <v>250</v>
      </c>
      <c r="G173" s="98">
        <v>180</v>
      </c>
      <c r="H173" s="98">
        <v>139.69999999999999</v>
      </c>
      <c r="I173" s="98">
        <v>33</v>
      </c>
      <c r="J173" s="98">
        <v>188</v>
      </c>
      <c r="K173" s="98">
        <v>152</v>
      </c>
      <c r="L173" s="98">
        <v>176</v>
      </c>
      <c r="M173" s="98">
        <v>37</v>
      </c>
      <c r="N173" s="98"/>
      <c r="O173" s="98">
        <v>53</v>
      </c>
      <c r="P173" s="98">
        <v>8</v>
      </c>
      <c r="Q173" s="98">
        <v>30</v>
      </c>
      <c r="R173" s="98"/>
    </row>
    <row r="174" spans="1:18">
      <c r="A174" s="98" t="s">
        <v>214</v>
      </c>
      <c r="B174" s="98" t="s">
        <v>258</v>
      </c>
      <c r="C174" s="98">
        <v>150</v>
      </c>
      <c r="D174" s="98" t="str">
        <f t="shared" si="2"/>
        <v>PN100-DN150</v>
      </c>
      <c r="E174" s="98">
        <v>355</v>
      </c>
      <c r="F174" s="98">
        <v>290</v>
      </c>
      <c r="G174" s="98">
        <v>210</v>
      </c>
      <c r="H174" s="98">
        <v>168.3</v>
      </c>
      <c r="I174" s="98">
        <v>33</v>
      </c>
      <c r="J174" s="98">
        <v>218</v>
      </c>
      <c r="K174" s="98">
        <v>179</v>
      </c>
      <c r="L174" s="98">
        <v>203</v>
      </c>
      <c r="M174" s="98">
        <v>41</v>
      </c>
      <c r="N174" s="98"/>
      <c r="O174" s="98">
        <v>59</v>
      </c>
      <c r="P174" s="98">
        <v>12</v>
      </c>
      <c r="Q174" s="98">
        <v>30</v>
      </c>
      <c r="R174" s="98"/>
    </row>
    <row r="175" spans="1:18">
      <c r="A175" s="98" t="s">
        <v>214</v>
      </c>
      <c r="B175" s="98" t="s">
        <v>258</v>
      </c>
      <c r="C175" s="98">
        <v>200</v>
      </c>
      <c r="D175" s="98" t="str">
        <f t="shared" si="2"/>
        <v>PN100-DN200</v>
      </c>
      <c r="E175" s="98">
        <v>430</v>
      </c>
      <c r="F175" s="98">
        <v>360</v>
      </c>
      <c r="G175" s="98">
        <v>278</v>
      </c>
      <c r="H175" s="98">
        <v>219.1</v>
      </c>
      <c r="I175" s="98">
        <v>36</v>
      </c>
      <c r="J175" s="98">
        <v>285</v>
      </c>
      <c r="K175" s="98">
        <v>228</v>
      </c>
      <c r="L175" s="98">
        <v>252</v>
      </c>
      <c r="M175" s="98">
        <v>49</v>
      </c>
      <c r="N175" s="98"/>
      <c r="O175" s="98">
        <v>62</v>
      </c>
      <c r="P175" s="98">
        <v>12</v>
      </c>
      <c r="Q175" s="98">
        <v>33</v>
      </c>
      <c r="R175" s="98"/>
    </row>
    <row r="176" spans="1:18">
      <c r="A176" s="98" t="s">
        <v>214</v>
      </c>
      <c r="B176" s="98" t="s">
        <v>258</v>
      </c>
      <c r="C176" s="98">
        <v>250</v>
      </c>
      <c r="D176" s="98" t="str">
        <f t="shared" si="2"/>
        <v>PN100-DN250</v>
      </c>
      <c r="E176" s="98">
        <v>505</v>
      </c>
      <c r="F176" s="98">
        <v>430</v>
      </c>
      <c r="G176" s="98">
        <v>340</v>
      </c>
      <c r="H176" s="98">
        <v>273</v>
      </c>
      <c r="I176" s="98">
        <v>39</v>
      </c>
      <c r="J176" s="98">
        <v>345</v>
      </c>
      <c r="K176" s="98">
        <v>279</v>
      </c>
      <c r="L176" s="98">
        <v>307</v>
      </c>
      <c r="M176" s="98">
        <v>57</v>
      </c>
      <c r="N176" s="98"/>
      <c r="O176" s="98">
        <v>79</v>
      </c>
      <c r="P176" s="98">
        <v>12</v>
      </c>
      <c r="Q176" s="98">
        <v>36</v>
      </c>
      <c r="R176" s="98"/>
    </row>
    <row r="177" spans="1:18">
      <c r="A177" s="98" t="s">
        <v>214</v>
      </c>
      <c r="B177" s="98" t="s">
        <v>258</v>
      </c>
      <c r="C177" s="98">
        <v>300</v>
      </c>
      <c r="D177" s="98" t="str">
        <f t="shared" si="2"/>
        <v>PN100-DN300</v>
      </c>
      <c r="E177" s="98">
        <v>585</v>
      </c>
      <c r="F177" s="98">
        <v>500</v>
      </c>
      <c r="G177" s="98">
        <v>400</v>
      </c>
      <c r="H177" s="98">
        <v>323.89999999999998</v>
      </c>
      <c r="I177" s="98">
        <v>42</v>
      </c>
      <c r="J177" s="98">
        <v>410</v>
      </c>
      <c r="K177" s="98">
        <v>330</v>
      </c>
      <c r="L177" s="98">
        <v>358</v>
      </c>
      <c r="M177" s="98">
        <v>64</v>
      </c>
      <c r="N177" s="98"/>
      <c r="O177" s="98">
        <v>84</v>
      </c>
      <c r="P177" s="98">
        <v>16</v>
      </c>
      <c r="Q177" s="98">
        <v>39</v>
      </c>
      <c r="R177" s="98"/>
    </row>
    <row r="178" spans="1:18">
      <c r="A178" s="98" t="s">
        <v>214</v>
      </c>
      <c r="B178" s="98" t="s">
        <v>258</v>
      </c>
      <c r="C178" s="98">
        <v>350</v>
      </c>
      <c r="D178" s="98" t="str">
        <f t="shared" si="2"/>
        <v>PN100-DN350</v>
      </c>
      <c r="E178" s="98">
        <v>655</v>
      </c>
      <c r="F178" s="98">
        <v>560</v>
      </c>
      <c r="G178" s="98">
        <v>460</v>
      </c>
      <c r="H178" s="98">
        <v>355.6</v>
      </c>
      <c r="I178" s="98">
        <v>48</v>
      </c>
      <c r="J178" s="98">
        <v>465</v>
      </c>
      <c r="K178" s="98">
        <v>376</v>
      </c>
      <c r="L178" s="98">
        <v>404</v>
      </c>
      <c r="M178" s="98">
        <v>70</v>
      </c>
      <c r="N178" s="98"/>
      <c r="O178" s="98">
        <v>95</v>
      </c>
      <c r="P178" s="98">
        <v>16</v>
      </c>
      <c r="Q178" s="98">
        <v>45</v>
      </c>
      <c r="R178" s="98"/>
    </row>
    <row r="179" spans="1:18">
      <c r="A179" s="98" t="s">
        <v>214</v>
      </c>
      <c r="B179" s="98" t="s">
        <v>259</v>
      </c>
      <c r="C179" s="98">
        <v>10</v>
      </c>
      <c r="D179" s="98" t="str">
        <f t="shared" si="2"/>
        <v>PN160-DN10</v>
      </c>
      <c r="E179" s="98">
        <v>100</v>
      </c>
      <c r="F179" s="98">
        <v>70</v>
      </c>
      <c r="G179" s="98">
        <v>32</v>
      </c>
      <c r="H179" s="98">
        <v>17.2</v>
      </c>
      <c r="I179" s="98">
        <v>14</v>
      </c>
      <c r="J179" s="98">
        <v>40</v>
      </c>
      <c r="K179" s="98">
        <v>24</v>
      </c>
      <c r="L179" s="98">
        <v>34</v>
      </c>
      <c r="M179" s="98">
        <v>18</v>
      </c>
      <c r="N179" s="98"/>
      <c r="O179" s="98">
        <v>19</v>
      </c>
      <c r="P179" s="98">
        <v>4</v>
      </c>
      <c r="Q179" s="98">
        <v>12</v>
      </c>
      <c r="R179" s="98"/>
    </row>
    <row r="180" spans="1:18">
      <c r="A180" s="98" t="s">
        <v>214</v>
      </c>
      <c r="B180" s="98" t="s">
        <v>259</v>
      </c>
      <c r="C180" s="98">
        <v>15</v>
      </c>
      <c r="D180" s="98" t="str">
        <f t="shared" si="2"/>
        <v>PN160-DN15</v>
      </c>
      <c r="E180" s="98">
        <v>105</v>
      </c>
      <c r="F180" s="98">
        <v>75</v>
      </c>
      <c r="G180" s="98">
        <v>34</v>
      </c>
      <c r="H180" s="98">
        <v>21.3</v>
      </c>
      <c r="I180" s="98">
        <v>14</v>
      </c>
      <c r="J180" s="98">
        <v>45</v>
      </c>
      <c r="K180" s="98">
        <v>29</v>
      </c>
      <c r="L180" s="98">
        <v>39</v>
      </c>
      <c r="M180" s="98">
        <v>18</v>
      </c>
      <c r="N180" s="98"/>
      <c r="O180" s="98">
        <v>19</v>
      </c>
      <c r="P180" s="98">
        <v>4</v>
      </c>
      <c r="Q180" s="98">
        <v>12</v>
      </c>
      <c r="R180" s="98"/>
    </row>
    <row r="181" spans="1:18">
      <c r="A181" s="98" t="s">
        <v>214</v>
      </c>
      <c r="B181" s="98" t="s">
        <v>259</v>
      </c>
      <c r="C181" s="98">
        <v>25</v>
      </c>
      <c r="D181" s="98" t="str">
        <f t="shared" si="2"/>
        <v>PN160-DN25</v>
      </c>
      <c r="E181" s="98">
        <v>140</v>
      </c>
      <c r="F181" s="98">
        <v>100</v>
      </c>
      <c r="G181" s="98">
        <v>52</v>
      </c>
      <c r="H181" s="98">
        <v>33.700000000000003</v>
      </c>
      <c r="I181" s="98">
        <v>18</v>
      </c>
      <c r="J181" s="98">
        <v>68</v>
      </c>
      <c r="K181" s="98">
        <v>41</v>
      </c>
      <c r="L181" s="98">
        <v>53</v>
      </c>
      <c r="M181" s="98">
        <v>22</v>
      </c>
      <c r="N181" s="98"/>
      <c r="O181" s="98">
        <v>26</v>
      </c>
      <c r="P181" s="98">
        <v>4</v>
      </c>
      <c r="Q181" s="98">
        <v>16</v>
      </c>
      <c r="R181" s="98"/>
    </row>
    <row r="182" spans="1:18">
      <c r="A182" s="98" t="s">
        <v>214</v>
      </c>
      <c r="B182" s="98" t="s">
        <v>259</v>
      </c>
      <c r="C182" s="98">
        <v>40</v>
      </c>
      <c r="D182" s="98" t="str">
        <f t="shared" si="2"/>
        <v>PN160-DN40</v>
      </c>
      <c r="E182" s="98">
        <v>170</v>
      </c>
      <c r="F182" s="98">
        <v>125</v>
      </c>
      <c r="G182" s="98">
        <v>70</v>
      </c>
      <c r="H182" s="98">
        <v>48.3</v>
      </c>
      <c r="I182" s="98">
        <v>22</v>
      </c>
      <c r="J182" s="98">
        <v>88</v>
      </c>
      <c r="K182" s="98">
        <v>56</v>
      </c>
      <c r="L182" s="98">
        <v>68</v>
      </c>
      <c r="M182" s="98">
        <v>25</v>
      </c>
      <c r="N182" s="98"/>
      <c r="O182" s="98">
        <v>26</v>
      </c>
      <c r="P182" s="98">
        <v>4</v>
      </c>
      <c r="Q182" s="98">
        <v>20</v>
      </c>
      <c r="R182" s="98"/>
    </row>
    <row r="183" spans="1:18">
      <c r="A183" s="98" t="s">
        <v>214</v>
      </c>
      <c r="B183" s="98" t="s">
        <v>259</v>
      </c>
      <c r="C183" s="98">
        <v>50</v>
      </c>
      <c r="D183" s="98" t="str">
        <f t="shared" si="2"/>
        <v>PN160-DN50</v>
      </c>
      <c r="E183" s="98">
        <v>195</v>
      </c>
      <c r="F183" s="98">
        <v>145</v>
      </c>
      <c r="G183" s="98">
        <v>90</v>
      </c>
      <c r="H183" s="98">
        <v>60.3</v>
      </c>
      <c r="I183" s="98">
        <v>26</v>
      </c>
      <c r="J183" s="98">
        <v>102</v>
      </c>
      <c r="K183" s="98">
        <v>70</v>
      </c>
      <c r="L183" s="98">
        <v>86</v>
      </c>
      <c r="M183" s="98">
        <v>27</v>
      </c>
      <c r="N183" s="98"/>
      <c r="O183" s="98">
        <v>35</v>
      </c>
      <c r="P183" s="98">
        <v>4</v>
      </c>
      <c r="Q183" s="98">
        <v>24</v>
      </c>
      <c r="R183" s="98"/>
    </row>
    <row r="184" spans="1:18">
      <c r="A184" s="98" t="s">
        <v>214</v>
      </c>
      <c r="B184" s="98" t="s">
        <v>259</v>
      </c>
      <c r="C184" s="98">
        <v>65</v>
      </c>
      <c r="D184" s="98" t="str">
        <f t="shared" si="2"/>
        <v>PN160-DN65</v>
      </c>
      <c r="E184" s="98">
        <v>220</v>
      </c>
      <c r="F184" s="98">
        <v>170</v>
      </c>
      <c r="G184" s="98">
        <v>108</v>
      </c>
      <c r="H184" s="98">
        <v>76.099999999999994</v>
      </c>
      <c r="I184" s="98">
        <v>26</v>
      </c>
      <c r="J184" s="98">
        <v>122</v>
      </c>
      <c r="K184" s="98">
        <v>86</v>
      </c>
      <c r="L184" s="98">
        <v>106</v>
      </c>
      <c r="M184" s="98">
        <v>31</v>
      </c>
      <c r="N184" s="98"/>
      <c r="O184" s="98">
        <v>36</v>
      </c>
      <c r="P184" s="98">
        <v>8</v>
      </c>
      <c r="Q184" s="98">
        <v>24</v>
      </c>
      <c r="R184" s="98"/>
    </row>
    <row r="185" spans="1:18">
      <c r="A185" s="98" t="s">
        <v>214</v>
      </c>
      <c r="B185" s="98" t="s">
        <v>259</v>
      </c>
      <c r="C185" s="98">
        <v>80</v>
      </c>
      <c r="D185" s="98" t="str">
        <f t="shared" si="2"/>
        <v>PN160-DN80</v>
      </c>
      <c r="E185" s="98">
        <v>230</v>
      </c>
      <c r="F185" s="98">
        <v>180</v>
      </c>
      <c r="G185" s="98">
        <v>120</v>
      </c>
      <c r="H185" s="98">
        <v>88.9</v>
      </c>
      <c r="I185" s="98">
        <v>26</v>
      </c>
      <c r="J185" s="98">
        <v>138</v>
      </c>
      <c r="K185" s="98">
        <v>99</v>
      </c>
      <c r="L185" s="98">
        <v>119</v>
      </c>
      <c r="M185" s="98">
        <v>33</v>
      </c>
      <c r="N185" s="98"/>
      <c r="O185" s="98">
        <v>38</v>
      </c>
      <c r="P185" s="98">
        <v>8</v>
      </c>
      <c r="Q185" s="98">
        <v>24</v>
      </c>
      <c r="R185" s="98"/>
    </row>
    <row r="186" spans="1:18">
      <c r="A186" s="98" t="s">
        <v>214</v>
      </c>
      <c r="B186" s="98" t="s">
        <v>259</v>
      </c>
      <c r="C186" s="98">
        <v>100</v>
      </c>
      <c r="D186" s="98" t="str">
        <f t="shared" si="2"/>
        <v>PN160-DN100</v>
      </c>
      <c r="E186" s="98">
        <v>265</v>
      </c>
      <c r="F186" s="98">
        <v>210</v>
      </c>
      <c r="G186" s="98">
        <v>150</v>
      </c>
      <c r="H186" s="98">
        <v>114.3</v>
      </c>
      <c r="I186" s="98">
        <v>30</v>
      </c>
      <c r="J186" s="98">
        <v>162</v>
      </c>
      <c r="K186" s="98">
        <v>127</v>
      </c>
      <c r="L186" s="98">
        <v>147</v>
      </c>
      <c r="M186" s="98">
        <v>37</v>
      </c>
      <c r="N186" s="98"/>
      <c r="O186" s="98">
        <v>48</v>
      </c>
      <c r="P186" s="98">
        <v>8</v>
      </c>
      <c r="Q186" s="98">
        <v>27</v>
      </c>
      <c r="R186" s="98"/>
    </row>
    <row r="187" spans="1:18">
      <c r="A187" s="98" t="s">
        <v>214</v>
      </c>
      <c r="B187" s="98" t="s">
        <v>259</v>
      </c>
      <c r="C187" s="98">
        <v>125</v>
      </c>
      <c r="D187" s="98" t="str">
        <f t="shared" si="2"/>
        <v>PN160-DN125</v>
      </c>
      <c r="E187" s="98">
        <v>315</v>
      </c>
      <c r="F187" s="98">
        <v>250</v>
      </c>
      <c r="G187" s="98">
        <v>180</v>
      </c>
      <c r="H187" s="98">
        <v>139.69999999999999</v>
      </c>
      <c r="I187" s="98">
        <v>33</v>
      </c>
      <c r="J187" s="98">
        <v>188</v>
      </c>
      <c r="K187" s="98">
        <v>152</v>
      </c>
      <c r="L187" s="98">
        <v>176</v>
      </c>
      <c r="M187" s="98">
        <v>41</v>
      </c>
      <c r="N187" s="98"/>
      <c r="O187" s="98">
        <v>57</v>
      </c>
      <c r="P187" s="98">
        <v>8</v>
      </c>
      <c r="Q187" s="98">
        <v>30</v>
      </c>
      <c r="R187" s="98"/>
    </row>
    <row r="188" spans="1:18">
      <c r="A188" s="98" t="s">
        <v>214</v>
      </c>
      <c r="B188" s="98" t="s">
        <v>259</v>
      </c>
      <c r="C188" s="98">
        <v>150</v>
      </c>
      <c r="D188" s="98" t="str">
        <f t="shared" si="2"/>
        <v>PN160-DN150</v>
      </c>
      <c r="E188" s="98">
        <v>355</v>
      </c>
      <c r="F188" s="98">
        <v>290</v>
      </c>
      <c r="G188" s="98">
        <v>210</v>
      </c>
      <c r="H188" s="98">
        <v>168.3</v>
      </c>
      <c r="I188" s="98">
        <v>33</v>
      </c>
      <c r="J188" s="98">
        <v>218</v>
      </c>
      <c r="K188" s="98">
        <v>179</v>
      </c>
      <c r="L188" s="98">
        <v>203</v>
      </c>
      <c r="M188" s="98">
        <v>47</v>
      </c>
      <c r="N188" s="98"/>
      <c r="O188" s="98">
        <v>64</v>
      </c>
      <c r="P188" s="98">
        <v>12</v>
      </c>
      <c r="Q188" s="98">
        <v>30</v>
      </c>
      <c r="R188" s="98"/>
    </row>
    <row r="189" spans="1:18">
      <c r="A189" s="98" t="s">
        <v>214</v>
      </c>
      <c r="B189" s="98" t="s">
        <v>259</v>
      </c>
      <c r="C189" s="98">
        <v>200</v>
      </c>
      <c r="D189" s="98" t="str">
        <f t="shared" si="2"/>
        <v>PN160-DN200</v>
      </c>
      <c r="E189" s="98">
        <v>430</v>
      </c>
      <c r="F189" s="98">
        <v>360</v>
      </c>
      <c r="G189" s="98">
        <v>278</v>
      </c>
      <c r="H189" s="98">
        <v>219.1</v>
      </c>
      <c r="I189" s="98">
        <v>36</v>
      </c>
      <c r="J189" s="98">
        <v>285</v>
      </c>
      <c r="K189" s="98">
        <v>228</v>
      </c>
      <c r="L189" s="98">
        <v>252</v>
      </c>
      <c r="M189" s="98">
        <v>57</v>
      </c>
      <c r="N189" s="98"/>
      <c r="O189" s="98">
        <v>64</v>
      </c>
      <c r="P189" s="98">
        <v>12</v>
      </c>
      <c r="Q189" s="98">
        <v>33</v>
      </c>
      <c r="R189" s="98"/>
    </row>
    <row r="190" spans="1:18">
      <c r="A190" s="98" t="s">
        <v>214</v>
      </c>
      <c r="B190" s="98" t="s">
        <v>259</v>
      </c>
      <c r="C190" s="98">
        <v>250</v>
      </c>
      <c r="D190" s="98" t="str">
        <f t="shared" si="2"/>
        <v>PN160-DN250</v>
      </c>
      <c r="E190" s="98">
        <v>515</v>
      </c>
      <c r="F190" s="98">
        <v>430</v>
      </c>
      <c r="G190" s="98">
        <v>340</v>
      </c>
      <c r="H190" s="98">
        <v>273</v>
      </c>
      <c r="I190" s="98">
        <v>42</v>
      </c>
      <c r="J190" s="98">
        <v>345</v>
      </c>
      <c r="K190" s="98">
        <v>279</v>
      </c>
      <c r="L190" s="98">
        <v>307</v>
      </c>
      <c r="M190" s="98">
        <v>65</v>
      </c>
      <c r="N190" s="98"/>
      <c r="O190" s="98">
        <v>69</v>
      </c>
      <c r="P190" s="98">
        <v>12</v>
      </c>
      <c r="Q190" s="98">
        <v>39</v>
      </c>
      <c r="R190" s="98"/>
    </row>
    <row r="191" spans="1:18">
      <c r="A191" s="98" t="s">
        <v>214</v>
      </c>
      <c r="B191" s="98" t="s">
        <v>259</v>
      </c>
      <c r="C191" s="98">
        <v>300</v>
      </c>
      <c r="D191" s="98" t="str">
        <f t="shared" si="2"/>
        <v>PN160-DN300</v>
      </c>
      <c r="E191" s="98">
        <v>585</v>
      </c>
      <c r="F191" s="98">
        <v>500</v>
      </c>
      <c r="G191" s="98">
        <v>400</v>
      </c>
      <c r="H191" s="98">
        <v>323.89999999999998</v>
      </c>
      <c r="I191" s="98">
        <v>42</v>
      </c>
      <c r="J191" s="98">
        <v>410</v>
      </c>
      <c r="K191" s="98">
        <v>330</v>
      </c>
      <c r="L191" s="98">
        <v>358</v>
      </c>
      <c r="M191" s="98">
        <v>74</v>
      </c>
      <c r="N191" s="98"/>
      <c r="O191" s="98">
        <v>79</v>
      </c>
      <c r="P191" s="98">
        <v>16</v>
      </c>
      <c r="Q191" s="98">
        <v>39</v>
      </c>
      <c r="R191" s="98"/>
    </row>
    <row r="192" spans="1:18">
      <c r="A192" s="98" t="s">
        <v>214</v>
      </c>
      <c r="B192" s="98" t="s">
        <v>260</v>
      </c>
      <c r="C192" s="98">
        <v>10</v>
      </c>
      <c r="D192" s="98" t="str">
        <f t="shared" si="2"/>
        <v>PN250-DN10</v>
      </c>
      <c r="E192" s="98">
        <v>125</v>
      </c>
      <c r="F192" s="98">
        <v>85</v>
      </c>
      <c r="G192" s="98"/>
      <c r="H192" s="98">
        <v>17.2</v>
      </c>
      <c r="I192" s="98">
        <v>18</v>
      </c>
      <c r="J192" s="98">
        <v>40</v>
      </c>
      <c r="K192" s="98"/>
      <c r="L192" s="98"/>
      <c r="M192" s="98"/>
      <c r="N192" s="98"/>
      <c r="O192" s="98"/>
      <c r="P192" s="98">
        <v>4</v>
      </c>
      <c r="Q192" s="98">
        <v>16</v>
      </c>
      <c r="R192" s="98"/>
    </row>
    <row r="193" spans="1:18">
      <c r="A193" s="98" t="s">
        <v>214</v>
      </c>
      <c r="B193" s="98" t="s">
        <v>260</v>
      </c>
      <c r="C193" s="98">
        <v>15</v>
      </c>
      <c r="D193" s="98" t="str">
        <f t="shared" si="2"/>
        <v>PN250-DN15</v>
      </c>
      <c r="E193" s="98">
        <v>130</v>
      </c>
      <c r="F193" s="98">
        <v>90</v>
      </c>
      <c r="G193" s="98">
        <v>48</v>
      </c>
      <c r="H193" s="98">
        <v>21.3</v>
      </c>
      <c r="I193" s="98">
        <v>18</v>
      </c>
      <c r="J193" s="98">
        <v>45</v>
      </c>
      <c r="K193" s="98"/>
      <c r="L193" s="98"/>
      <c r="M193" s="98">
        <v>24</v>
      </c>
      <c r="N193" s="98"/>
      <c r="O193" s="98">
        <v>28</v>
      </c>
      <c r="P193" s="98">
        <v>4</v>
      </c>
      <c r="Q193" s="98">
        <v>16</v>
      </c>
      <c r="R193" s="98"/>
    </row>
    <row r="194" spans="1:18">
      <c r="A194" s="98" t="s">
        <v>214</v>
      </c>
      <c r="B194" s="98" t="s">
        <v>260</v>
      </c>
      <c r="C194" s="98">
        <v>25</v>
      </c>
      <c r="D194" s="98" t="str">
        <f t="shared" ref="D194:D252" si="3">B194&amp;"-DN"&amp;C194</f>
        <v>PN250-DN25</v>
      </c>
      <c r="E194" s="98">
        <v>150</v>
      </c>
      <c r="F194" s="98">
        <v>105</v>
      </c>
      <c r="G194" s="98">
        <v>60</v>
      </c>
      <c r="H194" s="98">
        <v>33.700000000000003</v>
      </c>
      <c r="I194" s="98">
        <v>22</v>
      </c>
      <c r="J194" s="98">
        <v>68</v>
      </c>
      <c r="K194" s="98"/>
      <c r="L194" s="98"/>
      <c r="M194" s="98">
        <v>26</v>
      </c>
      <c r="N194" s="98"/>
      <c r="O194" s="98">
        <v>29</v>
      </c>
      <c r="P194" s="98">
        <v>4</v>
      </c>
      <c r="Q194" s="98">
        <v>20</v>
      </c>
      <c r="R194" s="98"/>
    </row>
    <row r="195" spans="1:18">
      <c r="A195" s="98" t="s">
        <v>214</v>
      </c>
      <c r="B195" s="98" t="s">
        <v>260</v>
      </c>
      <c r="C195" s="98">
        <v>40</v>
      </c>
      <c r="D195" s="98" t="str">
        <f t="shared" si="3"/>
        <v>PN250-DN40</v>
      </c>
      <c r="E195" s="98">
        <v>185</v>
      </c>
      <c r="F195" s="98">
        <v>135</v>
      </c>
      <c r="G195" s="98">
        <v>84</v>
      </c>
      <c r="H195" s="98">
        <v>48.3</v>
      </c>
      <c r="I195" s="98">
        <v>26</v>
      </c>
      <c r="J195" s="98">
        <v>88</v>
      </c>
      <c r="K195" s="98"/>
      <c r="L195" s="98"/>
      <c r="M195" s="98">
        <v>31</v>
      </c>
      <c r="N195" s="98"/>
      <c r="O195" s="98">
        <v>36</v>
      </c>
      <c r="P195" s="98">
        <v>4</v>
      </c>
      <c r="Q195" s="98">
        <v>24</v>
      </c>
      <c r="R195" s="98"/>
    </row>
    <row r="196" spans="1:18">
      <c r="A196" s="98" t="s">
        <v>214</v>
      </c>
      <c r="B196" s="98" t="s">
        <v>260</v>
      </c>
      <c r="C196" s="98">
        <v>50</v>
      </c>
      <c r="D196" s="98" t="str">
        <f t="shared" si="3"/>
        <v>PN250-DN50</v>
      </c>
      <c r="E196" s="98">
        <v>200</v>
      </c>
      <c r="F196" s="98">
        <v>150</v>
      </c>
      <c r="G196" s="98">
        <v>95</v>
      </c>
      <c r="H196" s="98">
        <v>60.3</v>
      </c>
      <c r="I196" s="98">
        <v>26</v>
      </c>
      <c r="J196" s="98">
        <v>102</v>
      </c>
      <c r="K196" s="98"/>
      <c r="L196" s="98"/>
      <c r="M196" s="98">
        <v>35</v>
      </c>
      <c r="N196" s="98"/>
      <c r="O196" s="98">
        <v>37</v>
      </c>
      <c r="P196" s="98">
        <v>8</v>
      </c>
      <c r="Q196" s="98">
        <v>24</v>
      </c>
      <c r="R196" s="98"/>
    </row>
    <row r="197" spans="1:18">
      <c r="A197" s="98" t="s">
        <v>214</v>
      </c>
      <c r="B197" s="98" t="s">
        <v>260</v>
      </c>
      <c r="C197" s="98">
        <v>65</v>
      </c>
      <c r="D197" s="98" t="str">
        <f t="shared" si="3"/>
        <v>PN250-DN65</v>
      </c>
      <c r="E197" s="98">
        <v>230</v>
      </c>
      <c r="F197" s="98">
        <v>180</v>
      </c>
      <c r="G197" s="98">
        <v>124</v>
      </c>
      <c r="H197" s="98">
        <v>76.099999999999994</v>
      </c>
      <c r="I197" s="98">
        <v>26</v>
      </c>
      <c r="J197" s="98">
        <v>122</v>
      </c>
      <c r="K197" s="98"/>
      <c r="L197" s="98"/>
      <c r="M197" s="98">
        <v>39</v>
      </c>
      <c r="N197" s="98"/>
      <c r="O197" s="98">
        <v>41</v>
      </c>
      <c r="P197" s="98">
        <v>8</v>
      </c>
      <c r="Q197" s="98">
        <v>24</v>
      </c>
      <c r="R197" s="98"/>
    </row>
    <row r="198" spans="1:18">
      <c r="A198" s="98" t="s">
        <v>214</v>
      </c>
      <c r="B198" s="98" t="s">
        <v>260</v>
      </c>
      <c r="C198" s="98">
        <v>80</v>
      </c>
      <c r="D198" s="98" t="str">
        <f t="shared" si="3"/>
        <v>PN250-DN80</v>
      </c>
      <c r="E198" s="98">
        <v>255</v>
      </c>
      <c r="F198" s="98">
        <v>200</v>
      </c>
      <c r="G198" s="98">
        <v>136</v>
      </c>
      <c r="H198" s="98">
        <v>88.9</v>
      </c>
      <c r="I198" s="98">
        <v>30</v>
      </c>
      <c r="J198" s="98">
        <v>138</v>
      </c>
      <c r="K198" s="98"/>
      <c r="L198" s="98"/>
      <c r="M198" s="98">
        <v>43</v>
      </c>
      <c r="N198" s="98"/>
      <c r="O198" s="98">
        <v>44</v>
      </c>
      <c r="P198" s="98">
        <v>8</v>
      </c>
      <c r="Q198" s="98">
        <v>27</v>
      </c>
      <c r="R198" s="98"/>
    </row>
    <row r="199" spans="1:18">
      <c r="A199" s="98" t="s">
        <v>214</v>
      </c>
      <c r="B199" s="98" t="s">
        <v>260</v>
      </c>
      <c r="C199" s="98">
        <v>100</v>
      </c>
      <c r="D199" s="98" t="str">
        <f t="shared" si="3"/>
        <v>PN250-DN100</v>
      </c>
      <c r="E199" s="98">
        <v>300</v>
      </c>
      <c r="F199" s="98">
        <v>235</v>
      </c>
      <c r="G199" s="98">
        <v>164</v>
      </c>
      <c r="H199" s="98">
        <v>114.3</v>
      </c>
      <c r="I199" s="98">
        <v>33</v>
      </c>
      <c r="J199" s="98">
        <v>162</v>
      </c>
      <c r="K199" s="98"/>
      <c r="L199" s="98"/>
      <c r="M199" s="98">
        <v>51</v>
      </c>
      <c r="N199" s="98"/>
      <c r="O199" s="98">
        <v>52</v>
      </c>
      <c r="P199" s="98">
        <v>8</v>
      </c>
      <c r="Q199" s="98">
        <v>30</v>
      </c>
      <c r="R199" s="98"/>
    </row>
    <row r="200" spans="1:18">
      <c r="A200" s="98" t="s">
        <v>214</v>
      </c>
      <c r="B200" s="98" t="s">
        <v>260</v>
      </c>
      <c r="C200" s="98">
        <v>125</v>
      </c>
      <c r="D200" s="98" t="str">
        <f t="shared" si="3"/>
        <v>PN250-DN125</v>
      </c>
      <c r="E200" s="98">
        <v>340</v>
      </c>
      <c r="F200" s="98">
        <v>275</v>
      </c>
      <c r="G200" s="98">
        <v>200</v>
      </c>
      <c r="H200" s="98">
        <v>139.69999999999999</v>
      </c>
      <c r="I200" s="98">
        <v>33</v>
      </c>
      <c r="J200" s="98">
        <v>188</v>
      </c>
      <c r="K200" s="98"/>
      <c r="L200" s="98"/>
      <c r="M200" s="98">
        <v>57</v>
      </c>
      <c r="N200" s="98"/>
      <c r="O200" s="98">
        <v>64</v>
      </c>
      <c r="P200" s="98">
        <v>12</v>
      </c>
      <c r="Q200" s="98">
        <v>30</v>
      </c>
      <c r="R200" s="98"/>
    </row>
    <row r="201" spans="1:18">
      <c r="A201" s="98" t="s">
        <v>214</v>
      </c>
      <c r="B201" s="98" t="s">
        <v>260</v>
      </c>
      <c r="C201" s="98">
        <v>150</v>
      </c>
      <c r="D201" s="98" t="str">
        <f t="shared" si="3"/>
        <v>PN250-DN150</v>
      </c>
      <c r="E201" s="98">
        <v>390</v>
      </c>
      <c r="F201" s="98">
        <v>320</v>
      </c>
      <c r="G201" s="98">
        <v>240</v>
      </c>
      <c r="H201" s="98">
        <v>168.3</v>
      </c>
      <c r="I201" s="98">
        <v>36</v>
      </c>
      <c r="J201" s="98">
        <v>218</v>
      </c>
      <c r="K201" s="98"/>
      <c r="L201" s="98"/>
      <c r="M201" s="98">
        <v>65</v>
      </c>
      <c r="N201" s="98"/>
      <c r="O201" s="98">
        <v>74</v>
      </c>
      <c r="P201" s="98">
        <v>12</v>
      </c>
      <c r="Q201" s="98">
        <v>33</v>
      </c>
      <c r="R201" s="98"/>
    </row>
    <row r="202" spans="1:18">
      <c r="A202" s="98" t="s">
        <v>214</v>
      </c>
      <c r="B202" s="98" t="s">
        <v>260</v>
      </c>
      <c r="C202" s="98">
        <v>200</v>
      </c>
      <c r="D202" s="98" t="str">
        <f t="shared" si="3"/>
        <v>PN250-DN200</v>
      </c>
      <c r="E202" s="98">
        <v>485</v>
      </c>
      <c r="F202" s="98">
        <v>400</v>
      </c>
      <c r="G202" s="98">
        <v>305</v>
      </c>
      <c r="H202" s="98">
        <v>219.1</v>
      </c>
      <c r="I202" s="98">
        <v>42</v>
      </c>
      <c r="J202" s="98">
        <v>285</v>
      </c>
      <c r="K202" s="98"/>
      <c r="L202" s="98"/>
      <c r="M202" s="98">
        <v>79</v>
      </c>
      <c r="N202" s="98"/>
      <c r="O202" s="98">
        <v>83</v>
      </c>
      <c r="P202" s="98">
        <v>12</v>
      </c>
      <c r="Q202" s="98">
        <v>39</v>
      </c>
      <c r="R202" s="98"/>
    </row>
    <row r="203" spans="1:18">
      <c r="A203" s="98" t="s">
        <v>214</v>
      </c>
      <c r="B203" s="98" t="s">
        <v>260</v>
      </c>
      <c r="C203" s="98">
        <v>250</v>
      </c>
      <c r="D203" s="98" t="str">
        <f t="shared" si="3"/>
        <v>PN250-DN250</v>
      </c>
      <c r="E203" s="98">
        <v>585</v>
      </c>
      <c r="F203" s="98">
        <v>490</v>
      </c>
      <c r="G203" s="98">
        <v>385</v>
      </c>
      <c r="H203" s="98">
        <v>273</v>
      </c>
      <c r="I203" s="98">
        <v>48</v>
      </c>
      <c r="J203" s="98">
        <v>345</v>
      </c>
      <c r="K203" s="98"/>
      <c r="L203" s="98"/>
      <c r="M203" s="98">
        <v>97</v>
      </c>
      <c r="N203" s="98"/>
      <c r="O203" s="98">
        <v>85</v>
      </c>
      <c r="P203" s="98">
        <v>16</v>
      </c>
      <c r="Q203" s="98">
        <v>45</v>
      </c>
      <c r="R203" s="98"/>
    </row>
    <row r="204" spans="1:18">
      <c r="A204" s="98" t="s">
        <v>214</v>
      </c>
      <c r="B204" s="98" t="s">
        <v>260</v>
      </c>
      <c r="C204" s="98">
        <v>300</v>
      </c>
      <c r="D204" s="98" t="str">
        <f t="shared" si="3"/>
        <v>PN250-DN300</v>
      </c>
      <c r="E204" s="98">
        <v>690</v>
      </c>
      <c r="F204" s="98">
        <v>590</v>
      </c>
      <c r="G204" s="98"/>
      <c r="H204" s="98">
        <v>323.89999999999998</v>
      </c>
      <c r="I204" s="98">
        <v>52</v>
      </c>
      <c r="J204" s="98"/>
      <c r="K204" s="98"/>
      <c r="L204" s="98"/>
      <c r="M204" s="98"/>
      <c r="N204" s="98"/>
      <c r="O204" s="98"/>
      <c r="P204" s="98">
        <v>16</v>
      </c>
      <c r="Q204" s="98">
        <v>48</v>
      </c>
      <c r="R204" s="98"/>
    </row>
    <row r="205" spans="1:18">
      <c r="A205" s="98" t="s">
        <v>214</v>
      </c>
      <c r="B205" s="98" t="s">
        <v>261</v>
      </c>
      <c r="C205" s="98">
        <v>10</v>
      </c>
      <c r="D205" s="98" t="str">
        <f t="shared" si="3"/>
        <v>PN320-DN10</v>
      </c>
      <c r="E205" s="98">
        <v>125</v>
      </c>
      <c r="F205" s="98">
        <v>85</v>
      </c>
      <c r="G205" s="98">
        <v>44</v>
      </c>
      <c r="H205" s="98">
        <v>17.2</v>
      </c>
      <c r="I205" s="98">
        <v>18</v>
      </c>
      <c r="J205" s="98">
        <v>40</v>
      </c>
      <c r="K205" s="98"/>
      <c r="L205" s="98"/>
      <c r="M205" s="98">
        <v>22</v>
      </c>
      <c r="N205" s="98"/>
      <c r="O205" s="98">
        <v>28</v>
      </c>
      <c r="P205" s="98">
        <v>4</v>
      </c>
      <c r="Q205" s="98">
        <v>16</v>
      </c>
      <c r="R205" s="98"/>
    </row>
    <row r="206" spans="1:18">
      <c r="A206" s="98" t="s">
        <v>214</v>
      </c>
      <c r="B206" s="98" t="s">
        <v>261</v>
      </c>
      <c r="C206" s="98">
        <v>15</v>
      </c>
      <c r="D206" s="98" t="str">
        <f t="shared" si="3"/>
        <v>PN320-DN15</v>
      </c>
      <c r="E206" s="98">
        <v>130</v>
      </c>
      <c r="F206" s="98">
        <v>90</v>
      </c>
      <c r="G206" s="98">
        <v>48</v>
      </c>
      <c r="H206" s="98">
        <v>21.3</v>
      </c>
      <c r="I206" s="98">
        <v>18</v>
      </c>
      <c r="J206" s="98">
        <v>45</v>
      </c>
      <c r="K206" s="98"/>
      <c r="L206" s="98"/>
      <c r="M206" s="98">
        <v>24</v>
      </c>
      <c r="N206" s="98"/>
      <c r="O206" s="98">
        <v>28</v>
      </c>
      <c r="P206" s="98">
        <v>4</v>
      </c>
      <c r="Q206" s="98">
        <v>16</v>
      </c>
      <c r="R206" s="98"/>
    </row>
    <row r="207" spans="1:18">
      <c r="A207" s="98" t="s">
        <v>214</v>
      </c>
      <c r="B207" s="98" t="s">
        <v>261</v>
      </c>
      <c r="C207" s="98">
        <v>25</v>
      </c>
      <c r="D207" s="98" t="str">
        <f t="shared" si="3"/>
        <v>PN320-DN25</v>
      </c>
      <c r="E207" s="98">
        <v>160</v>
      </c>
      <c r="F207" s="98">
        <v>115</v>
      </c>
      <c r="G207" s="98">
        <v>68</v>
      </c>
      <c r="H207" s="98">
        <v>33.700000000000003</v>
      </c>
      <c r="I207" s="98">
        <v>22</v>
      </c>
      <c r="J207" s="98">
        <v>68</v>
      </c>
      <c r="K207" s="98"/>
      <c r="L207" s="98"/>
      <c r="M207" s="98">
        <v>32</v>
      </c>
      <c r="N207" s="98"/>
      <c r="O207" s="98">
        <v>36</v>
      </c>
      <c r="P207" s="98">
        <v>4</v>
      </c>
      <c r="Q207" s="98">
        <v>20</v>
      </c>
      <c r="R207" s="98"/>
    </row>
    <row r="208" spans="1:18">
      <c r="A208" s="98" t="s">
        <v>214</v>
      </c>
      <c r="B208" s="98" t="s">
        <v>261</v>
      </c>
      <c r="C208" s="98">
        <v>40</v>
      </c>
      <c r="D208" s="98" t="str">
        <f t="shared" si="3"/>
        <v>PN320-DN40</v>
      </c>
      <c r="E208" s="98">
        <v>195</v>
      </c>
      <c r="F208" s="98">
        <v>145</v>
      </c>
      <c r="G208" s="98">
        <v>92</v>
      </c>
      <c r="H208" s="98">
        <v>48.3</v>
      </c>
      <c r="I208" s="98">
        <v>26</v>
      </c>
      <c r="J208" s="98">
        <v>88</v>
      </c>
      <c r="K208" s="98"/>
      <c r="L208" s="98"/>
      <c r="M208" s="98">
        <v>35</v>
      </c>
      <c r="N208" s="98"/>
      <c r="O208" s="98">
        <v>40</v>
      </c>
      <c r="P208" s="98">
        <v>4</v>
      </c>
      <c r="Q208" s="98">
        <v>24</v>
      </c>
      <c r="R208" s="98"/>
    </row>
    <row r="209" spans="1:18">
      <c r="A209" s="98" t="s">
        <v>214</v>
      </c>
      <c r="B209" s="98" t="s">
        <v>261</v>
      </c>
      <c r="C209" s="98">
        <v>50</v>
      </c>
      <c r="D209" s="98" t="str">
        <f t="shared" si="3"/>
        <v>PN320-DN50</v>
      </c>
      <c r="E209" s="98">
        <v>210</v>
      </c>
      <c r="F209" s="98">
        <v>160</v>
      </c>
      <c r="G209" s="98">
        <v>106</v>
      </c>
      <c r="H209" s="98">
        <v>60.3</v>
      </c>
      <c r="I209" s="98">
        <v>26</v>
      </c>
      <c r="J209" s="98">
        <v>102</v>
      </c>
      <c r="K209" s="98"/>
      <c r="L209" s="98"/>
      <c r="M209" s="98">
        <v>39</v>
      </c>
      <c r="N209" s="98"/>
      <c r="O209" s="98">
        <v>48</v>
      </c>
      <c r="P209" s="98">
        <v>8</v>
      </c>
      <c r="Q209" s="98">
        <v>24</v>
      </c>
      <c r="R209" s="98"/>
    </row>
    <row r="210" spans="1:18">
      <c r="A210" s="98" t="s">
        <v>214</v>
      </c>
      <c r="B210" s="98" t="s">
        <v>261</v>
      </c>
      <c r="C210" s="98">
        <v>65</v>
      </c>
      <c r="D210" s="98" t="str">
        <f t="shared" si="3"/>
        <v>PN320-DN65</v>
      </c>
      <c r="E210" s="98">
        <v>255</v>
      </c>
      <c r="F210" s="98">
        <v>200</v>
      </c>
      <c r="G210" s="98">
        <v>138</v>
      </c>
      <c r="H210" s="98">
        <v>76.099999999999994</v>
      </c>
      <c r="I210" s="98">
        <v>30</v>
      </c>
      <c r="J210" s="98">
        <v>122</v>
      </c>
      <c r="K210" s="98"/>
      <c r="L210" s="98"/>
      <c r="M210" s="98">
        <v>48</v>
      </c>
      <c r="N210" s="98"/>
      <c r="O210" s="98">
        <v>57</v>
      </c>
      <c r="P210" s="98">
        <v>8</v>
      </c>
      <c r="Q210" s="98">
        <v>27</v>
      </c>
      <c r="R210" s="98"/>
    </row>
    <row r="211" spans="1:18">
      <c r="A211" s="98" t="s">
        <v>214</v>
      </c>
      <c r="B211" s="98" t="s">
        <v>261</v>
      </c>
      <c r="C211" s="98">
        <v>80</v>
      </c>
      <c r="D211" s="98" t="str">
        <f t="shared" si="3"/>
        <v>PN320-DN80</v>
      </c>
      <c r="E211" s="98">
        <v>275</v>
      </c>
      <c r="F211" s="98">
        <v>220</v>
      </c>
      <c r="G211" s="98">
        <v>156</v>
      </c>
      <c r="H211" s="98">
        <v>88.9</v>
      </c>
      <c r="I211" s="98">
        <v>30</v>
      </c>
      <c r="J211" s="98">
        <v>138</v>
      </c>
      <c r="K211" s="98"/>
      <c r="L211" s="98"/>
      <c r="M211" s="98">
        <v>52</v>
      </c>
      <c r="N211" s="98"/>
      <c r="O211" s="98">
        <v>61</v>
      </c>
      <c r="P211" s="98">
        <v>8</v>
      </c>
      <c r="Q211" s="98">
        <v>27</v>
      </c>
      <c r="R211" s="98"/>
    </row>
    <row r="212" spans="1:18">
      <c r="A212" s="98" t="s">
        <v>214</v>
      </c>
      <c r="B212" s="98" t="s">
        <v>261</v>
      </c>
      <c r="C212" s="98">
        <v>100</v>
      </c>
      <c r="D212" s="98" t="str">
        <f t="shared" si="3"/>
        <v>PN320-DN100</v>
      </c>
      <c r="E212" s="98">
        <v>335</v>
      </c>
      <c r="F212" s="98">
        <v>265</v>
      </c>
      <c r="G212" s="98">
        <v>186</v>
      </c>
      <c r="H212" s="98">
        <v>114.3</v>
      </c>
      <c r="I212" s="98">
        <v>36</v>
      </c>
      <c r="J212" s="98">
        <v>162</v>
      </c>
      <c r="K212" s="98"/>
      <c r="L212" s="98"/>
      <c r="M212" s="98">
        <v>62</v>
      </c>
      <c r="N212" s="98"/>
      <c r="O212" s="98">
        <v>64</v>
      </c>
      <c r="P212" s="98">
        <v>8</v>
      </c>
      <c r="Q212" s="98">
        <v>33</v>
      </c>
      <c r="R212" s="98"/>
    </row>
    <row r="213" spans="1:18">
      <c r="A213" s="98" t="s">
        <v>214</v>
      </c>
      <c r="B213" s="98" t="s">
        <v>261</v>
      </c>
      <c r="C213" s="98">
        <v>125</v>
      </c>
      <c r="D213" s="98" t="str">
        <f t="shared" si="3"/>
        <v>PN320-DN125</v>
      </c>
      <c r="E213" s="98">
        <v>380</v>
      </c>
      <c r="F213" s="98">
        <v>310</v>
      </c>
      <c r="G213" s="98">
        <v>230</v>
      </c>
      <c r="H213" s="98">
        <v>139.69999999999999</v>
      </c>
      <c r="I213" s="98">
        <v>36</v>
      </c>
      <c r="J213" s="98">
        <v>188</v>
      </c>
      <c r="K213" s="98"/>
      <c r="L213" s="98"/>
      <c r="M213" s="98">
        <v>72</v>
      </c>
      <c r="N213" s="98"/>
      <c r="O213" s="98">
        <v>80</v>
      </c>
      <c r="P213" s="98">
        <v>12</v>
      </c>
      <c r="Q213" s="98">
        <v>33</v>
      </c>
      <c r="R213" s="98"/>
    </row>
    <row r="214" spans="1:18">
      <c r="A214" s="98" t="s">
        <v>214</v>
      </c>
      <c r="B214" s="98" t="s">
        <v>261</v>
      </c>
      <c r="C214" s="98">
        <v>150</v>
      </c>
      <c r="D214" s="98" t="str">
        <f t="shared" si="3"/>
        <v>PN320-DN150</v>
      </c>
      <c r="E214" s="98">
        <v>425</v>
      </c>
      <c r="F214" s="98">
        <v>350</v>
      </c>
      <c r="G214" s="98">
        <v>265</v>
      </c>
      <c r="H214" s="98">
        <v>168.3</v>
      </c>
      <c r="I214" s="98">
        <v>39</v>
      </c>
      <c r="J214" s="98">
        <v>218</v>
      </c>
      <c r="K214" s="98"/>
      <c r="L214" s="98"/>
      <c r="M214" s="98">
        <v>81</v>
      </c>
      <c r="N214" s="98"/>
      <c r="O214" s="98">
        <v>86</v>
      </c>
      <c r="P214" s="98">
        <v>12</v>
      </c>
      <c r="Q214" s="98">
        <v>36</v>
      </c>
      <c r="R214" s="98"/>
    </row>
    <row r="215" spans="1:18">
      <c r="A215" s="98" t="s">
        <v>214</v>
      </c>
      <c r="B215" s="98" t="s">
        <v>261</v>
      </c>
      <c r="C215" s="98">
        <v>200</v>
      </c>
      <c r="D215" s="98" t="str">
        <f t="shared" si="3"/>
        <v>PN320-DN200</v>
      </c>
      <c r="E215" s="98">
        <v>525</v>
      </c>
      <c r="F215" s="98">
        <v>440</v>
      </c>
      <c r="G215" s="98">
        <v>345</v>
      </c>
      <c r="H215" s="98">
        <v>219.1</v>
      </c>
      <c r="I215" s="98">
        <v>42</v>
      </c>
      <c r="J215" s="98">
        <v>285</v>
      </c>
      <c r="K215" s="98"/>
      <c r="L215" s="98"/>
      <c r="M215" s="98">
        <v>100</v>
      </c>
      <c r="N215" s="98"/>
      <c r="O215" s="98">
        <v>102</v>
      </c>
      <c r="P215" s="98">
        <v>16</v>
      </c>
      <c r="Q215" s="98">
        <v>39</v>
      </c>
      <c r="R215" s="98"/>
    </row>
    <row r="216" spans="1:18">
      <c r="A216" s="98" t="s">
        <v>214</v>
      </c>
      <c r="B216" s="98" t="s">
        <v>261</v>
      </c>
      <c r="C216" s="98">
        <v>250</v>
      </c>
      <c r="D216" s="98" t="str">
        <f t="shared" si="3"/>
        <v>PN320-DN250</v>
      </c>
      <c r="E216" s="98">
        <v>640</v>
      </c>
      <c r="F216" s="98">
        <v>540</v>
      </c>
      <c r="G216" s="98">
        <v>428</v>
      </c>
      <c r="H216" s="98">
        <v>273</v>
      </c>
      <c r="I216" s="98">
        <v>52</v>
      </c>
      <c r="J216" s="98">
        <v>345</v>
      </c>
      <c r="K216" s="98"/>
      <c r="L216" s="98"/>
      <c r="M216" s="98">
        <v>122</v>
      </c>
      <c r="N216" s="98"/>
      <c r="O216" s="98">
        <v>135</v>
      </c>
      <c r="P216" s="98">
        <v>16</v>
      </c>
      <c r="Q216" s="98">
        <v>48</v>
      </c>
      <c r="R216" s="98"/>
    </row>
    <row r="217" spans="1:18">
      <c r="A217" s="207" t="s">
        <v>214</v>
      </c>
      <c r="B217" s="207" t="s">
        <v>258</v>
      </c>
      <c r="C217" s="98">
        <v>400</v>
      </c>
      <c r="D217" s="98" t="str">
        <f t="shared" si="3"/>
        <v>PN100-DN400</v>
      </c>
      <c r="E217" s="98">
        <v>685.8</v>
      </c>
      <c r="F217" s="98">
        <v>603.29999999999995</v>
      </c>
      <c r="G217" s="98">
        <v>495.3</v>
      </c>
      <c r="H217" s="98">
        <v>406.4</v>
      </c>
      <c r="I217" s="98">
        <v>48</v>
      </c>
      <c r="J217" s="98">
        <v>551.29999999999995</v>
      </c>
      <c r="K217" s="98">
        <v>422</v>
      </c>
      <c r="L217" s="98">
        <v>456</v>
      </c>
      <c r="M217" s="98">
        <v>78.599999999999994</v>
      </c>
      <c r="N217" s="98"/>
      <c r="O217" s="98">
        <f>184.2-84</f>
        <v>100.19999999999999</v>
      </c>
      <c r="P217" s="98">
        <v>20</v>
      </c>
      <c r="Q217" s="98">
        <v>39</v>
      </c>
      <c r="R217" s="98"/>
    </row>
    <row r="218" spans="1:18">
      <c r="A218" s="207" t="s">
        <v>214</v>
      </c>
      <c r="B218" s="207" t="s">
        <v>258</v>
      </c>
      <c r="C218" s="98">
        <v>500</v>
      </c>
      <c r="D218" s="98" t="str">
        <f t="shared" si="3"/>
        <v>PN100-DN500</v>
      </c>
      <c r="E218" s="98">
        <v>870</v>
      </c>
      <c r="F218" s="98">
        <v>760</v>
      </c>
      <c r="G218" s="98"/>
      <c r="H218" s="98"/>
      <c r="I218" s="98">
        <v>56</v>
      </c>
      <c r="J218" s="98"/>
      <c r="K218" s="98"/>
      <c r="L218" s="98"/>
      <c r="M218" s="98"/>
      <c r="N218" s="98"/>
      <c r="O218" s="98"/>
      <c r="P218" s="98">
        <v>20</v>
      </c>
      <c r="Q218" s="98">
        <v>52</v>
      </c>
      <c r="R218" s="98"/>
    </row>
    <row r="219" spans="1:18">
      <c r="A219" s="207" t="s">
        <v>214</v>
      </c>
      <c r="B219" s="207" t="s">
        <v>259</v>
      </c>
      <c r="C219" s="98">
        <v>600</v>
      </c>
      <c r="D219" s="98" t="str">
        <f t="shared" si="3"/>
        <v>PN160-DN600</v>
      </c>
      <c r="E219" s="98">
        <v>1041.4000000000001</v>
      </c>
      <c r="F219" s="98">
        <v>901.7</v>
      </c>
      <c r="G219" s="98">
        <v>749.3</v>
      </c>
      <c r="H219" s="98">
        <v>609.6</v>
      </c>
      <c r="I219" s="98">
        <v>66.7</v>
      </c>
      <c r="J219" s="98">
        <v>825</v>
      </c>
      <c r="K219" s="98">
        <v>622</v>
      </c>
      <c r="L219" s="98">
        <v>656</v>
      </c>
      <c r="M219" s="98">
        <f>146.1-5</f>
        <v>141.1</v>
      </c>
      <c r="N219" s="98"/>
      <c r="O219" s="98">
        <f>298.5-146.1-22.4</f>
        <v>130</v>
      </c>
      <c r="P219" s="98">
        <v>20</v>
      </c>
      <c r="Q219" s="98">
        <v>64</v>
      </c>
      <c r="R219" s="98"/>
    </row>
    <row r="220" spans="1:18">
      <c r="A220" s="98"/>
      <c r="B220" s="98"/>
      <c r="C220" s="98"/>
      <c r="D220" s="98" t="str">
        <f t="shared" si="3"/>
        <v>-DN</v>
      </c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8"/>
    </row>
    <row r="221" spans="1:18">
      <c r="A221" s="98"/>
      <c r="B221" s="98"/>
      <c r="C221" s="98"/>
      <c r="D221" s="98" t="str">
        <f t="shared" si="3"/>
        <v>-DN</v>
      </c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</row>
    <row r="222" spans="1:18">
      <c r="A222" s="98"/>
      <c r="B222" s="98"/>
      <c r="C222" s="98"/>
      <c r="D222" s="98" t="str">
        <f t="shared" si="3"/>
        <v>-DN</v>
      </c>
      <c r="E222" s="9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8"/>
      <c r="Q222" s="98"/>
      <c r="R222" s="98"/>
    </row>
    <row r="223" spans="1:18">
      <c r="A223" s="98"/>
      <c r="B223" s="98"/>
      <c r="C223" s="98"/>
      <c r="D223" s="98" t="str">
        <f t="shared" si="3"/>
        <v>-DN</v>
      </c>
      <c r="E223" s="98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8"/>
      <c r="Q223" s="98"/>
      <c r="R223" s="98"/>
    </row>
    <row r="224" spans="1:18">
      <c r="A224" s="98"/>
      <c r="B224" s="98"/>
      <c r="C224" s="98"/>
      <c r="D224" s="98" t="str">
        <f t="shared" si="3"/>
        <v>-DN</v>
      </c>
      <c r="E224" s="98"/>
      <c r="F224" s="98"/>
      <c r="G224" s="98"/>
      <c r="H224" s="98"/>
      <c r="I224" s="98"/>
      <c r="J224" s="98"/>
      <c r="K224" s="98"/>
      <c r="L224" s="98"/>
      <c r="M224" s="98"/>
      <c r="N224" s="98"/>
      <c r="O224" s="98"/>
      <c r="P224" s="98"/>
      <c r="Q224" s="98"/>
      <c r="R224" s="98"/>
    </row>
    <row r="225" spans="1:18">
      <c r="A225" s="98"/>
      <c r="B225" s="98"/>
      <c r="C225" s="98"/>
      <c r="D225" s="98" t="str">
        <f t="shared" si="3"/>
        <v>-DN</v>
      </c>
      <c r="E225" s="98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</row>
    <row r="226" spans="1:18">
      <c r="A226" s="98"/>
      <c r="B226" s="98"/>
      <c r="C226" s="98"/>
      <c r="D226" s="98" t="str">
        <f t="shared" si="3"/>
        <v>-DN</v>
      </c>
      <c r="E226" s="98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8"/>
      <c r="Q226" s="98"/>
      <c r="R226" s="98"/>
    </row>
    <row r="227" spans="1:18">
      <c r="A227" s="98"/>
      <c r="B227" s="98"/>
      <c r="C227" s="98"/>
      <c r="D227" s="98" t="str">
        <f t="shared" si="3"/>
        <v>-DN</v>
      </c>
      <c r="E227" s="98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8"/>
      <c r="Q227" s="98"/>
      <c r="R227" s="98"/>
    </row>
    <row r="228" spans="1:18">
      <c r="A228" s="98"/>
      <c r="B228" s="98"/>
      <c r="C228" s="98"/>
      <c r="D228" s="98" t="str">
        <f t="shared" si="3"/>
        <v>-DN</v>
      </c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8"/>
      <c r="Q228" s="98"/>
      <c r="R228" s="98"/>
    </row>
    <row r="229" spans="1:18">
      <c r="A229" s="98"/>
      <c r="B229" s="98"/>
      <c r="C229" s="98"/>
      <c r="D229" s="98" t="str">
        <f t="shared" si="3"/>
        <v>-DN</v>
      </c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</row>
    <row r="230" spans="1:18">
      <c r="A230" s="98"/>
      <c r="B230" s="98"/>
      <c r="C230" s="98"/>
      <c r="D230" s="98" t="str">
        <f t="shared" si="3"/>
        <v>-DN</v>
      </c>
      <c r="E230" s="98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  <c r="Q230" s="98"/>
      <c r="R230" s="98"/>
    </row>
    <row r="231" spans="1:18">
      <c r="A231" s="98"/>
      <c r="B231" s="98"/>
      <c r="C231" s="98"/>
      <c r="D231" s="98" t="str">
        <f t="shared" si="3"/>
        <v>-DN</v>
      </c>
      <c r="E231" s="98"/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98"/>
      <c r="Q231" s="98"/>
      <c r="R231" s="98"/>
    </row>
    <row r="232" spans="1:18">
      <c r="A232" s="98"/>
      <c r="B232" s="98"/>
      <c r="C232" s="98"/>
      <c r="D232" s="98" t="str">
        <f t="shared" si="3"/>
        <v>-DN</v>
      </c>
      <c r="E232" s="98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8"/>
    </row>
    <row r="233" spans="1:18">
      <c r="A233" s="98"/>
      <c r="B233" s="98"/>
      <c r="C233" s="98"/>
      <c r="D233" s="98" t="str">
        <f t="shared" si="3"/>
        <v>-DN</v>
      </c>
      <c r="E233" s="98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</row>
    <row r="234" spans="1:18">
      <c r="A234" s="98"/>
      <c r="B234" s="98"/>
      <c r="C234" s="98"/>
      <c r="D234" s="98" t="str">
        <f t="shared" si="3"/>
        <v>-DN</v>
      </c>
      <c r="E234" s="98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8"/>
      <c r="Q234" s="98"/>
      <c r="R234" s="98"/>
    </row>
    <row r="235" spans="1:18">
      <c r="A235" s="98"/>
      <c r="B235" s="98"/>
      <c r="C235" s="98"/>
      <c r="D235" s="98" t="str">
        <f t="shared" si="3"/>
        <v>-DN</v>
      </c>
      <c r="E235" s="98"/>
      <c r="F235" s="98"/>
      <c r="G235" s="98"/>
      <c r="H235" s="98"/>
      <c r="I235" s="98"/>
      <c r="J235" s="98"/>
      <c r="K235" s="98"/>
      <c r="L235" s="98"/>
      <c r="M235" s="98"/>
      <c r="N235" s="98"/>
      <c r="O235" s="98"/>
      <c r="P235" s="98"/>
      <c r="Q235" s="98"/>
      <c r="R235" s="98"/>
    </row>
    <row r="236" spans="1:18">
      <c r="A236" s="98"/>
      <c r="B236" s="98"/>
      <c r="C236" s="98"/>
      <c r="D236" s="98" t="str">
        <f t="shared" si="3"/>
        <v>-DN</v>
      </c>
      <c r="E236" s="98"/>
      <c r="F236" s="98"/>
      <c r="G236" s="98"/>
      <c r="H236" s="98"/>
      <c r="I236" s="98"/>
      <c r="J236" s="98"/>
      <c r="K236" s="98"/>
      <c r="L236" s="98"/>
      <c r="M236" s="98"/>
      <c r="N236" s="98"/>
      <c r="O236" s="98"/>
      <c r="P236" s="98"/>
      <c r="Q236" s="98"/>
      <c r="R236" s="98"/>
    </row>
    <row r="237" spans="1:18">
      <c r="A237" s="98"/>
      <c r="B237" s="98"/>
      <c r="C237" s="98"/>
      <c r="D237" s="98" t="str">
        <f t="shared" si="3"/>
        <v>-DN</v>
      </c>
      <c r="E237" s="9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</row>
    <row r="238" spans="1:18">
      <c r="A238" s="98"/>
      <c r="B238" s="98"/>
      <c r="C238" s="98"/>
      <c r="D238" s="98" t="str">
        <f t="shared" si="3"/>
        <v>-DN</v>
      </c>
      <c r="E238" s="98"/>
      <c r="F238" s="98"/>
      <c r="G238" s="98"/>
      <c r="H238" s="98"/>
      <c r="I238" s="98"/>
      <c r="J238" s="98"/>
      <c r="K238" s="98"/>
      <c r="L238" s="98"/>
      <c r="M238" s="98"/>
      <c r="N238" s="98"/>
      <c r="O238" s="98"/>
      <c r="P238" s="98"/>
      <c r="Q238" s="98"/>
      <c r="R238" s="98"/>
    </row>
    <row r="239" spans="1:18">
      <c r="A239" s="98"/>
      <c r="B239" s="98"/>
      <c r="C239" s="98"/>
      <c r="D239" s="98" t="str">
        <f t="shared" si="3"/>
        <v>-DN</v>
      </c>
      <c r="E239" s="98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8"/>
      <c r="Q239" s="98"/>
      <c r="R239" s="98"/>
    </row>
    <row r="240" spans="1:18">
      <c r="A240" s="98"/>
      <c r="B240" s="98"/>
      <c r="C240" s="98"/>
      <c r="D240" s="98" t="str">
        <f t="shared" si="3"/>
        <v>-DN</v>
      </c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8"/>
      <c r="Q240" s="98"/>
      <c r="R240" s="98"/>
    </row>
    <row r="241" spans="1:18">
      <c r="A241" s="98"/>
      <c r="B241" s="98"/>
      <c r="C241" s="98"/>
      <c r="D241" s="98" t="str">
        <f t="shared" si="3"/>
        <v>-DN</v>
      </c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</row>
    <row r="242" spans="1:18">
      <c r="A242" s="98"/>
      <c r="B242" s="98"/>
      <c r="C242" s="98"/>
      <c r="D242" s="98" t="str">
        <f t="shared" si="3"/>
        <v>-DN</v>
      </c>
      <c r="E242" s="98"/>
      <c r="F242" s="98"/>
      <c r="G242" s="98"/>
      <c r="H242" s="98"/>
      <c r="I242" s="98"/>
      <c r="J242" s="98"/>
      <c r="K242" s="98"/>
      <c r="L242" s="98"/>
      <c r="M242" s="98"/>
      <c r="N242" s="98"/>
      <c r="O242" s="98"/>
      <c r="P242" s="98"/>
      <c r="Q242" s="98"/>
      <c r="R242" s="98"/>
    </row>
    <row r="243" spans="1:18">
      <c r="A243" s="98"/>
      <c r="B243" s="98"/>
      <c r="C243" s="98"/>
      <c r="D243" s="98" t="str">
        <f t="shared" si="3"/>
        <v>-DN</v>
      </c>
      <c r="E243" s="98"/>
      <c r="F243" s="98"/>
      <c r="G243" s="98"/>
      <c r="H243" s="98"/>
      <c r="I243" s="98"/>
      <c r="J243" s="98"/>
      <c r="K243" s="98"/>
      <c r="L243" s="98"/>
      <c r="M243" s="98"/>
      <c r="N243" s="98"/>
      <c r="O243" s="98"/>
      <c r="P243" s="98"/>
      <c r="Q243" s="98"/>
      <c r="R243" s="98"/>
    </row>
    <row r="244" spans="1:18">
      <c r="A244" s="98"/>
      <c r="B244" s="98"/>
      <c r="C244" s="98"/>
      <c r="D244" s="98" t="str">
        <f t="shared" si="3"/>
        <v>-DN</v>
      </c>
      <c r="E244" s="98"/>
      <c r="F244" s="98"/>
      <c r="G244" s="98"/>
      <c r="H244" s="98"/>
      <c r="I244" s="98"/>
      <c r="J244" s="98"/>
      <c r="K244" s="98"/>
      <c r="L244" s="98"/>
      <c r="M244" s="98"/>
      <c r="N244" s="98"/>
      <c r="O244" s="98"/>
      <c r="P244" s="98"/>
      <c r="Q244" s="98"/>
      <c r="R244" s="98"/>
    </row>
    <row r="245" spans="1:18">
      <c r="A245" s="98"/>
      <c r="B245" s="98"/>
      <c r="C245" s="98"/>
      <c r="D245" s="98" t="str">
        <f t="shared" si="3"/>
        <v>-DN</v>
      </c>
      <c r="E245" s="98"/>
      <c r="F245" s="98"/>
      <c r="G245" s="98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</row>
    <row r="246" spans="1:18">
      <c r="A246" s="98"/>
      <c r="B246" s="98"/>
      <c r="C246" s="98"/>
      <c r="D246" s="98" t="str">
        <f t="shared" si="3"/>
        <v>-DN</v>
      </c>
      <c r="E246" s="98"/>
      <c r="F246" s="98"/>
      <c r="G246" s="98"/>
      <c r="H246" s="98"/>
      <c r="I246" s="98"/>
      <c r="J246" s="98"/>
      <c r="K246" s="98"/>
      <c r="L246" s="98"/>
      <c r="M246" s="98"/>
      <c r="N246" s="98"/>
      <c r="O246" s="98"/>
      <c r="P246" s="98"/>
      <c r="Q246" s="98"/>
      <c r="R246" s="98"/>
    </row>
    <row r="247" spans="1:18">
      <c r="A247" s="98"/>
      <c r="B247" s="98"/>
      <c r="C247" s="98"/>
      <c r="D247" s="98" t="str">
        <f t="shared" si="3"/>
        <v>-DN</v>
      </c>
      <c r="E247" s="98"/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98"/>
      <c r="Q247" s="98"/>
      <c r="R247" s="98"/>
    </row>
    <row r="248" spans="1:18">
      <c r="A248" s="98"/>
      <c r="B248" s="98"/>
      <c r="C248" s="98"/>
      <c r="D248" s="98" t="str">
        <f t="shared" si="3"/>
        <v>-DN</v>
      </c>
      <c r="E248" s="98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8"/>
      <c r="Q248" s="98"/>
      <c r="R248" s="98"/>
    </row>
    <row r="249" spans="1:18">
      <c r="A249" s="98"/>
      <c r="B249" s="98"/>
      <c r="C249" s="98"/>
      <c r="D249" s="98" t="str">
        <f t="shared" si="3"/>
        <v>-DN</v>
      </c>
      <c r="E249" s="98"/>
      <c r="F249" s="98"/>
      <c r="G249" s="98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</row>
    <row r="250" spans="1:18">
      <c r="A250" s="98"/>
      <c r="B250" s="98"/>
      <c r="C250" s="98"/>
      <c r="D250" s="98" t="str">
        <f t="shared" si="3"/>
        <v>-DN</v>
      </c>
      <c r="E250" s="98"/>
      <c r="F250" s="98"/>
      <c r="G250" s="98"/>
      <c r="H250" s="98"/>
      <c r="I250" s="98"/>
      <c r="J250" s="98"/>
      <c r="K250" s="98"/>
      <c r="L250" s="98"/>
      <c r="M250" s="98"/>
      <c r="N250" s="98"/>
      <c r="O250" s="98"/>
      <c r="P250" s="98"/>
      <c r="Q250" s="98"/>
      <c r="R250" s="98"/>
    </row>
    <row r="251" spans="1:18">
      <c r="A251" s="98"/>
      <c r="B251" s="98"/>
      <c r="C251" s="98"/>
      <c r="D251" s="98" t="str">
        <f t="shared" si="3"/>
        <v>-DN</v>
      </c>
      <c r="E251" s="98"/>
      <c r="F251" s="98"/>
      <c r="G251" s="98"/>
      <c r="H251" s="98"/>
      <c r="I251" s="98"/>
      <c r="J251" s="98"/>
      <c r="K251" s="98"/>
      <c r="L251" s="98"/>
      <c r="M251" s="98"/>
      <c r="N251" s="98"/>
      <c r="O251" s="98"/>
      <c r="P251" s="98"/>
      <c r="Q251" s="98"/>
      <c r="R251" s="98"/>
    </row>
    <row r="252" spans="1:18">
      <c r="A252" s="98"/>
      <c r="B252" s="98"/>
      <c r="C252" s="98"/>
      <c r="D252" s="98" t="str">
        <f t="shared" si="3"/>
        <v>-DN</v>
      </c>
      <c r="E252" s="98"/>
      <c r="F252" s="98"/>
      <c r="G252" s="98"/>
      <c r="H252" s="98"/>
      <c r="I252" s="98"/>
      <c r="J252" s="98"/>
      <c r="K252" s="98"/>
      <c r="L252" s="98"/>
      <c r="M252" s="98"/>
      <c r="N252" s="98"/>
      <c r="O252" s="98"/>
      <c r="P252" s="98"/>
      <c r="Q252" s="98"/>
      <c r="R252" s="98"/>
    </row>
  </sheetData>
  <mergeCells count="19">
    <mergeCell ref="W9:X9"/>
    <mergeCell ref="W1:X1"/>
    <mergeCell ref="W2:W3"/>
    <mergeCell ref="W4:X4"/>
    <mergeCell ref="W5:W6"/>
    <mergeCell ref="W7:W8"/>
    <mergeCell ref="W48:W49"/>
    <mergeCell ref="Y48:Y49"/>
    <mergeCell ref="W10:W12"/>
    <mergeCell ref="W15:W19"/>
    <mergeCell ref="W20:W25"/>
    <mergeCell ref="W26:W30"/>
    <mergeCell ref="W31:W35"/>
    <mergeCell ref="W36:W40"/>
    <mergeCell ref="W41:W43"/>
    <mergeCell ref="W44:W45"/>
    <mergeCell ref="Y44:Y45"/>
    <mergeCell ref="W46:W47"/>
    <mergeCell ref="Y46:Y47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str.1</vt:lpstr>
      <vt:lpstr>str.2</vt:lpstr>
      <vt:lpstr>str.3</vt:lpstr>
      <vt:lpstr>Pomonicza_sruby</vt:lpstr>
      <vt:lpstr>Pomocnicza_Materiały_ŚRUBA</vt:lpstr>
      <vt:lpstr>Pomocnicza_Materiały_KRYZA</vt:lpstr>
      <vt:lpstr>Pomocnicza_kołnierze</vt:lpstr>
      <vt:lpstr>str.1!Print_Area</vt:lpstr>
      <vt:lpstr>str.2!Print_Area</vt:lpstr>
      <vt:lpstr>str.3!Print_Area</vt:lpstr>
    </vt:vector>
  </TitlesOfParts>
  <Company>PROCHEM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stol1083</dc:creator>
  <cp:lastModifiedBy>Maciej Urbański</cp:lastModifiedBy>
  <cp:lastPrinted>2009-04-30T11:01:24Z</cp:lastPrinted>
  <dcterms:created xsi:type="dcterms:W3CDTF">2007-01-09T10:18:53Z</dcterms:created>
  <dcterms:modified xsi:type="dcterms:W3CDTF">2021-04-21T13:19:05Z</dcterms:modified>
</cp:coreProperties>
</file>