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24226"/>
  <mc:AlternateContent xmlns:mc="http://schemas.openxmlformats.org/markup-compatibility/2006">
    <mc:Choice Requires="x15">
      <x15ac:absPath xmlns:x15ac="http://schemas.microsoft.com/office/spreadsheetml/2010/11/ac" url="https://d.docs.live.net/2f5872cf2fea88fa/Υπολογιστής/διπλωματική/"/>
    </mc:Choice>
  </mc:AlternateContent>
  <xr:revisionPtr revIDLastSave="43" documentId="13_ncr:1_{CDF4B88A-C431-4BE6-8F77-4F38CB24091A}" xr6:coauthVersionLast="46" xr6:coauthVersionMax="46" xr10:uidLastSave="{36D25E57-C79B-4433-9788-29F09C35DEBF}"/>
  <bookViews>
    <workbookView xWindow="-108" yWindow="-108" windowWidth="23256" windowHeight="12576" activeTab="2" xr2:uid="{00000000-000D-0000-FFFF-FFFF00000000}"/>
  </bookViews>
  <sheets>
    <sheet name="Klinkenberg60bar" sheetId="10" r:id="rId1"/>
    <sheet name="second order slip equation" sheetId="11" r:id="rId2"/>
    <sheet name="Klinkenberg150bar" sheetId="12" r:id="rId3"/>
  </sheets>
  <externalReferences>
    <externalReference r:id="rId4"/>
    <externalReference r:id="rId5"/>
  </externalReferences>
  <calcPr calcId="181029"/>
</workbook>
</file>

<file path=xl/calcChain.xml><?xml version="1.0" encoding="utf-8"?>
<calcChain xmlns="http://schemas.openxmlformats.org/spreadsheetml/2006/main">
  <c r="AK39" i="12" l="1"/>
  <c r="AE43" i="12"/>
  <c r="AC33" i="12"/>
  <c r="AG33" i="12"/>
  <c r="AE33" i="12"/>
  <c r="AD33" i="12"/>
  <c r="AJ4" i="12"/>
  <c r="AC23" i="12" l="1"/>
  <c r="O2" i="11"/>
  <c r="AK21" i="12" l="1"/>
  <c r="AD23" i="12"/>
  <c r="AK4" i="12"/>
  <c r="AE39" i="12"/>
  <c r="AE36" i="12"/>
  <c r="Y37" i="12"/>
  <c r="X37" i="12" s="1"/>
  <c r="Z37" i="12"/>
  <c r="AL36" i="12"/>
  <c r="AK36" i="12" l="1"/>
  <c r="Z40" i="12"/>
  <c r="Z34" i="12"/>
  <c r="AK33" i="12"/>
  <c r="AF23" i="12"/>
  <c r="T43" i="12" l="1"/>
  <c r="S40" i="12" l="1"/>
  <c r="S37" i="12"/>
  <c r="R40" i="12" s="1"/>
  <c r="Q37" i="12"/>
  <c r="D2" i="12"/>
  <c r="O16" i="11"/>
  <c r="N16" i="11"/>
  <c r="I2" i="11"/>
  <c r="M2" i="11"/>
  <c r="N2" i="11" s="1"/>
  <c r="AD21" i="11"/>
  <c r="AC21" i="11"/>
  <c r="L106" i="10"/>
  <c r="K106" i="10"/>
  <c r="I2" i="10"/>
  <c r="E2" i="10"/>
  <c r="Q2" i="11"/>
  <c r="V2" i="11" s="1"/>
  <c r="W9" i="11" l="1"/>
  <c r="V9" i="11"/>
  <c r="M10" i="11"/>
  <c r="O14" i="11"/>
  <c r="N14" i="11"/>
  <c r="O47" i="12" l="1"/>
  <c r="N41" i="11"/>
  <c r="M51" i="12"/>
  <c r="L51" i="12"/>
  <c r="O37" i="12" l="1"/>
  <c r="H4" i="12" l="1"/>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H36" i="12"/>
  <c r="H37" i="12"/>
  <c r="H38" i="12"/>
  <c r="H39" i="12"/>
  <c r="H40" i="12"/>
  <c r="H41" i="12"/>
  <c r="H42" i="12"/>
  <c r="H43" i="12"/>
  <c r="H44" i="12"/>
  <c r="H45" i="12"/>
  <c r="H3" i="12"/>
  <c r="H2" i="12"/>
  <c r="H7" i="11" l="1"/>
  <c r="E7" i="11"/>
  <c r="E6" i="11"/>
  <c r="D5" i="11"/>
  <c r="H3" i="11"/>
  <c r="H4" i="11"/>
  <c r="H5" i="11"/>
  <c r="H6" i="11"/>
  <c r="H8" i="11"/>
  <c r="H9" i="11"/>
  <c r="H10" i="11"/>
  <c r="H11" i="11"/>
  <c r="H12" i="11"/>
  <c r="H13" i="11"/>
  <c r="H14" i="11"/>
  <c r="H15" i="11"/>
  <c r="H16" i="11"/>
  <c r="H17" i="11"/>
  <c r="H18" i="11"/>
  <c r="H19" i="11"/>
  <c r="H20" i="11"/>
  <c r="H21" i="11"/>
  <c r="H22" i="11"/>
  <c r="H23" i="11"/>
  <c r="H24" i="11"/>
  <c r="H25" i="11"/>
  <c r="H26" i="11"/>
  <c r="H27" i="11"/>
  <c r="H28" i="11"/>
  <c r="H29" i="11"/>
  <c r="H30" i="11"/>
  <c r="H31" i="11"/>
  <c r="H32" i="11"/>
  <c r="H33" i="11"/>
  <c r="H34" i="11"/>
  <c r="H35" i="11"/>
  <c r="H36" i="11"/>
  <c r="H37" i="11"/>
  <c r="H2" i="11"/>
  <c r="H69" i="10"/>
  <c r="H66" i="10"/>
  <c r="H67" i="10"/>
  <c r="H68"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65" i="10"/>
  <c r="H13" i="10"/>
  <c r="H3" i="10"/>
  <c r="H4" i="10"/>
  <c r="H5" i="10"/>
  <c r="H6" i="10"/>
  <c r="H7" i="10"/>
  <c r="H8" i="10"/>
  <c r="H9" i="10"/>
  <c r="H10" i="10"/>
  <c r="H11" i="10"/>
  <c r="H12"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52" i="10"/>
  <c r="H53" i="10"/>
  <c r="H54" i="10"/>
  <c r="H55" i="10"/>
  <c r="H56" i="10"/>
  <c r="H57" i="10"/>
  <c r="H58" i="10"/>
  <c r="H59" i="10"/>
  <c r="H60" i="10"/>
  <c r="H61" i="10"/>
  <c r="H62" i="10"/>
  <c r="H63" i="10"/>
  <c r="H2" i="10"/>
  <c r="P7" i="11" l="1"/>
  <c r="R9" i="11"/>
  <c r="AL33" i="12" l="1"/>
  <c r="AI33" i="12"/>
  <c r="AL39" i="12" l="1"/>
  <c r="AF28" i="12" l="1"/>
  <c r="AG28" i="12"/>
  <c r="AG23" i="12"/>
  <c r="AI28" i="12"/>
  <c r="AI23" i="12"/>
  <c r="AK26" i="12" l="1"/>
  <c r="AF16" i="12" l="1"/>
  <c r="AC16" i="12" l="1"/>
  <c r="AB16" i="12"/>
  <c r="AE16" i="12" s="1"/>
  <c r="AA4" i="12"/>
  <c r="AA9" i="12"/>
  <c r="AA6" i="12"/>
  <c r="AB6" i="12" s="1"/>
  <c r="AD4" i="12"/>
  <c r="AB4" i="12" l="1"/>
  <c r="O9" i="11" l="1"/>
  <c r="E100" i="10"/>
  <c r="D100" i="10"/>
  <c r="E99" i="10"/>
  <c r="I99" i="10" s="1"/>
  <c r="J99" i="10" s="1"/>
  <c r="D99" i="10"/>
  <c r="E98" i="10"/>
  <c r="I98" i="10" s="1"/>
  <c r="J98" i="10" s="1"/>
  <c r="D98" i="10"/>
  <c r="E97" i="10"/>
  <c r="I97" i="10" s="1"/>
  <c r="J97" i="10" s="1"/>
  <c r="D97" i="10"/>
  <c r="E96" i="10"/>
  <c r="I96" i="10" s="1"/>
  <c r="J96" i="10" s="1"/>
  <c r="D96" i="10"/>
  <c r="E95" i="10"/>
  <c r="I95" i="10" s="1"/>
  <c r="J95" i="10" s="1"/>
  <c r="D95" i="10"/>
  <c r="E94" i="10"/>
  <c r="I94" i="10" s="1"/>
  <c r="J94" i="10" s="1"/>
  <c r="D94" i="10"/>
  <c r="E93" i="10"/>
  <c r="I93" i="10" s="1"/>
  <c r="J93" i="10" s="1"/>
  <c r="D93" i="10"/>
  <c r="E92" i="10"/>
  <c r="I92" i="10" s="1"/>
  <c r="J92" i="10" s="1"/>
  <c r="D92" i="10"/>
  <c r="E91" i="10"/>
  <c r="I91" i="10" s="1"/>
  <c r="J91" i="10" s="1"/>
  <c r="D91" i="10"/>
  <c r="E90" i="10"/>
  <c r="I90" i="10" s="1"/>
  <c r="J90" i="10" s="1"/>
  <c r="D90" i="10"/>
  <c r="E89" i="10"/>
  <c r="D89" i="10"/>
  <c r="I88" i="10"/>
  <c r="J88" i="10" s="1"/>
  <c r="E88" i="10"/>
  <c r="D88" i="10"/>
  <c r="E87" i="10"/>
  <c r="I87" i="10" s="1"/>
  <c r="J87" i="10" s="1"/>
  <c r="D87" i="10"/>
  <c r="E86" i="10"/>
  <c r="I86" i="10" s="1"/>
  <c r="J86" i="10" s="1"/>
  <c r="D86" i="10"/>
  <c r="I85" i="10"/>
  <c r="J85" i="10" s="1"/>
  <c r="E85" i="10"/>
  <c r="D85" i="10"/>
  <c r="E84" i="10"/>
  <c r="I84" i="10" s="1"/>
  <c r="J84" i="10" s="1"/>
  <c r="D84" i="10"/>
  <c r="E83" i="10"/>
  <c r="I83" i="10" s="1"/>
  <c r="J83" i="10" s="1"/>
  <c r="D83" i="10"/>
  <c r="E82" i="10"/>
  <c r="I82" i="10" s="1"/>
  <c r="J82" i="10" s="1"/>
  <c r="D82" i="10"/>
  <c r="E81" i="10"/>
  <c r="I81" i="10" s="1"/>
  <c r="J81" i="10" s="1"/>
  <c r="D81" i="10"/>
  <c r="I80" i="10"/>
  <c r="J80" i="10" s="1"/>
  <c r="E80" i="10"/>
  <c r="D80" i="10"/>
  <c r="E79" i="10"/>
  <c r="I79" i="10" s="1"/>
  <c r="J79" i="10" s="1"/>
  <c r="D79" i="10"/>
  <c r="E78" i="10"/>
  <c r="I78" i="10" s="1"/>
  <c r="J78" i="10" s="1"/>
  <c r="D78" i="10"/>
  <c r="I77" i="10"/>
  <c r="J77" i="10" s="1"/>
  <c r="E77" i="10"/>
  <c r="D77" i="10"/>
  <c r="E76" i="10"/>
  <c r="I76" i="10" s="1"/>
  <c r="J76" i="10" s="1"/>
  <c r="D76" i="10"/>
  <c r="E75" i="10"/>
  <c r="I75" i="10" s="1"/>
  <c r="J75" i="10" s="1"/>
  <c r="D75" i="10"/>
  <c r="E74" i="10"/>
  <c r="I74" i="10" s="1"/>
  <c r="J74" i="10" s="1"/>
  <c r="D74" i="10"/>
  <c r="E73" i="10"/>
  <c r="I73" i="10" s="1"/>
  <c r="J73" i="10" s="1"/>
  <c r="D73" i="10"/>
  <c r="E72" i="10"/>
  <c r="I72" i="10" s="1"/>
  <c r="J72" i="10" s="1"/>
  <c r="D72" i="10"/>
  <c r="E71" i="10"/>
  <c r="I71" i="10" s="1"/>
  <c r="J71" i="10" s="1"/>
  <c r="D71" i="10"/>
  <c r="E70" i="10"/>
  <c r="I70" i="10" s="1"/>
  <c r="J70" i="10" s="1"/>
  <c r="D70" i="10"/>
  <c r="E69" i="10"/>
  <c r="I69" i="10" s="1"/>
  <c r="J69" i="10" s="1"/>
  <c r="D69" i="10"/>
  <c r="E68" i="10"/>
  <c r="I68" i="10" s="1"/>
  <c r="J68" i="10" s="1"/>
  <c r="D68" i="10"/>
  <c r="E67" i="10"/>
  <c r="I67" i="10" s="1"/>
  <c r="J67" i="10" s="1"/>
  <c r="D67" i="10"/>
  <c r="E66" i="10"/>
  <c r="I66" i="10" s="1"/>
  <c r="J66" i="10" s="1"/>
  <c r="D66" i="10"/>
  <c r="I65" i="10"/>
  <c r="E65" i="10"/>
  <c r="D65" i="10"/>
  <c r="I89" i="10" l="1"/>
  <c r="J89" i="10" s="1"/>
  <c r="I100" i="10"/>
  <c r="J100" i="10" s="1"/>
  <c r="K98" i="10" a="1"/>
  <c r="J65" i="10"/>
  <c r="J24" i="11"/>
  <c r="E37" i="11"/>
  <c r="I37" i="11" s="1"/>
  <c r="J37" i="11" s="1"/>
  <c r="D37" i="11"/>
  <c r="E36" i="11"/>
  <c r="I36" i="11" s="1"/>
  <c r="D36" i="11"/>
  <c r="I35" i="11"/>
  <c r="J35" i="11" s="1"/>
  <c r="E35" i="11"/>
  <c r="D35" i="11"/>
  <c r="E34" i="11"/>
  <c r="I34" i="11" s="1"/>
  <c r="J34" i="11" s="1"/>
  <c r="D34" i="11"/>
  <c r="E33" i="11"/>
  <c r="I33" i="11" s="1"/>
  <c r="J33" i="11" s="1"/>
  <c r="D33" i="11"/>
  <c r="E32" i="11"/>
  <c r="I32" i="11" s="1"/>
  <c r="J32" i="11" s="1"/>
  <c r="D32" i="11"/>
  <c r="E31" i="11"/>
  <c r="I31" i="11" s="1"/>
  <c r="J31" i="11" s="1"/>
  <c r="D31" i="11"/>
  <c r="I30" i="11"/>
  <c r="J30" i="11" s="1"/>
  <c r="E30" i="11"/>
  <c r="D30" i="11"/>
  <c r="E29" i="11"/>
  <c r="I29" i="11" s="1"/>
  <c r="J29" i="11" s="1"/>
  <c r="D29" i="11"/>
  <c r="E28" i="11"/>
  <c r="I28" i="11" s="1"/>
  <c r="J28" i="11" s="1"/>
  <c r="D28" i="11"/>
  <c r="I27" i="11"/>
  <c r="J27" i="11" s="1"/>
  <c r="E27" i="11"/>
  <c r="D27" i="11"/>
  <c r="E26" i="11"/>
  <c r="I26" i="11" s="1"/>
  <c r="J26" i="11" s="1"/>
  <c r="D26" i="11"/>
  <c r="E25" i="11"/>
  <c r="I25" i="11" s="1"/>
  <c r="J25" i="11" s="1"/>
  <c r="D25" i="11"/>
  <c r="E24" i="11"/>
  <c r="I24" i="11" s="1"/>
  <c r="D24" i="11"/>
  <c r="E23" i="11"/>
  <c r="I23" i="11" s="1"/>
  <c r="J23" i="11" s="1"/>
  <c r="D23" i="11"/>
  <c r="E22" i="11"/>
  <c r="I22" i="11" s="1"/>
  <c r="J22" i="11" s="1"/>
  <c r="D22" i="11"/>
  <c r="E21" i="11"/>
  <c r="I21" i="11" s="1"/>
  <c r="J21" i="11" s="1"/>
  <c r="D21" i="11"/>
  <c r="E20" i="11"/>
  <c r="I20" i="11" s="1"/>
  <c r="J20" i="11" s="1"/>
  <c r="D20" i="11"/>
  <c r="E19" i="11"/>
  <c r="I19" i="11" s="1"/>
  <c r="J19" i="11" s="1"/>
  <c r="D19" i="11"/>
  <c r="E18" i="11"/>
  <c r="I18" i="11" s="1"/>
  <c r="J18" i="11" s="1"/>
  <c r="D18" i="11"/>
  <c r="E17" i="11"/>
  <c r="I17" i="11" s="1"/>
  <c r="J17" i="11" s="1"/>
  <c r="D17" i="11"/>
  <c r="E16" i="11"/>
  <c r="I16" i="11" s="1"/>
  <c r="J16" i="11" s="1"/>
  <c r="D16" i="11"/>
  <c r="E15" i="11"/>
  <c r="I15" i="11" s="1"/>
  <c r="J15" i="11" s="1"/>
  <c r="D15" i="11"/>
  <c r="E14" i="11"/>
  <c r="I14" i="11" s="1"/>
  <c r="J14" i="11" s="1"/>
  <c r="D14" i="11"/>
  <c r="E13" i="11"/>
  <c r="I13" i="11" s="1"/>
  <c r="J13" i="11" s="1"/>
  <c r="D13" i="11"/>
  <c r="E12" i="11"/>
  <c r="I12" i="11" s="1"/>
  <c r="J12" i="11" s="1"/>
  <c r="D12" i="11"/>
  <c r="E11" i="11"/>
  <c r="I11" i="11" s="1"/>
  <c r="J11" i="11" s="1"/>
  <c r="D11" i="11"/>
  <c r="E10" i="11"/>
  <c r="I10" i="11" s="1"/>
  <c r="J10" i="11" s="1"/>
  <c r="D10" i="11"/>
  <c r="E9" i="11"/>
  <c r="I9" i="11" s="1"/>
  <c r="J9" i="11" s="1"/>
  <c r="D9" i="11"/>
  <c r="E8" i="11"/>
  <c r="I8" i="11" s="1"/>
  <c r="J8" i="11" s="1"/>
  <c r="D8" i="11"/>
  <c r="I7" i="11"/>
  <c r="J7" i="11" s="1"/>
  <c r="D7" i="11"/>
  <c r="I6" i="11"/>
  <c r="J6" i="11" s="1"/>
  <c r="D6" i="11"/>
  <c r="E5" i="11"/>
  <c r="I5" i="11" s="1"/>
  <c r="J5" i="11" s="1"/>
  <c r="E4" i="11"/>
  <c r="I4" i="11" s="1"/>
  <c r="J4" i="11" s="1"/>
  <c r="D4" i="11"/>
  <c r="E3" i="11"/>
  <c r="I3" i="11" s="1"/>
  <c r="J3" i="11" s="1"/>
  <c r="D3" i="11"/>
  <c r="E2" i="11"/>
  <c r="D2" i="11"/>
  <c r="J2" i="11" l="1"/>
  <c r="J36" i="11"/>
  <c r="W20" i="11" s="1" a="1"/>
  <c r="L101" i="10"/>
  <c r="L99" i="10"/>
  <c r="K101" i="10"/>
  <c r="K99" i="10"/>
  <c r="L102" i="10"/>
  <c r="L100" i="10"/>
  <c r="L98" i="10"/>
  <c r="O98" i="10" s="1"/>
  <c r="K102" i="10"/>
  <c r="K100" i="10"/>
  <c r="K98" i="10"/>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D8" i="12"/>
  <c r="D7" i="12"/>
  <c r="D6" i="12"/>
  <c r="D5" i="12"/>
  <c r="D4" i="12"/>
  <c r="D3" i="12"/>
  <c r="E18" i="12"/>
  <c r="E25" i="12"/>
  <c r="E45" i="12"/>
  <c r="E44" i="12"/>
  <c r="E43" i="12"/>
  <c r="E42" i="12"/>
  <c r="E41" i="12"/>
  <c r="E40" i="12"/>
  <c r="E39" i="12"/>
  <c r="E38" i="12"/>
  <c r="E37" i="12"/>
  <c r="E36" i="12"/>
  <c r="E35" i="12"/>
  <c r="E34" i="12"/>
  <c r="E33" i="12"/>
  <c r="E32" i="12"/>
  <c r="E31" i="12"/>
  <c r="E30" i="12"/>
  <c r="I30" i="12" s="1"/>
  <c r="E29" i="12"/>
  <c r="E28" i="12"/>
  <c r="E27" i="12"/>
  <c r="E26" i="12"/>
  <c r="E24" i="12"/>
  <c r="E23" i="12"/>
  <c r="E22" i="12"/>
  <c r="E21" i="12"/>
  <c r="E20" i="12"/>
  <c r="I20" i="12" s="1"/>
  <c r="E19" i="12"/>
  <c r="E3" i="12"/>
  <c r="I3" i="12" s="1"/>
  <c r="E4" i="12"/>
  <c r="I4" i="12" s="1"/>
  <c r="E5" i="12"/>
  <c r="I5" i="12" s="1"/>
  <c r="E6" i="12"/>
  <c r="I6" i="12" s="1"/>
  <c r="E7" i="12"/>
  <c r="I7" i="12" s="1"/>
  <c r="E8" i="12"/>
  <c r="I8" i="12" s="1"/>
  <c r="E9" i="12"/>
  <c r="I9" i="12" s="1"/>
  <c r="E10" i="12"/>
  <c r="I10" i="12" s="1"/>
  <c r="E11" i="12"/>
  <c r="I11" i="12" s="1"/>
  <c r="E12" i="12"/>
  <c r="I12" i="12" s="1"/>
  <c r="E13" i="12"/>
  <c r="I13" i="12" s="1"/>
  <c r="E14" i="12"/>
  <c r="I14" i="12" s="1"/>
  <c r="E15" i="12"/>
  <c r="I15" i="12" s="1"/>
  <c r="E16" i="12"/>
  <c r="I16" i="12" s="1"/>
  <c r="E17" i="12"/>
  <c r="I17" i="12" s="1"/>
  <c r="W20" i="11" l="1"/>
  <c r="X21" i="11"/>
  <c r="X24" i="11"/>
  <c r="X22" i="11"/>
  <c r="Y23" i="11"/>
  <c r="W23" i="11"/>
  <c r="Y21" i="11"/>
  <c r="W21" i="11"/>
  <c r="X20" i="11"/>
  <c r="Y24" i="11"/>
  <c r="X23" i="11"/>
  <c r="Y22" i="11"/>
  <c r="Y20" i="11"/>
  <c r="W24" i="11"/>
  <c r="W22" i="11"/>
  <c r="M106" i="10"/>
  <c r="M4" i="11"/>
  <c r="N4" i="11" s="1"/>
  <c r="I18" i="12"/>
  <c r="I25" i="12"/>
  <c r="I19" i="12"/>
  <c r="I45" i="12"/>
  <c r="I44" i="12"/>
  <c r="I43" i="12"/>
  <c r="I42" i="12"/>
  <c r="I41" i="12"/>
  <c r="I40" i="12"/>
  <c r="I39" i="12"/>
  <c r="I38" i="12"/>
  <c r="I37" i="12"/>
  <c r="I36" i="12"/>
  <c r="I35" i="12"/>
  <c r="I34" i="12"/>
  <c r="I33" i="12"/>
  <c r="I32" i="12"/>
  <c r="I31" i="12"/>
  <c r="I29" i="12"/>
  <c r="I28" i="12"/>
  <c r="I27" i="12"/>
  <c r="I26" i="12"/>
  <c r="I24" i="12"/>
  <c r="I23" i="12"/>
  <c r="I22" i="12"/>
  <c r="I21" i="12"/>
  <c r="AE21" i="11" l="1"/>
  <c r="L36" i="12" a="1"/>
  <c r="L36" i="12" s="1"/>
  <c r="E2" i="12"/>
  <c r="D2" i="10"/>
  <c r="I2" i="12" l="1"/>
  <c r="L38" i="12"/>
  <c r="M37" i="12"/>
  <c r="M40" i="12"/>
  <c r="M36" i="12"/>
  <c r="M39" i="12"/>
  <c r="M38" i="12"/>
  <c r="L39" i="12"/>
  <c r="L37" i="12"/>
  <c r="L40" i="12"/>
  <c r="M7" i="11"/>
  <c r="R2" i="11" s="1"/>
  <c r="P2" i="11"/>
  <c r="O39" i="12" l="1"/>
  <c r="AA12" i="12"/>
  <c r="R37" i="12"/>
  <c r="S2" i="11"/>
  <c r="AH8" i="12" l="1"/>
  <c r="AH11" i="12"/>
  <c r="W2" i="11"/>
  <c r="T6" i="11" s="1"/>
  <c r="D63" i="10"/>
  <c r="E63" i="10"/>
  <c r="I63" i="10" s="1"/>
  <c r="D62" i="10"/>
  <c r="E62" i="10"/>
  <c r="I62" i="10" s="1"/>
  <c r="D61" i="10"/>
  <c r="E61" i="10"/>
  <c r="I61" i="10" s="1"/>
  <c r="D60" i="10"/>
  <c r="E60" i="10"/>
  <c r="I60" i="10" s="1"/>
  <c r="D59" i="10"/>
  <c r="E59" i="10"/>
  <c r="I59" i="10" s="1"/>
  <c r="D58" i="10"/>
  <c r="E58" i="10"/>
  <c r="I58" i="10"/>
  <c r="D57" i="10"/>
  <c r="E57" i="10"/>
  <c r="I57" i="10" s="1"/>
  <c r="D56" i="10"/>
  <c r="E56" i="10"/>
  <c r="I56" i="10" s="1"/>
  <c r="D55" i="10"/>
  <c r="E55" i="10"/>
  <c r="I55" i="10" s="1"/>
  <c r="D54" i="10"/>
  <c r="E54" i="10"/>
  <c r="I54" i="10" s="1"/>
  <c r="D53" i="10"/>
  <c r="E53" i="10"/>
  <c r="I53" i="10" s="1"/>
  <c r="D52" i="10"/>
  <c r="E52" i="10"/>
  <c r="I52" i="10" s="1"/>
  <c r="D51" i="10"/>
  <c r="E51" i="10"/>
  <c r="I51" i="10" s="1"/>
  <c r="D50" i="10"/>
  <c r="E50" i="10"/>
  <c r="I50" i="10" s="1"/>
  <c r="D49" i="10"/>
  <c r="E49" i="10"/>
  <c r="I49" i="10" s="1"/>
  <c r="D48" i="10"/>
  <c r="E48" i="10"/>
  <c r="I48" i="10" s="1"/>
  <c r="D47" i="10"/>
  <c r="E47" i="10"/>
  <c r="I47" i="10" s="1"/>
  <c r="D46" i="10"/>
  <c r="E46" i="10"/>
  <c r="I46" i="10" s="1"/>
  <c r="D45" i="10"/>
  <c r="E45" i="10"/>
  <c r="I45" i="10" s="1"/>
  <c r="D43" i="10"/>
  <c r="E43" i="10"/>
  <c r="I43" i="10"/>
  <c r="D44" i="10"/>
  <c r="E44" i="10"/>
  <c r="I44" i="10" s="1"/>
  <c r="D42" i="10"/>
  <c r="E42" i="10"/>
  <c r="I42" i="10" s="1"/>
  <c r="D41" i="10"/>
  <c r="E41" i="10"/>
  <c r="I41" i="10" s="1"/>
  <c r="D40" i="10"/>
  <c r="E40" i="10"/>
  <c r="I40" i="10" s="1"/>
  <c r="D39" i="10"/>
  <c r="E39" i="10"/>
  <c r="I39" i="10" s="1"/>
  <c r="D38" i="10"/>
  <c r="E38" i="10"/>
  <c r="I38" i="10" s="1"/>
  <c r="D36" i="10"/>
  <c r="E36" i="10"/>
  <c r="I36" i="10" s="1"/>
  <c r="D37" i="10"/>
  <c r="E37" i="10"/>
  <c r="I37" i="10" s="1"/>
  <c r="D35" i="10"/>
  <c r="E35" i="10"/>
  <c r="I35" i="10" s="1"/>
  <c r="D34" i="10"/>
  <c r="E34" i="10"/>
  <c r="I34" i="10" s="1"/>
  <c r="D33" i="10"/>
  <c r="E33" i="10"/>
  <c r="I33" i="10" s="1"/>
  <c r="D32" i="10"/>
  <c r="E32" i="10"/>
  <c r="I32" i="10" s="1"/>
  <c r="E31" i="10"/>
  <c r="D31" i="10"/>
  <c r="E30" i="10"/>
  <c r="D30" i="10"/>
  <c r="D29" i="10"/>
  <c r="E29" i="10"/>
  <c r="I29" i="10" s="1"/>
  <c r="D28" i="10"/>
  <c r="E28" i="10"/>
  <c r="I28" i="10" s="1"/>
  <c r="D27" i="10"/>
  <c r="E27" i="10"/>
  <c r="I27" i="10" s="1"/>
  <c r="D26" i="10"/>
  <c r="E26" i="10"/>
  <c r="I26" i="10" s="1"/>
  <c r="D25" i="10"/>
  <c r="E25" i="10"/>
  <c r="I25" i="10" s="1"/>
  <c r="D24" i="10"/>
  <c r="E24" i="10"/>
  <c r="I24" i="10" s="1"/>
  <c r="D23" i="10"/>
  <c r="E23" i="10"/>
  <c r="I23" i="10" s="1"/>
  <c r="D22" i="10"/>
  <c r="E22" i="10"/>
  <c r="I22" i="10" s="1"/>
  <c r="D21" i="10"/>
  <c r="E21" i="10"/>
  <c r="I21" i="10" s="1"/>
  <c r="D16" i="10"/>
  <c r="E16" i="10"/>
  <c r="I16" i="10" s="1"/>
  <c r="D17" i="10"/>
  <c r="E17" i="10"/>
  <c r="I17" i="10" s="1"/>
  <c r="D18" i="10"/>
  <c r="E18" i="10"/>
  <c r="I18" i="10" s="1"/>
  <c r="D19" i="10"/>
  <c r="E19" i="10"/>
  <c r="I19" i="10" s="1"/>
  <c r="D20" i="10"/>
  <c r="E20" i="10"/>
  <c r="I20" i="10" s="1"/>
  <c r="D14" i="10"/>
  <c r="E14" i="10"/>
  <c r="I14" i="10" s="1"/>
  <c r="D15" i="10"/>
  <c r="E15" i="10"/>
  <c r="I15" i="10" s="1"/>
  <c r="D13" i="10"/>
  <c r="E13" i="10"/>
  <c r="I13" i="10" s="1"/>
  <c r="D12" i="10"/>
  <c r="E12" i="10"/>
  <c r="I12" i="10" s="1"/>
  <c r="D11" i="10"/>
  <c r="E11" i="10"/>
  <c r="I11" i="10" s="1"/>
  <c r="E3" i="10"/>
  <c r="I3" i="10" s="1"/>
  <c r="E4" i="10"/>
  <c r="I4" i="10" s="1"/>
  <c r="E5" i="10"/>
  <c r="I5" i="10" s="1"/>
  <c r="E6" i="10"/>
  <c r="I6" i="10" s="1"/>
  <c r="E7" i="10"/>
  <c r="I7" i="10" s="1"/>
  <c r="E8" i="10"/>
  <c r="I8" i="10" s="1"/>
  <c r="E9" i="10"/>
  <c r="I9" i="10" s="1"/>
  <c r="E10" i="10"/>
  <c r="I10" i="10" s="1"/>
  <c r="D3" i="10"/>
  <c r="D4" i="10"/>
  <c r="D5" i="10"/>
  <c r="D6" i="10"/>
  <c r="D7" i="10"/>
  <c r="D8" i="10"/>
  <c r="D9" i="10"/>
  <c r="D10" i="10"/>
  <c r="T9" i="11" l="1"/>
  <c r="I31" i="10"/>
  <c r="I30" i="10"/>
</calcChain>
</file>

<file path=xl/sharedStrings.xml><?xml version="1.0" encoding="utf-8"?>
<sst xmlns="http://schemas.openxmlformats.org/spreadsheetml/2006/main" count="175" uniqueCount="77">
  <si>
    <t>Q(ml/min)</t>
  </si>
  <si>
    <t>Q(ml/sec)</t>
  </si>
  <si>
    <r>
      <t>P</t>
    </r>
    <r>
      <rPr>
        <b/>
        <sz val="8"/>
        <color theme="1"/>
        <rFont val="Calibri"/>
        <family val="2"/>
        <charset val="161"/>
        <scheme val="minor"/>
      </rPr>
      <t>i</t>
    </r>
    <r>
      <rPr>
        <b/>
        <sz val="11"/>
        <color theme="1"/>
        <rFont val="Calibri"/>
        <family val="2"/>
        <charset val="161"/>
        <scheme val="minor"/>
      </rPr>
      <t>(atm)</t>
    </r>
  </si>
  <si>
    <r>
      <t>μ</t>
    </r>
    <r>
      <rPr>
        <b/>
        <sz val="8"/>
        <color theme="1"/>
        <rFont val="Calibri"/>
        <family val="2"/>
        <charset val="161"/>
        <scheme val="minor"/>
      </rPr>
      <t>air</t>
    </r>
    <r>
      <rPr>
        <b/>
        <sz val="11"/>
        <color theme="1"/>
        <rFont val="Calibri"/>
        <family val="2"/>
        <charset val="161"/>
        <scheme val="minor"/>
      </rPr>
      <t>(cP)</t>
    </r>
  </si>
  <si>
    <t>L(cm)</t>
  </si>
  <si>
    <r>
      <t>k</t>
    </r>
    <r>
      <rPr>
        <b/>
        <sz val="8"/>
        <color theme="1"/>
        <rFont val="Calibri"/>
        <family val="2"/>
        <charset val="161"/>
        <scheme val="minor"/>
      </rPr>
      <t>air</t>
    </r>
    <r>
      <rPr>
        <b/>
        <sz val="11"/>
        <color theme="1"/>
        <rFont val="Calibri"/>
        <family val="2"/>
        <charset val="161"/>
        <scheme val="minor"/>
      </rPr>
      <t>(mD)</t>
    </r>
  </si>
  <si>
    <r>
      <t>1/</t>
    </r>
    <r>
      <rPr>
        <b/>
        <sz val="8"/>
        <color theme="1"/>
        <rFont val="Calibri"/>
        <family val="2"/>
        <charset val="161"/>
        <scheme val="minor"/>
      </rPr>
      <t>Pavg</t>
    </r>
    <r>
      <rPr>
        <b/>
        <sz val="11"/>
        <color theme="1"/>
        <rFont val="Calibri"/>
        <family val="2"/>
        <charset val="161"/>
        <scheme val="minor"/>
      </rPr>
      <t>(1/atm)</t>
    </r>
  </si>
  <si>
    <t>psia-&gt;atm</t>
  </si>
  <si>
    <t>ΔP(psia)</t>
  </si>
  <si>
    <r>
      <t>K</t>
    </r>
    <r>
      <rPr>
        <b/>
        <sz val="8"/>
        <color theme="1"/>
        <rFont val="Calibri"/>
        <family val="2"/>
        <charset val="161"/>
        <scheme val="minor"/>
      </rPr>
      <t>L</t>
    </r>
    <r>
      <rPr>
        <b/>
        <sz val="11"/>
        <color theme="1"/>
        <rFont val="Calibri"/>
        <family val="2"/>
        <charset val="161"/>
        <scheme val="minor"/>
      </rPr>
      <t>(mD)</t>
    </r>
  </si>
  <si>
    <t>A(cm^2)</t>
  </si>
  <si>
    <t>A(m^2)</t>
  </si>
  <si>
    <t>Φ</t>
  </si>
  <si>
    <t>mD-&gt;m^2</t>
  </si>
  <si>
    <t>F</t>
  </si>
  <si>
    <t>F^(-1/4)</t>
  </si>
  <si>
    <t>1/Pavg^2(1/atm^2)</t>
  </si>
  <si>
    <t>Kl(mD)</t>
  </si>
  <si>
    <t>A</t>
  </si>
  <si>
    <t>B</t>
  </si>
  <si>
    <t>Kl</t>
  </si>
  <si>
    <t>C1</t>
  </si>
  <si>
    <t>C2</t>
  </si>
  <si>
    <t>F^(-1/2)L</t>
  </si>
  <si>
    <t>Pavg,min</t>
  </si>
  <si>
    <t>Pavg,max</t>
  </si>
  <si>
    <t>λmax(m)</t>
  </si>
  <si>
    <t>λmax(μm)</t>
  </si>
  <si>
    <t>λmin(m)</t>
  </si>
  <si>
    <t>λmin(μm)</t>
  </si>
  <si>
    <t>Kn,max</t>
  </si>
  <si>
    <t>Kn,min</t>
  </si>
  <si>
    <t>διορθωμενο μηκος</t>
  </si>
  <si>
    <t>1/atm</t>
  </si>
  <si>
    <t>1/Pa</t>
  </si>
  <si>
    <t>Linest</t>
  </si>
  <si>
    <t>συντελεστης Κnudsen</t>
  </si>
  <si>
    <t>R1(m)</t>
  </si>
  <si>
    <t>R1(μm)</t>
  </si>
  <si>
    <t>R2(m)</t>
  </si>
  <si>
    <t>R2(μm)</t>
  </si>
  <si>
    <t>linest</t>
  </si>
  <si>
    <t>Poverburden(bar)</t>
  </si>
  <si>
    <t>Qoffset</t>
  </si>
  <si>
    <t>bmax</t>
  </si>
  <si>
    <t>bmin</t>
  </si>
  <si>
    <t>bavg</t>
  </si>
  <si>
    <r>
      <t>b</t>
    </r>
    <r>
      <rPr>
        <b/>
        <sz val="9"/>
        <color theme="1"/>
        <rFont val="Calibri"/>
        <family val="2"/>
        <charset val="161"/>
        <scheme val="minor"/>
      </rPr>
      <t>avg</t>
    </r>
    <r>
      <rPr>
        <b/>
        <sz val="11"/>
        <color theme="1"/>
        <rFont val="Calibri"/>
        <family val="2"/>
        <charset val="161"/>
        <scheme val="minor"/>
      </rPr>
      <t>(atm)</t>
    </r>
  </si>
  <si>
    <r>
      <t>b</t>
    </r>
    <r>
      <rPr>
        <sz val="9"/>
        <color theme="1"/>
        <rFont val="Calibri"/>
        <family val="2"/>
        <charset val="161"/>
        <scheme val="minor"/>
      </rPr>
      <t>min</t>
    </r>
  </si>
  <si>
    <r>
      <t>b</t>
    </r>
    <r>
      <rPr>
        <sz val="9"/>
        <color theme="1"/>
        <rFont val="Calibri"/>
        <family val="2"/>
        <charset val="161"/>
        <scheme val="minor"/>
      </rPr>
      <t>max</t>
    </r>
  </si>
  <si>
    <r>
      <t>K</t>
    </r>
    <r>
      <rPr>
        <b/>
        <sz val="8"/>
        <color theme="1"/>
        <rFont val="Calibri"/>
        <family val="2"/>
        <charset val="161"/>
        <scheme val="minor"/>
      </rPr>
      <t>l</t>
    </r>
    <r>
      <rPr>
        <b/>
        <sz val="11"/>
        <color theme="1"/>
        <rFont val="Calibri"/>
        <family val="2"/>
        <charset val="161"/>
        <scheme val="minor"/>
      </rPr>
      <t>(mD)</t>
    </r>
  </si>
  <si>
    <t>1/Pavg,max</t>
  </si>
  <si>
    <t>1/Pavg,min</t>
  </si>
  <si>
    <t>d(cm)</t>
  </si>
  <si>
    <t>ρ(gr/cm^3)</t>
  </si>
  <si>
    <t>Re</t>
  </si>
  <si>
    <t>kg/m^3</t>
  </si>
  <si>
    <t>m^2</t>
  </si>
  <si>
    <t>m</t>
  </si>
  <si>
    <t>m^3/sec</t>
  </si>
  <si>
    <t>Pa*sec</t>
  </si>
  <si>
    <t>μο(cP)</t>
  </si>
  <si>
    <t>στα 55ml/min πετρελαιο</t>
  </si>
  <si>
    <t>στα 40 ml/min νερό</t>
  </si>
  <si>
    <t>μ2/μ1</t>
  </si>
  <si>
    <t>log(M)</t>
  </si>
  <si>
    <t>Q(m^3/sec)</t>
  </si>
  <si>
    <t>μο(Pa*sec)</t>
  </si>
  <si>
    <t>μw(cP)</t>
  </si>
  <si>
    <t>γ(Ν*m)</t>
  </si>
  <si>
    <t>θ(rad)</t>
  </si>
  <si>
    <t>log(C)</t>
  </si>
  <si>
    <t>C</t>
  </si>
  <si>
    <t>25 ml/min</t>
  </si>
  <si>
    <t>σχετικό σφάλμα σε σχεση με του νερου</t>
  </si>
  <si>
    <t>=</t>
  </si>
  <si>
    <t>5 ml/min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</si>
</sst>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0.0"/>
    <numFmt numFmtId="166" formatCode="0.0000"/>
    <numFmt numFmtId="170" formatCode="0.000E+00"/>
  </numFmts>
  <fonts count="8" x14ac:knownFonts="1">
    <font>
      <sz val="11"/>
      <color theme="1"/>
      <name val="Calibri"/>
      <family val="2"/>
      <charset val="161"/>
      <scheme val="minor"/>
    </font>
    <font>
      <sz val="11"/>
      <color rgb="FFFF0000"/>
      <name val="Calibri"/>
      <family val="2"/>
      <charset val="161"/>
      <scheme val="minor"/>
    </font>
    <font>
      <b/>
      <sz val="11"/>
      <color theme="1"/>
      <name val="Calibri"/>
      <family val="2"/>
      <charset val="161"/>
      <scheme val="minor"/>
    </font>
    <font>
      <b/>
      <sz val="8"/>
      <color theme="1"/>
      <name val="Calibri"/>
      <family val="2"/>
      <charset val="161"/>
      <scheme val="minor"/>
    </font>
    <font>
      <sz val="11"/>
      <name val="Calibri"/>
      <family val="2"/>
      <charset val="161"/>
      <scheme val="minor"/>
    </font>
    <font>
      <sz val="11"/>
      <color theme="3"/>
      <name val="Calibri"/>
      <family val="2"/>
      <charset val="161"/>
      <scheme val="minor"/>
    </font>
    <font>
      <b/>
      <sz val="9"/>
      <color theme="1"/>
      <name val="Calibri"/>
      <family val="2"/>
      <charset val="161"/>
      <scheme val="minor"/>
    </font>
    <font>
      <sz val="9"/>
      <color theme="1"/>
      <name val="Calibri"/>
      <family val="2"/>
      <charset val="16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2" fillId="0" borderId="0" xfId="0" applyFont="1"/>
    <xf numFmtId="0" fontId="1" fillId="0" borderId="0" xfId="0" applyFont="1"/>
    <xf numFmtId="0" fontId="0" fillId="0" borderId="0" xfId="0" applyFont="1"/>
    <xf numFmtId="0" fontId="5" fillId="0" borderId="0" xfId="0" applyFont="1"/>
    <xf numFmtId="164" fontId="0" fillId="0" borderId="0" xfId="0" applyNumberFormat="1"/>
    <xf numFmtId="11" fontId="0" fillId="0" borderId="0" xfId="0" applyNumberFormat="1"/>
    <xf numFmtId="2" fontId="2" fillId="0" borderId="0" xfId="0" applyNumberFormat="1" applyFont="1"/>
    <xf numFmtId="165" fontId="0" fillId="0" borderId="0" xfId="0" applyNumberFormat="1"/>
    <xf numFmtId="2" fontId="0" fillId="0" borderId="0" xfId="0" applyNumberFormat="1"/>
    <xf numFmtId="166" fontId="0" fillId="0" borderId="0" xfId="0" applyNumberFormat="1"/>
    <xf numFmtId="164" fontId="5" fillId="0" borderId="0" xfId="0" applyNumberFormat="1" applyFont="1"/>
    <xf numFmtId="165" fontId="5" fillId="0" borderId="0" xfId="0" applyNumberFormat="1" applyFont="1"/>
    <xf numFmtId="164" fontId="1" fillId="0" borderId="0" xfId="0" applyNumberFormat="1" applyFont="1"/>
    <xf numFmtId="166" fontId="2" fillId="0" borderId="0" xfId="0" applyNumberFormat="1" applyFont="1"/>
    <xf numFmtId="165" fontId="2" fillId="0" borderId="0" xfId="0" applyNumberFormat="1" applyFont="1"/>
    <xf numFmtId="2" fontId="1" fillId="0" borderId="0" xfId="0" applyNumberFormat="1" applyFont="1"/>
    <xf numFmtId="164" fontId="4" fillId="0" borderId="0" xfId="0" applyNumberFormat="1" applyFont="1"/>
    <xf numFmtId="170" fontId="0" fillId="0" borderId="0" xfId="0" applyNumberFormat="1"/>
    <xf numFmtId="164" fontId="2" fillId="0" borderId="0" xfId="0" applyNumberFormat="1" applyFont="1"/>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a:t>Μονοφασική</a:t>
            </a:r>
            <a:r>
              <a:rPr lang="el-GR" baseline="0"/>
              <a:t> ροή αερίου υπό πίεση υπερκειμένων 60 </a:t>
            </a:r>
            <a:r>
              <a:rPr lang="en-US" baseline="0"/>
              <a:t>bar</a:t>
            </a:r>
            <a:endParaRPr lang="el-G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Klinkenberg60bar!$I$2:$I$63</c:f>
              <c:numCache>
                <c:formatCode>0.000</c:formatCode>
                <c:ptCount val="62"/>
                <c:pt idx="0">
                  <c:v>0.8447914623470737</c:v>
                </c:pt>
                <c:pt idx="1">
                  <c:v>0.81662540997110977</c:v>
                </c:pt>
                <c:pt idx="2">
                  <c:v>0.79670334418281408</c:v>
                </c:pt>
                <c:pt idx="3">
                  <c:v>0.77773015151116442</c:v>
                </c:pt>
                <c:pt idx="4">
                  <c:v>0.7557332021337968</c:v>
                </c:pt>
                <c:pt idx="5">
                  <c:v>0.74050121389512757</c:v>
                </c:pt>
                <c:pt idx="6">
                  <c:v>0.72230345943657015</c:v>
                </c:pt>
                <c:pt idx="7">
                  <c:v>0.70837681928570539</c:v>
                </c:pt>
                <c:pt idx="8">
                  <c:v>0.69333764600688386</c:v>
                </c:pt>
                <c:pt idx="9">
                  <c:v>0.6773591422333427</c:v>
                </c:pt>
                <c:pt idx="10">
                  <c:v>0.66061238500448294</c:v>
                </c:pt>
                <c:pt idx="11">
                  <c:v>0.65037982863252608</c:v>
                </c:pt>
                <c:pt idx="12">
                  <c:v>0.64326281422293907</c:v>
                </c:pt>
                <c:pt idx="13">
                  <c:v>0.62546737182858592</c:v>
                </c:pt>
                <c:pt idx="14">
                  <c:v>0.61758198757008764</c:v>
                </c:pt>
                <c:pt idx="15">
                  <c:v>0.60611978907938657</c:v>
                </c:pt>
                <c:pt idx="16">
                  <c:v>0.59871180793208967</c:v>
                </c:pt>
                <c:pt idx="17">
                  <c:v>0.58911166359063161</c:v>
                </c:pt>
                <c:pt idx="18">
                  <c:v>0.57640331533345945</c:v>
                </c:pt>
                <c:pt idx="19">
                  <c:v>0.96077393100538411</c:v>
                </c:pt>
                <c:pt idx="20">
                  <c:v>0.92161019066959216</c:v>
                </c:pt>
                <c:pt idx="21">
                  <c:v>0.89631586009542019</c:v>
                </c:pt>
                <c:pt idx="22">
                  <c:v>0.88285438979152042</c:v>
                </c:pt>
                <c:pt idx="23">
                  <c:v>0.86979128329970512</c:v>
                </c:pt>
                <c:pt idx="24">
                  <c:v>0.85461693229634383</c:v>
                </c:pt>
                <c:pt idx="25">
                  <c:v>0.84237029454007684</c:v>
                </c:pt>
                <c:pt idx="26">
                  <c:v>0.83282283144042213</c:v>
                </c:pt>
                <c:pt idx="27">
                  <c:v>0.8281298010897109</c:v>
                </c:pt>
                <c:pt idx="28">
                  <c:v>0.81890064588343214</c:v>
                </c:pt>
                <c:pt idx="29">
                  <c:v>0.81211265767841123</c:v>
                </c:pt>
                <c:pt idx="30">
                  <c:v>0.80543627760742376</c:v>
                </c:pt>
                <c:pt idx="31">
                  <c:v>0.79886877552282154</c:v>
                </c:pt>
                <c:pt idx="32">
                  <c:v>0.79027691799886679</c:v>
                </c:pt>
                <c:pt idx="33">
                  <c:v>0.78395333684699664</c:v>
                </c:pt>
                <c:pt idx="34">
                  <c:v>0.78186790534112771</c:v>
                </c:pt>
                <c:pt idx="35">
                  <c:v>0.77979353950972874</c:v>
                </c:pt>
                <c:pt idx="36">
                  <c:v>0.77567765443108627</c:v>
                </c:pt>
                <c:pt idx="37">
                  <c:v>0.77160498993239646</c:v>
                </c:pt>
                <c:pt idx="38">
                  <c:v>0.7655755541942002</c:v>
                </c:pt>
                <c:pt idx="39">
                  <c:v>0.76160800896259317</c:v>
                </c:pt>
                <c:pt idx="40">
                  <c:v>0.75963961764822296</c:v>
                </c:pt>
                <c:pt idx="41">
                  <c:v>0.75768137479932429</c:v>
                </c:pt>
                <c:pt idx="42">
                  <c:v>0.7537950221726013</c:v>
                </c:pt>
                <c:pt idx="43">
                  <c:v>0.74803967555590578</c:v>
                </c:pt>
                <c:pt idx="44">
                  <c:v>0.74425135609832016</c:v>
                </c:pt>
                <c:pt idx="45">
                  <c:v>0.73678867473571519</c:v>
                </c:pt>
                <c:pt idx="46">
                  <c:v>0.73128914374495813</c:v>
                </c:pt>
                <c:pt idx="47">
                  <c:v>0.72587110358454165</c:v>
                </c:pt>
                <c:pt idx="48">
                  <c:v>0.72053275630569658</c:v>
                </c:pt>
                <c:pt idx="49">
                  <c:v>0.71527235646485554</c:v>
                </c:pt>
                <c:pt idx="50">
                  <c:v>0.70667365878898603</c:v>
                </c:pt>
                <c:pt idx="51">
                  <c:v>0.70161296459592526</c:v>
                </c:pt>
                <c:pt idx="52">
                  <c:v>0.69662423721353872</c:v>
                </c:pt>
                <c:pt idx="53">
                  <c:v>0.68846549716067618</c:v>
                </c:pt>
                <c:pt idx="54">
                  <c:v>0.68207482523350804</c:v>
                </c:pt>
                <c:pt idx="55">
                  <c:v>0.67580170479252533</c:v>
                </c:pt>
                <c:pt idx="56">
                  <c:v>0.66812072605564521</c:v>
                </c:pt>
                <c:pt idx="57">
                  <c:v>0.66359537908434363</c:v>
                </c:pt>
                <c:pt idx="58">
                  <c:v>0.65765608922159291</c:v>
                </c:pt>
                <c:pt idx="59">
                  <c:v>0.65618784143178255</c:v>
                </c:pt>
                <c:pt idx="60">
                  <c:v>0.64751420802023607</c:v>
                </c:pt>
                <c:pt idx="61">
                  <c:v>0.6446737288965031</c:v>
                </c:pt>
              </c:numCache>
            </c:numRef>
          </c:xVal>
          <c:yVal>
            <c:numRef>
              <c:f>Klinkenberg60bar!$H$2:$H$63</c:f>
              <c:numCache>
                <c:formatCode>0.0</c:formatCode>
                <c:ptCount val="62"/>
                <c:pt idx="0">
                  <c:v>79.313437077645375</c:v>
                </c:pt>
                <c:pt idx="1">
                  <c:v>78.934283148089577</c:v>
                </c:pt>
                <c:pt idx="2">
                  <c:v>77.641022835840488</c:v>
                </c:pt>
                <c:pt idx="3">
                  <c:v>77.059403801940505</c:v>
                </c:pt>
                <c:pt idx="4">
                  <c:v>75.620088945727318</c:v>
                </c:pt>
                <c:pt idx="5">
                  <c:v>75.93435826564</c:v>
                </c:pt>
                <c:pt idx="6">
                  <c:v>74.805027808208763</c:v>
                </c:pt>
                <c:pt idx="7">
                  <c:v>74.695713821528159</c:v>
                </c:pt>
                <c:pt idx="8">
                  <c:v>75.484190954223592</c:v>
                </c:pt>
                <c:pt idx="9">
                  <c:v>75.222635975220072</c:v>
                </c:pt>
                <c:pt idx="10">
                  <c:v>74.118036393396849</c:v>
                </c:pt>
                <c:pt idx="11">
                  <c:v>73.7370232337408</c:v>
                </c:pt>
                <c:pt idx="12">
                  <c:v>76.361787905582347</c:v>
                </c:pt>
                <c:pt idx="13">
                  <c:v>77.172910333554427</c:v>
                </c:pt>
                <c:pt idx="14">
                  <c:v>77.415292838989785</c:v>
                </c:pt>
                <c:pt idx="15">
                  <c:v>77.761182819449218</c:v>
                </c:pt>
                <c:pt idx="16">
                  <c:v>79.350531608565518</c:v>
                </c:pt>
                <c:pt idx="17">
                  <c:v>78.309282185704305</c:v>
                </c:pt>
                <c:pt idx="18">
                  <c:v>77.340433660477331</c:v>
                </c:pt>
                <c:pt idx="19">
                  <c:v>77.123118108747761</c:v>
                </c:pt>
                <c:pt idx="20">
                  <c:v>78.96324496605601</c:v>
                </c:pt>
                <c:pt idx="21">
                  <c:v>79.411145782878123</c:v>
                </c:pt>
                <c:pt idx="22">
                  <c:v>79.762781920110754</c:v>
                </c:pt>
                <c:pt idx="23">
                  <c:v>80.509879510053892</c:v>
                </c:pt>
                <c:pt idx="24">
                  <c:v>79.433544505632469</c:v>
                </c:pt>
                <c:pt idx="25">
                  <c:v>79.589400533855198</c:v>
                </c:pt>
                <c:pt idx="26">
                  <c:v>78.719859528303161</c:v>
                </c:pt>
                <c:pt idx="27">
                  <c:v>79.724746488972144</c:v>
                </c:pt>
                <c:pt idx="28">
                  <c:v>78.775168471299622</c:v>
                </c:pt>
                <c:pt idx="29">
                  <c:v>78.712142425274337</c:v>
                </c:pt>
                <c:pt idx="30">
                  <c:v>79.079979940899747</c:v>
                </c:pt>
                <c:pt idx="31">
                  <c:v>77.991918870689474</c:v>
                </c:pt>
                <c:pt idx="32">
                  <c:v>77.905093118780542</c:v>
                </c:pt>
                <c:pt idx="33">
                  <c:v>77.690615710614566</c:v>
                </c:pt>
                <c:pt idx="34">
                  <c:v>77.747531886588561</c:v>
                </c:pt>
                <c:pt idx="35">
                  <c:v>77.400883858606306</c:v>
                </c:pt>
                <c:pt idx="36">
                  <c:v>77.108475838518956</c:v>
                </c:pt>
                <c:pt idx="37">
                  <c:v>76.064424029761753</c:v>
                </c:pt>
                <c:pt idx="38">
                  <c:v>75.829426516462448</c:v>
                </c:pt>
                <c:pt idx="39">
                  <c:v>76.244748619114191</c:v>
                </c:pt>
                <c:pt idx="40">
                  <c:v>76.26525028999859</c:v>
                </c:pt>
                <c:pt idx="41">
                  <c:v>75.94048899466766</c:v>
                </c:pt>
                <c:pt idx="42">
                  <c:v>75.63566809099585</c:v>
                </c:pt>
                <c:pt idx="43">
                  <c:v>75.337500923021835</c:v>
                </c:pt>
                <c:pt idx="44">
                  <c:v>75.650935469083805</c:v>
                </c:pt>
                <c:pt idx="45">
                  <c:v>75.003914831563293</c:v>
                </c:pt>
                <c:pt idx="46">
                  <c:v>74.950827192071003</c:v>
                </c:pt>
                <c:pt idx="47">
                  <c:v>74.595058934288517</c:v>
                </c:pt>
                <c:pt idx="48">
                  <c:v>73.967069907477168</c:v>
                </c:pt>
                <c:pt idx="49">
                  <c:v>74.385422689492827</c:v>
                </c:pt>
                <c:pt idx="50">
                  <c:v>74.150053615587424</c:v>
                </c:pt>
                <c:pt idx="51">
                  <c:v>75.409225556864953</c:v>
                </c:pt>
                <c:pt idx="52">
                  <c:v>75.417515778839274</c:v>
                </c:pt>
                <c:pt idx="53">
                  <c:v>75.012636065320507</c:v>
                </c:pt>
                <c:pt idx="54">
                  <c:v>75.091267942807335</c:v>
                </c:pt>
                <c:pt idx="55">
                  <c:v>74.719903914825977</c:v>
                </c:pt>
                <c:pt idx="56">
                  <c:v>73.85420367430649</c:v>
                </c:pt>
                <c:pt idx="57">
                  <c:v>73.946803141756604</c:v>
                </c:pt>
                <c:pt idx="58">
                  <c:v>73.366626172141295</c:v>
                </c:pt>
                <c:pt idx="59">
                  <c:v>73.447562850986458</c:v>
                </c:pt>
                <c:pt idx="60">
                  <c:v>75.914031900190793</c:v>
                </c:pt>
                <c:pt idx="61">
                  <c:v>75.65667314272207</c:v>
                </c:pt>
              </c:numCache>
            </c:numRef>
          </c:yVal>
          <c:smooth val="0"/>
          <c:extLst>
            <c:ext xmlns:c16="http://schemas.microsoft.com/office/drawing/2014/chart" uri="{C3380CC4-5D6E-409C-BE32-E72D297353CC}">
              <c16:uniqueId val="{00000000-1E81-4E47-8898-4A9E7D80EE17}"/>
            </c:ext>
          </c:extLst>
        </c:ser>
        <c:dLbls>
          <c:showLegendKey val="0"/>
          <c:showVal val="0"/>
          <c:showCatName val="0"/>
          <c:showSerName val="0"/>
          <c:showPercent val="0"/>
          <c:showBubbleSize val="0"/>
        </c:dLbls>
        <c:axId val="237728896"/>
        <c:axId val="237730816"/>
      </c:scatterChart>
      <c:valAx>
        <c:axId val="237728896"/>
        <c:scaling>
          <c:orientation val="minMax"/>
          <c:max val="1"/>
          <c:min val="0.55000000000000004"/>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1/Pavg(1/atm)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7730816"/>
        <c:crosses val="autoZero"/>
        <c:crossBetween val="midCat"/>
      </c:valAx>
      <c:valAx>
        <c:axId val="237730816"/>
        <c:scaling>
          <c:orientation val="minMax"/>
          <c:max val="80"/>
          <c:min val="7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kair(mD)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772889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αερίου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πειραματικά σημεία</c:v>
          </c:tx>
          <c:spPr>
            <a:ln w="25400" cap="rnd">
              <a:noFill/>
              <a:round/>
            </a:ln>
            <a:effectLst/>
          </c:spPr>
          <c:marker>
            <c:symbol val="circle"/>
            <c:size val="5"/>
            <c:spPr>
              <a:solidFill>
                <a:schemeClr val="accent1"/>
              </a:solidFill>
              <a:ln w="9525">
                <a:solidFill>
                  <a:schemeClr val="accent1"/>
                </a:solidFill>
              </a:ln>
              <a:effectLst/>
            </c:spPr>
          </c:marker>
          <c:trendline>
            <c:name>y=αx+β</c:name>
            <c:spPr>
              <a:ln w="19050" cap="rnd">
                <a:solidFill>
                  <a:schemeClr val="accent1"/>
                </a:solidFill>
                <a:prstDash val="sysDot"/>
              </a:ln>
              <a:effectLst/>
            </c:spPr>
            <c:trendlineType val="linear"/>
            <c:dispRSqr val="1"/>
            <c:dispEq val="1"/>
            <c:trendlineLbl>
              <c:layout>
                <c:manualLayout>
                  <c:x val="-0.27039934340455002"/>
                  <c:y val="2.0750551876379691E-3"/>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Klinkenberg60bar!$I$65:$I$100</c:f>
              <c:numCache>
                <c:formatCode>General</c:formatCode>
                <c:ptCount val="36"/>
                <c:pt idx="0">
                  <c:v>0.8447914623470737</c:v>
                </c:pt>
                <c:pt idx="1">
                  <c:v>0.81662540997110977</c:v>
                </c:pt>
                <c:pt idx="2">
                  <c:v>0.79670334418281408</c:v>
                </c:pt>
                <c:pt idx="3">
                  <c:v>0.77773015151116442</c:v>
                </c:pt>
                <c:pt idx="4">
                  <c:v>0.7557332021337968</c:v>
                </c:pt>
                <c:pt idx="5">
                  <c:v>0.74050121389512757</c:v>
                </c:pt>
                <c:pt idx="6">
                  <c:v>0.72230345943657015</c:v>
                </c:pt>
                <c:pt idx="7">
                  <c:v>0.70837681928570539</c:v>
                </c:pt>
                <c:pt idx="8">
                  <c:v>0.86979128329970512</c:v>
                </c:pt>
                <c:pt idx="9">
                  <c:v>0.85461693229634383</c:v>
                </c:pt>
                <c:pt idx="10">
                  <c:v>0.84237029454007684</c:v>
                </c:pt>
                <c:pt idx="11">
                  <c:v>0.83282283144042213</c:v>
                </c:pt>
                <c:pt idx="12">
                  <c:v>0.8281298010897109</c:v>
                </c:pt>
                <c:pt idx="13">
                  <c:v>0.81890064588343214</c:v>
                </c:pt>
                <c:pt idx="14">
                  <c:v>0.81211265767841123</c:v>
                </c:pt>
                <c:pt idx="15">
                  <c:v>0.80543627760742376</c:v>
                </c:pt>
                <c:pt idx="16">
                  <c:v>0.79886877552282154</c:v>
                </c:pt>
                <c:pt idx="17">
                  <c:v>0.79027691799886679</c:v>
                </c:pt>
                <c:pt idx="18">
                  <c:v>0.78395333684699664</c:v>
                </c:pt>
                <c:pt idx="19">
                  <c:v>0.78186790534112771</c:v>
                </c:pt>
                <c:pt idx="20">
                  <c:v>0.77979353950972874</c:v>
                </c:pt>
                <c:pt idx="21">
                  <c:v>0.77567765443108627</c:v>
                </c:pt>
                <c:pt idx="22">
                  <c:v>0.77160498993239646</c:v>
                </c:pt>
                <c:pt idx="23">
                  <c:v>0.7655755541942002</c:v>
                </c:pt>
                <c:pt idx="24">
                  <c:v>0.76160800896259317</c:v>
                </c:pt>
                <c:pt idx="25">
                  <c:v>0.75963961764822296</c:v>
                </c:pt>
                <c:pt idx="26">
                  <c:v>0.75768137479932429</c:v>
                </c:pt>
                <c:pt idx="27">
                  <c:v>0.7537950221726013</c:v>
                </c:pt>
                <c:pt idx="28">
                  <c:v>0.74803967555590578</c:v>
                </c:pt>
                <c:pt idx="29">
                  <c:v>0.74425135609832016</c:v>
                </c:pt>
                <c:pt idx="30">
                  <c:v>0.73678867473571519</c:v>
                </c:pt>
                <c:pt idx="31">
                  <c:v>0.73128914374495813</c:v>
                </c:pt>
                <c:pt idx="32">
                  <c:v>0.72587110358454165</c:v>
                </c:pt>
                <c:pt idx="33">
                  <c:v>0.72053275630569658</c:v>
                </c:pt>
                <c:pt idx="34">
                  <c:v>0.71527235646485554</c:v>
                </c:pt>
                <c:pt idx="35">
                  <c:v>0.70667365878898603</c:v>
                </c:pt>
              </c:numCache>
            </c:numRef>
          </c:xVal>
          <c:yVal>
            <c:numRef>
              <c:f>Klinkenberg60bar!$H$65:$H$100</c:f>
              <c:numCache>
                <c:formatCode>General</c:formatCode>
                <c:ptCount val="36"/>
                <c:pt idx="0">
                  <c:v>79.313437077645375</c:v>
                </c:pt>
                <c:pt idx="1">
                  <c:v>78.934283148089577</c:v>
                </c:pt>
                <c:pt idx="2">
                  <c:v>77.641022835840488</c:v>
                </c:pt>
                <c:pt idx="3">
                  <c:v>77.059403801940505</c:v>
                </c:pt>
                <c:pt idx="4">
                  <c:v>75.620088945727318</c:v>
                </c:pt>
                <c:pt idx="5">
                  <c:v>75.93435826564</c:v>
                </c:pt>
                <c:pt idx="6">
                  <c:v>74.805027808208763</c:v>
                </c:pt>
                <c:pt idx="7">
                  <c:v>74.695713821528159</c:v>
                </c:pt>
                <c:pt idx="8">
                  <c:v>80.509879510053892</c:v>
                </c:pt>
                <c:pt idx="9">
                  <c:v>79.433544505632469</c:v>
                </c:pt>
                <c:pt idx="10">
                  <c:v>79.589400533855198</c:v>
                </c:pt>
                <c:pt idx="11">
                  <c:v>78.719859528303161</c:v>
                </c:pt>
                <c:pt idx="12">
                  <c:v>79.724746488972144</c:v>
                </c:pt>
                <c:pt idx="13">
                  <c:v>78.775168471299622</c:v>
                </c:pt>
                <c:pt idx="14">
                  <c:v>78.712142425274337</c:v>
                </c:pt>
                <c:pt idx="15">
                  <c:v>79.079979940899747</c:v>
                </c:pt>
                <c:pt idx="16">
                  <c:v>77.991918870689474</c:v>
                </c:pt>
                <c:pt idx="17">
                  <c:v>77.905093118780542</c:v>
                </c:pt>
                <c:pt idx="18">
                  <c:v>77.690615710614566</c:v>
                </c:pt>
                <c:pt idx="19">
                  <c:v>77.747531886588561</c:v>
                </c:pt>
                <c:pt idx="20">
                  <c:v>77.400883858606306</c:v>
                </c:pt>
                <c:pt idx="21">
                  <c:v>77.108475838518956</c:v>
                </c:pt>
                <c:pt idx="22">
                  <c:v>76.064424029761753</c:v>
                </c:pt>
                <c:pt idx="23">
                  <c:v>75.829426516462448</c:v>
                </c:pt>
                <c:pt idx="24">
                  <c:v>76.244748619114191</c:v>
                </c:pt>
                <c:pt idx="25">
                  <c:v>76.26525028999859</c:v>
                </c:pt>
                <c:pt idx="26">
                  <c:v>75.94048899466766</c:v>
                </c:pt>
                <c:pt idx="27">
                  <c:v>75.63566809099585</c:v>
                </c:pt>
                <c:pt idx="28">
                  <c:v>75.337500923021835</c:v>
                </c:pt>
                <c:pt idx="29">
                  <c:v>75.650935469083805</c:v>
                </c:pt>
                <c:pt idx="30">
                  <c:v>75.003914831563293</c:v>
                </c:pt>
                <c:pt idx="31">
                  <c:v>74.950827192071003</c:v>
                </c:pt>
                <c:pt idx="32">
                  <c:v>74.595058934288517</c:v>
                </c:pt>
                <c:pt idx="33">
                  <c:v>73.967069907477168</c:v>
                </c:pt>
                <c:pt idx="34">
                  <c:v>74.385422689492827</c:v>
                </c:pt>
                <c:pt idx="35">
                  <c:v>74.150053615587424</c:v>
                </c:pt>
              </c:numCache>
            </c:numRef>
          </c:yVal>
          <c:smooth val="0"/>
          <c:extLst>
            <c:ext xmlns:c16="http://schemas.microsoft.com/office/drawing/2014/chart" uri="{C3380CC4-5D6E-409C-BE32-E72D297353CC}">
              <c16:uniqueId val="{00000001-DF71-47E4-B3D8-31BD1EB8ABA6}"/>
            </c:ext>
          </c:extLst>
        </c:ser>
        <c:dLbls>
          <c:showLegendKey val="0"/>
          <c:showVal val="0"/>
          <c:showCatName val="0"/>
          <c:showSerName val="0"/>
          <c:showPercent val="0"/>
          <c:showBubbleSize val="0"/>
        </c:dLbls>
        <c:axId val="238631552"/>
        <c:axId val="239219456"/>
      </c:scatterChart>
      <c:valAx>
        <c:axId val="238631552"/>
        <c:scaling>
          <c:orientation val="minMax"/>
          <c:max val="0.88000000000000012"/>
          <c:min val="0.7000000000000000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1/Pavg(1/atm)</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9219456"/>
        <c:crosses val="autoZero"/>
        <c:crossBetween val="midCat"/>
      </c:valAx>
      <c:valAx>
        <c:axId val="239219456"/>
        <c:scaling>
          <c:orientation val="minMax"/>
          <c:max val="8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kair(mD)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86315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αερίου υπό πίεση υπερκειμένων 60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πειραματικά σημεία</c:v>
          </c:tx>
          <c:spPr>
            <a:ln w="25400" cap="rnd">
              <a:noFill/>
              <a:round/>
            </a:ln>
            <a:effectLst/>
          </c:spPr>
          <c:marker>
            <c:symbol val="circle"/>
            <c:size val="5"/>
            <c:spPr>
              <a:solidFill>
                <a:schemeClr val="accent1"/>
              </a:solidFill>
              <a:ln w="9525">
                <a:solidFill>
                  <a:schemeClr val="accent1"/>
                </a:solidFill>
              </a:ln>
              <a:effectLst/>
            </c:spPr>
          </c:marker>
          <c:trendline>
            <c:name>y=αx^2+βx+γ</c:name>
            <c:spPr>
              <a:ln w="19050" cap="rnd">
                <a:solidFill>
                  <a:schemeClr val="accent1"/>
                </a:solidFill>
                <a:prstDash val="sysDot"/>
              </a:ln>
              <a:effectLst/>
            </c:spPr>
            <c:trendlineType val="poly"/>
            <c:order val="2"/>
            <c:dispRSqr val="1"/>
            <c:dispEq val="1"/>
            <c:trendlineLbl>
              <c:layout>
                <c:manualLayout>
                  <c:x val="-0.20716164181392549"/>
                  <c:y val="-1.1522821485754392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'second order slip equation'!$I$2:$I$37</c:f>
              <c:numCache>
                <c:formatCode>General</c:formatCode>
                <c:ptCount val="36"/>
                <c:pt idx="0">
                  <c:v>0.8447914623470737</c:v>
                </c:pt>
                <c:pt idx="1">
                  <c:v>0.81662540997110977</c:v>
                </c:pt>
                <c:pt idx="2">
                  <c:v>0.79670334418281408</c:v>
                </c:pt>
                <c:pt idx="3">
                  <c:v>0.77773015151116442</c:v>
                </c:pt>
                <c:pt idx="4">
                  <c:v>0.7557332021337968</c:v>
                </c:pt>
                <c:pt idx="5">
                  <c:v>0.74050121389512757</c:v>
                </c:pt>
                <c:pt idx="6">
                  <c:v>0.72230345943657015</c:v>
                </c:pt>
                <c:pt idx="7">
                  <c:v>0.70837681928570539</c:v>
                </c:pt>
                <c:pt idx="8">
                  <c:v>0.86979128329970512</c:v>
                </c:pt>
                <c:pt idx="9">
                  <c:v>0.85461693229634383</c:v>
                </c:pt>
                <c:pt idx="10">
                  <c:v>0.84237029454007684</c:v>
                </c:pt>
                <c:pt idx="11">
                  <c:v>0.83282283144042213</c:v>
                </c:pt>
                <c:pt idx="12">
                  <c:v>0.8281298010897109</c:v>
                </c:pt>
                <c:pt idx="13">
                  <c:v>0.81890064588343214</c:v>
                </c:pt>
                <c:pt idx="14">
                  <c:v>0.81211265767841123</c:v>
                </c:pt>
                <c:pt idx="15">
                  <c:v>0.80543627760742376</c:v>
                </c:pt>
                <c:pt idx="16">
                  <c:v>0.79886877552282154</c:v>
                </c:pt>
                <c:pt idx="17">
                  <c:v>0.79027691799886679</c:v>
                </c:pt>
                <c:pt idx="18">
                  <c:v>0.78395333684699664</c:v>
                </c:pt>
                <c:pt idx="19">
                  <c:v>0.78186790534112771</c:v>
                </c:pt>
                <c:pt idx="20">
                  <c:v>0.77979353950972874</c:v>
                </c:pt>
                <c:pt idx="21">
                  <c:v>0.77567765443108627</c:v>
                </c:pt>
                <c:pt idx="22">
                  <c:v>0.77160498993239646</c:v>
                </c:pt>
                <c:pt idx="23">
                  <c:v>0.7655755541942002</c:v>
                </c:pt>
                <c:pt idx="24">
                  <c:v>0.76160800896259317</c:v>
                </c:pt>
                <c:pt idx="25">
                  <c:v>0.75963961764822296</c:v>
                </c:pt>
                <c:pt idx="26">
                  <c:v>0.75768137479932429</c:v>
                </c:pt>
                <c:pt idx="27">
                  <c:v>0.7537950221726013</c:v>
                </c:pt>
                <c:pt idx="28">
                  <c:v>0.74803967555590578</c:v>
                </c:pt>
                <c:pt idx="29">
                  <c:v>0.74425135609832016</c:v>
                </c:pt>
                <c:pt idx="30">
                  <c:v>0.73678867473571519</c:v>
                </c:pt>
                <c:pt idx="31">
                  <c:v>0.73128914374495813</c:v>
                </c:pt>
                <c:pt idx="32">
                  <c:v>0.72587110358454165</c:v>
                </c:pt>
                <c:pt idx="33">
                  <c:v>0.72053275630569658</c:v>
                </c:pt>
                <c:pt idx="34">
                  <c:v>0.71527235646485554</c:v>
                </c:pt>
                <c:pt idx="35">
                  <c:v>0.70667365878898603</c:v>
                </c:pt>
              </c:numCache>
            </c:numRef>
          </c:xVal>
          <c:yVal>
            <c:numRef>
              <c:f>'second order slip equation'!$H$2:$H$37</c:f>
              <c:numCache>
                <c:formatCode>General</c:formatCode>
                <c:ptCount val="36"/>
                <c:pt idx="0">
                  <c:v>79.313437077645375</c:v>
                </c:pt>
                <c:pt idx="1">
                  <c:v>78.934283148089577</c:v>
                </c:pt>
                <c:pt idx="2">
                  <c:v>77.641022835840488</c:v>
                </c:pt>
                <c:pt idx="3">
                  <c:v>77.059403801940505</c:v>
                </c:pt>
                <c:pt idx="4">
                  <c:v>75.620088945727318</c:v>
                </c:pt>
                <c:pt idx="5">
                  <c:v>75.93435826564</c:v>
                </c:pt>
                <c:pt idx="6">
                  <c:v>74.805027808208763</c:v>
                </c:pt>
                <c:pt idx="7">
                  <c:v>74.695713821528159</c:v>
                </c:pt>
                <c:pt idx="8">
                  <c:v>80.509879510053892</c:v>
                </c:pt>
                <c:pt idx="9">
                  <c:v>79.433544505632469</c:v>
                </c:pt>
                <c:pt idx="10">
                  <c:v>79.589400533855198</c:v>
                </c:pt>
                <c:pt idx="11">
                  <c:v>78.719859528303161</c:v>
                </c:pt>
                <c:pt idx="12">
                  <c:v>79.724746488972144</c:v>
                </c:pt>
                <c:pt idx="13">
                  <c:v>78.775168471299622</c:v>
                </c:pt>
                <c:pt idx="14">
                  <c:v>78.712142425274337</c:v>
                </c:pt>
                <c:pt idx="15">
                  <c:v>79.079979940899747</c:v>
                </c:pt>
                <c:pt idx="16">
                  <c:v>77.991918870689474</c:v>
                </c:pt>
                <c:pt idx="17">
                  <c:v>77.905093118780542</c:v>
                </c:pt>
                <c:pt idx="18">
                  <c:v>77.690615710614566</c:v>
                </c:pt>
                <c:pt idx="19">
                  <c:v>77.747531886588561</c:v>
                </c:pt>
                <c:pt idx="20">
                  <c:v>77.400883858606306</c:v>
                </c:pt>
                <c:pt idx="21">
                  <c:v>77.108475838518956</c:v>
                </c:pt>
                <c:pt idx="22">
                  <c:v>76.064424029761753</c:v>
                </c:pt>
                <c:pt idx="23">
                  <c:v>75.829426516462448</c:v>
                </c:pt>
                <c:pt idx="24">
                  <c:v>76.244748619114191</c:v>
                </c:pt>
                <c:pt idx="25">
                  <c:v>76.26525028999859</c:v>
                </c:pt>
                <c:pt idx="26">
                  <c:v>75.94048899466766</c:v>
                </c:pt>
                <c:pt idx="27">
                  <c:v>75.63566809099585</c:v>
                </c:pt>
                <c:pt idx="28">
                  <c:v>75.337500923021835</c:v>
                </c:pt>
                <c:pt idx="29">
                  <c:v>75.650935469083805</c:v>
                </c:pt>
                <c:pt idx="30">
                  <c:v>75.003914831563293</c:v>
                </c:pt>
                <c:pt idx="31">
                  <c:v>74.950827192071003</c:v>
                </c:pt>
                <c:pt idx="32">
                  <c:v>74.595058934288517</c:v>
                </c:pt>
                <c:pt idx="33">
                  <c:v>73.967069907477168</c:v>
                </c:pt>
                <c:pt idx="34">
                  <c:v>74.385422689492827</c:v>
                </c:pt>
                <c:pt idx="35">
                  <c:v>74.150053615587424</c:v>
                </c:pt>
              </c:numCache>
            </c:numRef>
          </c:yVal>
          <c:smooth val="0"/>
          <c:extLst>
            <c:ext xmlns:c16="http://schemas.microsoft.com/office/drawing/2014/chart" uri="{C3380CC4-5D6E-409C-BE32-E72D297353CC}">
              <c16:uniqueId val="{00000001-3B50-4E7C-B667-53442E67D74C}"/>
            </c:ext>
          </c:extLst>
        </c:ser>
        <c:dLbls>
          <c:showLegendKey val="0"/>
          <c:showVal val="0"/>
          <c:showCatName val="0"/>
          <c:showSerName val="0"/>
          <c:showPercent val="0"/>
          <c:showBubbleSize val="0"/>
        </c:dLbls>
        <c:axId val="239638400"/>
        <c:axId val="242851840"/>
      </c:scatterChart>
      <c:valAx>
        <c:axId val="239638400"/>
        <c:scaling>
          <c:orientation val="minMax"/>
          <c:max val="0.88000000000000012"/>
          <c:min val="0.70000000000000007"/>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1/Pavg(1/atm)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42851840"/>
        <c:crosses val="autoZero"/>
        <c:crossBetween val="midCat"/>
      </c:valAx>
      <c:valAx>
        <c:axId val="242851840"/>
        <c:scaling>
          <c:orientation val="minMax"/>
          <c:max val="80"/>
          <c:min val="73"/>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kair(mD)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963840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αερίου υπό πίεση υπερκειμένων </a:t>
            </a:r>
            <a:r>
              <a:rPr lang="en-US" sz="1400" b="0" i="0" baseline="0">
                <a:effectLst/>
              </a:rPr>
              <a:t>150</a:t>
            </a:r>
            <a:r>
              <a:rPr lang="el-GR" sz="1400" b="0" i="0" baseline="0">
                <a:effectLst/>
              </a:rPr>
              <a:t>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Klinkenberg150bar!$I$2:$I$45</c:f>
              <c:numCache>
                <c:formatCode>0.000</c:formatCode>
                <c:ptCount val="44"/>
                <c:pt idx="0">
                  <c:v>0.89359082491577246</c:v>
                </c:pt>
                <c:pt idx="1">
                  <c:v>0.85213920007599198</c:v>
                </c:pt>
                <c:pt idx="2">
                  <c:v>0.79886877552282154</c:v>
                </c:pt>
                <c:pt idx="3">
                  <c:v>0.76160800896259317</c:v>
                </c:pt>
                <c:pt idx="4">
                  <c:v>0.72587110358454165</c:v>
                </c:pt>
                <c:pt idx="5">
                  <c:v>0.68846549716067618</c:v>
                </c:pt>
                <c:pt idx="6">
                  <c:v>0.66210052220394056</c:v>
                </c:pt>
                <c:pt idx="7">
                  <c:v>0.62546737182858592</c:v>
                </c:pt>
                <c:pt idx="8">
                  <c:v>0.5902948111660028</c:v>
                </c:pt>
                <c:pt idx="9">
                  <c:v>0.55780680189170873</c:v>
                </c:pt>
                <c:pt idx="10">
                  <c:v>0.53938108661941442</c:v>
                </c:pt>
                <c:pt idx="11">
                  <c:v>0.53545058990402661</c:v>
                </c:pt>
                <c:pt idx="12">
                  <c:v>0.51662715158948114</c:v>
                </c:pt>
                <c:pt idx="13">
                  <c:v>0.50421928693035867</c:v>
                </c:pt>
                <c:pt idx="14">
                  <c:v>0.49655274211014921</c:v>
                </c:pt>
                <c:pt idx="15">
                  <c:v>0.48588158515652197</c:v>
                </c:pt>
                <c:pt idx="16">
                  <c:v>0.4673399956202216</c:v>
                </c:pt>
                <c:pt idx="17">
                  <c:v>0.45293634918785364</c:v>
                </c:pt>
                <c:pt idx="18">
                  <c:v>0.4303863311654359</c:v>
                </c:pt>
                <c:pt idx="19">
                  <c:v>0.41460167236784656</c:v>
                </c:pt>
                <c:pt idx="20">
                  <c:v>0.40047880358060484</c:v>
                </c:pt>
                <c:pt idx="21">
                  <c:v>0.38830971756143373</c:v>
                </c:pt>
                <c:pt idx="22">
                  <c:v>0.38027141673022757</c:v>
                </c:pt>
                <c:pt idx="23">
                  <c:v>0.37114781081657494</c:v>
                </c:pt>
                <c:pt idx="24">
                  <c:v>0.35458109088849032</c:v>
                </c:pt>
                <c:pt idx="25">
                  <c:v>0.34379748646710195</c:v>
                </c:pt>
                <c:pt idx="26">
                  <c:v>0.33027613007660889</c:v>
                </c:pt>
                <c:pt idx="27">
                  <c:v>0.31915836621691457</c:v>
                </c:pt>
                <c:pt idx="28">
                  <c:v>0.31404320617926934</c:v>
                </c:pt>
                <c:pt idx="29">
                  <c:v>0.30651077257031528</c:v>
                </c:pt>
                <c:pt idx="30">
                  <c:v>0.3002485430910638</c:v>
                </c:pt>
                <c:pt idx="31">
                  <c:v>0.2933560533228427</c:v>
                </c:pt>
                <c:pt idx="32">
                  <c:v>0.2884615986295565</c:v>
                </c:pt>
                <c:pt idx="33">
                  <c:v>0.28209390907198323</c:v>
                </c:pt>
                <c:pt idx="34">
                  <c:v>0.27652060380393939</c:v>
                </c:pt>
                <c:pt idx="35">
                  <c:v>0.27317948999102121</c:v>
                </c:pt>
                <c:pt idx="36">
                  <c:v>0.26942330613980314</c:v>
                </c:pt>
                <c:pt idx="37">
                  <c:v>0.26433490545316057</c:v>
                </c:pt>
                <c:pt idx="38">
                  <c:v>0.26081644178014896</c:v>
                </c:pt>
                <c:pt idx="39">
                  <c:v>0.25784200787034112</c:v>
                </c:pt>
                <c:pt idx="40">
                  <c:v>0.25427301029542637</c:v>
                </c:pt>
                <c:pt idx="41">
                  <c:v>0.25144514188069678</c:v>
                </c:pt>
                <c:pt idx="42">
                  <c:v>0.24910100084323458</c:v>
                </c:pt>
                <c:pt idx="43">
                  <c:v>0.24721533075300012</c:v>
                </c:pt>
              </c:numCache>
            </c:numRef>
          </c:xVal>
          <c:yVal>
            <c:numRef>
              <c:f>Klinkenberg150bar!$H$2:$H$45</c:f>
              <c:numCache>
                <c:formatCode>0.00</c:formatCode>
                <c:ptCount val="44"/>
                <c:pt idx="0">
                  <c:v>9.7078472511430132</c:v>
                </c:pt>
                <c:pt idx="1">
                  <c:v>8.4709356450788587</c:v>
                </c:pt>
                <c:pt idx="2">
                  <c:v>8.2096756705988909</c:v>
                </c:pt>
                <c:pt idx="3">
                  <c:v>7.6944241725711553</c:v>
                </c:pt>
                <c:pt idx="4">
                  <c:v>7.7357838894817723</c:v>
                </c:pt>
                <c:pt idx="5">
                  <c:v>7.6543506189102546</c:v>
                </c:pt>
                <c:pt idx="6">
                  <c:v>7.8323435739822811</c:v>
                </c:pt>
                <c:pt idx="7">
                  <c:v>7.8073761426942223</c:v>
                </c:pt>
                <c:pt idx="8">
                  <c:v>7.4572448264732181</c:v>
                </c:pt>
                <c:pt idx="9">
                  <c:v>7.1811831251764904</c:v>
                </c:pt>
                <c:pt idx="10">
                  <c:v>6.9907293064466627</c:v>
                </c:pt>
                <c:pt idx="11">
                  <c:v>6.919641455444884</c:v>
                </c:pt>
                <c:pt idx="12">
                  <c:v>6.7464177058583665</c:v>
                </c:pt>
                <c:pt idx="13">
                  <c:v>6.7076867331177104</c:v>
                </c:pt>
                <c:pt idx="14">
                  <c:v>6.6877879428416973</c:v>
                </c:pt>
                <c:pt idx="15">
                  <c:v>6.6005453439838009</c:v>
                </c:pt>
                <c:pt idx="16">
                  <c:v>6.6010942561322983</c:v>
                </c:pt>
                <c:pt idx="17">
                  <c:v>6.4145405040747328</c:v>
                </c:pt>
                <c:pt idx="18">
                  <c:v>6.3570780738294586</c:v>
                </c:pt>
                <c:pt idx="19">
                  <c:v>6.2467544734904843</c:v>
                </c:pt>
                <c:pt idx="20">
                  <c:v>6.1525706475269573</c:v>
                </c:pt>
                <c:pt idx="21">
                  <c:v>6.0590306113855128</c:v>
                </c:pt>
                <c:pt idx="22">
                  <c:v>6.0037274509380838</c:v>
                </c:pt>
                <c:pt idx="23">
                  <c:v>5.8880153735026708</c:v>
                </c:pt>
                <c:pt idx="24">
                  <c:v>5.8521822713183482</c:v>
                </c:pt>
                <c:pt idx="25">
                  <c:v>5.7995944090741665</c:v>
                </c:pt>
                <c:pt idx="26">
                  <c:v>5.7125566785890944</c:v>
                </c:pt>
                <c:pt idx="27">
                  <c:v>5.6344269410138494</c:v>
                </c:pt>
                <c:pt idx="28">
                  <c:v>5.5799191579345742</c:v>
                </c:pt>
                <c:pt idx="29">
                  <c:v>5.5303447575446123</c:v>
                </c:pt>
                <c:pt idx="30">
                  <c:v>5.462885795583273</c:v>
                </c:pt>
                <c:pt idx="31">
                  <c:v>5.4266680754767966</c:v>
                </c:pt>
                <c:pt idx="32">
                  <c:v>5.3791015841729362</c:v>
                </c:pt>
                <c:pt idx="33">
                  <c:v>5.3376081340780699</c:v>
                </c:pt>
                <c:pt idx="34">
                  <c:v>5.2867669810689506</c:v>
                </c:pt>
                <c:pt idx="35">
                  <c:v>5.2688922977958503</c:v>
                </c:pt>
                <c:pt idx="36">
                  <c:v>5.2414647839840338</c:v>
                </c:pt>
                <c:pt idx="37">
                  <c:v>5.2015880665577292</c:v>
                </c:pt>
                <c:pt idx="38">
                  <c:v>5.1589858840168841</c:v>
                </c:pt>
                <c:pt idx="39">
                  <c:v>5.1376672778007055</c:v>
                </c:pt>
                <c:pt idx="40">
                  <c:v>5.0846718507518851</c:v>
                </c:pt>
                <c:pt idx="41">
                  <c:v>5.0626863157617521</c:v>
                </c:pt>
                <c:pt idx="42">
                  <c:v>5.0363670670569531</c:v>
                </c:pt>
                <c:pt idx="43">
                  <c:v>5.0179992029078546</c:v>
                </c:pt>
              </c:numCache>
            </c:numRef>
          </c:yVal>
          <c:smooth val="0"/>
          <c:extLst>
            <c:ext xmlns:c16="http://schemas.microsoft.com/office/drawing/2014/chart" uri="{C3380CC4-5D6E-409C-BE32-E72D297353CC}">
              <c16:uniqueId val="{00000000-20B1-400D-89D2-961EAC968787}"/>
            </c:ext>
          </c:extLst>
        </c:ser>
        <c:dLbls>
          <c:showLegendKey val="0"/>
          <c:showVal val="0"/>
          <c:showCatName val="0"/>
          <c:showSerName val="0"/>
          <c:showPercent val="0"/>
          <c:showBubbleSize val="0"/>
        </c:dLbls>
        <c:axId val="243750784"/>
        <c:axId val="243761152"/>
      </c:scatterChart>
      <c:valAx>
        <c:axId val="243750784"/>
        <c:scaling>
          <c:orientation val="minMax"/>
          <c:max val="1"/>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1/Pavg(1/atm)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43761152"/>
        <c:crosses val="autoZero"/>
        <c:crossBetween val="midCat"/>
      </c:valAx>
      <c:valAx>
        <c:axId val="243761152"/>
        <c:scaling>
          <c:orientation val="minMax"/>
          <c:max val="10"/>
          <c:min val="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kair(mD)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437507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l-G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l-GR" sz="1400" b="0" i="0" baseline="0">
                <a:effectLst/>
              </a:rPr>
              <a:t>Μονοφασική ροή αερίου υπό πίεση υπερκειμένων 150 </a:t>
            </a:r>
            <a:r>
              <a:rPr lang="en-US" sz="1400" b="0" i="0" baseline="0">
                <a:effectLst/>
              </a:rPr>
              <a:t>bar</a:t>
            </a:r>
            <a:endParaRPr lang="el-GR" sz="1400">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l-GR"/>
        </a:p>
      </c:txPr>
    </c:title>
    <c:autoTitleDeleted val="0"/>
    <c:plotArea>
      <c:layout/>
      <c:scatterChart>
        <c:scatterStyle val="lineMarker"/>
        <c:varyColors val="0"/>
        <c:ser>
          <c:idx val="0"/>
          <c:order val="0"/>
          <c:tx>
            <c:v>πειραματικά σημεία</c:v>
          </c:tx>
          <c:spPr>
            <a:ln w="25400" cap="rnd">
              <a:noFill/>
              <a:round/>
            </a:ln>
            <a:effectLst/>
          </c:spPr>
          <c:marker>
            <c:symbol val="circle"/>
            <c:size val="5"/>
            <c:spPr>
              <a:solidFill>
                <a:schemeClr val="accent1"/>
              </a:solidFill>
              <a:ln w="9525">
                <a:solidFill>
                  <a:schemeClr val="accent1"/>
                </a:solidFill>
              </a:ln>
              <a:effectLst/>
            </c:spPr>
          </c:marker>
          <c:trendline>
            <c:name>y=αx+β</c:name>
            <c:spPr>
              <a:ln w="19050" cap="rnd">
                <a:solidFill>
                  <a:schemeClr val="accent1"/>
                </a:solidFill>
                <a:prstDash val="sysDot"/>
              </a:ln>
              <a:effectLst/>
            </c:spPr>
            <c:trendlineType val="linear"/>
            <c:dispRSqr val="1"/>
            <c:dispEq val="1"/>
            <c:trendlineLbl>
              <c:layout>
                <c:manualLayout>
                  <c:x val="-9.1453630796150487E-2"/>
                  <c:y val="-4.7462817147856518E-4"/>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trendlineLbl>
          </c:trendline>
          <c:xVal>
            <c:numRef>
              <c:f>Klinkenberg150bar!$I$8:$I$45</c:f>
              <c:numCache>
                <c:formatCode>0.000</c:formatCode>
                <c:ptCount val="38"/>
                <c:pt idx="0">
                  <c:v>0.66210052220394056</c:v>
                </c:pt>
                <c:pt idx="1">
                  <c:v>0.62546737182858592</c:v>
                </c:pt>
                <c:pt idx="2">
                  <c:v>0.5902948111660028</c:v>
                </c:pt>
                <c:pt idx="3">
                  <c:v>0.55780680189170873</c:v>
                </c:pt>
                <c:pt idx="4">
                  <c:v>0.53938108661941442</c:v>
                </c:pt>
                <c:pt idx="5">
                  <c:v>0.53545058990402661</c:v>
                </c:pt>
                <c:pt idx="6">
                  <c:v>0.51662715158948114</c:v>
                </c:pt>
                <c:pt idx="7">
                  <c:v>0.50421928693035867</c:v>
                </c:pt>
                <c:pt idx="8">
                  <c:v>0.49655274211014921</c:v>
                </c:pt>
                <c:pt idx="9">
                  <c:v>0.48588158515652197</c:v>
                </c:pt>
                <c:pt idx="10">
                  <c:v>0.4673399956202216</c:v>
                </c:pt>
                <c:pt idx="11">
                  <c:v>0.45293634918785364</c:v>
                </c:pt>
                <c:pt idx="12">
                  <c:v>0.4303863311654359</c:v>
                </c:pt>
                <c:pt idx="13">
                  <c:v>0.41460167236784656</c:v>
                </c:pt>
                <c:pt idx="14">
                  <c:v>0.40047880358060484</c:v>
                </c:pt>
                <c:pt idx="15">
                  <c:v>0.38830971756143373</c:v>
                </c:pt>
                <c:pt idx="16">
                  <c:v>0.38027141673022757</c:v>
                </c:pt>
                <c:pt idx="17">
                  <c:v>0.37114781081657494</c:v>
                </c:pt>
                <c:pt idx="18">
                  <c:v>0.35458109088849032</c:v>
                </c:pt>
                <c:pt idx="19">
                  <c:v>0.34379748646710195</c:v>
                </c:pt>
                <c:pt idx="20">
                  <c:v>0.33027613007660889</c:v>
                </c:pt>
                <c:pt idx="21">
                  <c:v>0.31915836621691457</c:v>
                </c:pt>
                <c:pt idx="22">
                  <c:v>0.31404320617926934</c:v>
                </c:pt>
                <c:pt idx="23">
                  <c:v>0.30651077257031528</c:v>
                </c:pt>
                <c:pt idx="24">
                  <c:v>0.3002485430910638</c:v>
                </c:pt>
                <c:pt idx="25">
                  <c:v>0.2933560533228427</c:v>
                </c:pt>
                <c:pt idx="26">
                  <c:v>0.2884615986295565</c:v>
                </c:pt>
                <c:pt idx="27">
                  <c:v>0.28209390907198323</c:v>
                </c:pt>
                <c:pt idx="28">
                  <c:v>0.27652060380393939</c:v>
                </c:pt>
                <c:pt idx="29">
                  <c:v>0.27317948999102121</c:v>
                </c:pt>
                <c:pt idx="30">
                  <c:v>0.26942330613980314</c:v>
                </c:pt>
                <c:pt idx="31">
                  <c:v>0.26433490545316057</c:v>
                </c:pt>
                <c:pt idx="32">
                  <c:v>0.26081644178014896</c:v>
                </c:pt>
                <c:pt idx="33">
                  <c:v>0.25784200787034112</c:v>
                </c:pt>
                <c:pt idx="34">
                  <c:v>0.25427301029542637</c:v>
                </c:pt>
                <c:pt idx="35">
                  <c:v>0.25144514188069678</c:v>
                </c:pt>
                <c:pt idx="36">
                  <c:v>0.24910100084323458</c:v>
                </c:pt>
                <c:pt idx="37">
                  <c:v>0.24721533075300012</c:v>
                </c:pt>
              </c:numCache>
            </c:numRef>
          </c:xVal>
          <c:yVal>
            <c:numRef>
              <c:f>Klinkenberg150bar!$H$8:$H$45</c:f>
              <c:numCache>
                <c:formatCode>0.00</c:formatCode>
                <c:ptCount val="38"/>
                <c:pt idx="0">
                  <c:v>7.8323435739822811</c:v>
                </c:pt>
                <c:pt idx="1">
                  <c:v>7.8073761426942223</c:v>
                </c:pt>
                <c:pt idx="2">
                  <c:v>7.4572448264732181</c:v>
                </c:pt>
                <c:pt idx="3">
                  <c:v>7.1811831251764904</c:v>
                </c:pt>
                <c:pt idx="4">
                  <c:v>6.9907293064466627</c:v>
                </c:pt>
                <c:pt idx="5">
                  <c:v>6.919641455444884</c:v>
                </c:pt>
                <c:pt idx="6">
                  <c:v>6.7464177058583665</c:v>
                </c:pt>
                <c:pt idx="7">
                  <c:v>6.7076867331177104</c:v>
                </c:pt>
                <c:pt idx="8">
                  <c:v>6.6877879428416973</c:v>
                </c:pt>
                <c:pt idx="9">
                  <c:v>6.6005453439838009</c:v>
                </c:pt>
                <c:pt idx="10">
                  <c:v>6.6010942561322983</c:v>
                </c:pt>
                <c:pt idx="11">
                  <c:v>6.4145405040747328</c:v>
                </c:pt>
                <c:pt idx="12">
                  <c:v>6.3570780738294586</c:v>
                </c:pt>
                <c:pt idx="13">
                  <c:v>6.2467544734904843</c:v>
                </c:pt>
                <c:pt idx="14">
                  <c:v>6.1525706475269573</c:v>
                </c:pt>
                <c:pt idx="15">
                  <c:v>6.0590306113855128</c:v>
                </c:pt>
                <c:pt idx="16">
                  <c:v>6.0037274509380838</c:v>
                </c:pt>
                <c:pt idx="17">
                  <c:v>5.8880153735026708</c:v>
                </c:pt>
                <c:pt idx="18">
                  <c:v>5.8521822713183482</c:v>
                </c:pt>
                <c:pt idx="19">
                  <c:v>5.7995944090741665</c:v>
                </c:pt>
                <c:pt idx="20">
                  <c:v>5.7125566785890944</c:v>
                </c:pt>
                <c:pt idx="21">
                  <c:v>5.6344269410138494</c:v>
                </c:pt>
                <c:pt idx="22">
                  <c:v>5.5799191579345742</c:v>
                </c:pt>
                <c:pt idx="23">
                  <c:v>5.5303447575446123</c:v>
                </c:pt>
                <c:pt idx="24">
                  <c:v>5.462885795583273</c:v>
                </c:pt>
                <c:pt idx="25">
                  <c:v>5.4266680754767966</c:v>
                </c:pt>
                <c:pt idx="26">
                  <c:v>5.3791015841729362</c:v>
                </c:pt>
                <c:pt idx="27">
                  <c:v>5.3376081340780699</c:v>
                </c:pt>
                <c:pt idx="28">
                  <c:v>5.2867669810689506</c:v>
                </c:pt>
                <c:pt idx="29">
                  <c:v>5.2688922977958503</c:v>
                </c:pt>
                <c:pt idx="30">
                  <c:v>5.2414647839840338</c:v>
                </c:pt>
                <c:pt idx="31">
                  <c:v>5.2015880665577292</c:v>
                </c:pt>
                <c:pt idx="32">
                  <c:v>5.1589858840168841</c:v>
                </c:pt>
                <c:pt idx="33">
                  <c:v>5.1376672778007055</c:v>
                </c:pt>
                <c:pt idx="34">
                  <c:v>5.0846718507518851</c:v>
                </c:pt>
                <c:pt idx="35">
                  <c:v>5.0626863157617521</c:v>
                </c:pt>
                <c:pt idx="36">
                  <c:v>5.0363670670569531</c:v>
                </c:pt>
                <c:pt idx="37">
                  <c:v>5.0179992029078546</c:v>
                </c:pt>
              </c:numCache>
            </c:numRef>
          </c:yVal>
          <c:smooth val="0"/>
          <c:extLst>
            <c:ext xmlns:c16="http://schemas.microsoft.com/office/drawing/2014/chart" uri="{C3380CC4-5D6E-409C-BE32-E72D297353CC}">
              <c16:uniqueId val="{00000001-4D5A-497A-A139-6B15329CB1D2}"/>
            </c:ext>
          </c:extLst>
        </c:ser>
        <c:dLbls>
          <c:showLegendKey val="0"/>
          <c:showVal val="0"/>
          <c:showCatName val="0"/>
          <c:showSerName val="0"/>
          <c:showPercent val="0"/>
          <c:showBubbleSize val="0"/>
        </c:dLbls>
        <c:axId val="236967040"/>
        <c:axId val="236968960"/>
      </c:scatterChart>
      <c:valAx>
        <c:axId val="236967040"/>
        <c:scaling>
          <c:orientation val="minMax"/>
          <c:min val="0.2"/>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1/Pavg(1/atm) </a:t>
                </a:r>
                <a:endParaRPr lang="el-G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6968960"/>
        <c:crosses val="autoZero"/>
        <c:crossBetween val="midCat"/>
      </c:valAx>
      <c:valAx>
        <c:axId val="236968960"/>
        <c:scaling>
          <c:orientation val="minMax"/>
          <c:min val="4"/>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kair(mD) </a:t>
                </a:r>
                <a:endParaRPr lang="el-G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l-GR"/>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crossAx val="236967040"/>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l-G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l-G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9</xdr:col>
      <xdr:colOff>266700</xdr:colOff>
      <xdr:row>17</xdr:row>
      <xdr:rowOff>133350</xdr:rowOff>
    </xdr:from>
    <xdr:to>
      <xdr:col>18</xdr:col>
      <xdr:colOff>476250</xdr:colOff>
      <xdr:row>34</xdr:row>
      <xdr:rowOff>95250</xdr:rowOff>
    </xdr:to>
    <xdr:graphicFrame macro="">
      <xdr:nvGraphicFramePr>
        <xdr:cNvPr id="3" name="Γράφημα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10</xdr:col>
      <xdr:colOff>28575</xdr:colOff>
      <xdr:row>36</xdr:row>
      <xdr:rowOff>28575</xdr:rowOff>
    </xdr:from>
    <xdr:ext cx="4571999" cy="160020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7305675" y="6886575"/>
          <a:ext cx="4571999" cy="16002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Διάγραμμα</a:t>
          </a:r>
          <a:r>
            <a:rPr lang="el-GR" sz="1100" baseline="0"/>
            <a:t> διαπερατότητας σε αέρα συναρτήσει της αντίστροφης μέσης πίεσης. Παρατηρείται πως σε μεγάλες τιμές της αντίστροφης πίεσης τα πειραματικά σημεία δεν ακολουθούν την ευθεία. Αυτό οφείλεται διότι απαιτείται πολύς χρόνος για να σταθεροποιηθεί η πίεση στην εισροή. Σε μικρές τιμές της αντίστροφης μέσης πίεσης η καμπύλη δε παραμένει ευθεία λόγω της συμπιεστότητας του αέρα, η πίεση της εκροής μειώνεται σε σύγκριση με τη πίεση εισροής σε βαθμό που δε μπορεί η ροή να προσεγγίζει ενός ασυμπίεστου ρευστού.</a:t>
          </a:r>
          <a:endParaRPr lang="el-GR" sz="1100"/>
        </a:p>
      </xdr:txBody>
    </xdr:sp>
    <xdr:clientData/>
  </xdr:oneCellAnchor>
  <xdr:oneCellAnchor>
    <xdr:from>
      <xdr:col>11</xdr:col>
      <xdr:colOff>285749</xdr:colOff>
      <xdr:row>82</xdr:row>
      <xdr:rowOff>171450</xdr:rowOff>
    </xdr:from>
    <xdr:ext cx="1762125" cy="123825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8172449" y="15792450"/>
          <a:ext cx="1762125" cy="1238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endParaRPr lang="el-GR" sz="1100"/>
        </a:p>
      </xdr:txBody>
    </xdr:sp>
    <xdr:clientData/>
  </xdr:oneCellAnchor>
  <xdr:twoCellAnchor>
    <xdr:from>
      <xdr:col>10</xdr:col>
      <xdr:colOff>308610</xdr:colOff>
      <xdr:row>74</xdr:row>
      <xdr:rowOff>89535</xdr:rowOff>
    </xdr:from>
    <xdr:to>
      <xdr:col>19</xdr:col>
      <xdr:colOff>556260</xdr:colOff>
      <xdr:row>90</xdr:row>
      <xdr:rowOff>70485</xdr:rowOff>
    </xdr:to>
    <xdr:graphicFrame macro="">
      <xdr:nvGraphicFramePr>
        <xdr:cNvPr id="8" name="Γράφημα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12</xdr:col>
      <xdr:colOff>483392</xdr:colOff>
      <xdr:row>99</xdr:row>
      <xdr:rowOff>23812</xdr:rowOff>
    </xdr:from>
    <xdr:ext cx="4374357" cy="881063"/>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9032080" y="18883312"/>
          <a:ext cx="4374357" cy="8810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noAutofit/>
        </a:bodyPr>
        <a:lstStyle/>
        <a:p>
          <a:r>
            <a:rPr lang="el-GR" sz="1100"/>
            <a:t>Στο</a:t>
          </a:r>
          <a:r>
            <a:rPr lang="el-GR" sz="1100" baseline="0"/>
            <a:t> διάγραμμα της διαπερατότητας με τη μέση αντίστροφη πίεση που ακολουθούν την εξίσωση του </a:t>
          </a:r>
          <a:r>
            <a:rPr lang="en-US" sz="1100" baseline="0"/>
            <a:t>Klinkenberg, </a:t>
          </a:r>
          <a:r>
            <a:rPr lang="el-GR" sz="1100" baseline="0"/>
            <a:t>υπολογίστηκε η σταθερά ολίσθησης </a:t>
          </a:r>
          <a:r>
            <a:rPr lang="en-US" sz="1100" baseline="0"/>
            <a:t>b </a:t>
          </a:r>
          <a:r>
            <a:rPr lang="el-GR" sz="1100" baseline="0"/>
            <a:t>και η απόλυτη διαπερατότητα των υγρών Κ</a:t>
          </a:r>
          <a:r>
            <a:rPr lang="en-US" sz="1000" baseline="0"/>
            <a:t>l</a:t>
          </a:r>
          <a:r>
            <a:rPr lang="en-US" sz="1100" baseline="0"/>
            <a:t>.</a:t>
          </a:r>
          <a:endParaRPr lang="el-GR"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11</xdr:col>
      <xdr:colOff>104774</xdr:colOff>
      <xdr:row>19</xdr:row>
      <xdr:rowOff>38100</xdr:rowOff>
    </xdr:from>
    <xdr:to>
      <xdr:col>20</xdr:col>
      <xdr:colOff>600075</xdr:colOff>
      <xdr:row>37</xdr:row>
      <xdr:rowOff>28575</xdr:rowOff>
    </xdr:to>
    <xdr:graphicFrame macro="">
      <xdr:nvGraphicFramePr>
        <xdr:cNvPr id="2" name="Γράφημα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21</xdr:col>
      <xdr:colOff>457200</xdr:colOff>
      <xdr:row>28</xdr:row>
      <xdr:rowOff>95250</xdr:rowOff>
    </xdr:from>
    <xdr:ext cx="1790699" cy="1647825"/>
    <xdr:sp macro="" textlink="">
      <xdr:nvSpPr>
        <xdr:cNvPr id="3" name="TextBox 2">
          <a:extLst>
            <a:ext uri="{FF2B5EF4-FFF2-40B4-BE49-F238E27FC236}">
              <a16:creationId xmlns:a16="http://schemas.microsoft.com/office/drawing/2014/main" id="{00000000-0008-0000-0100-000003000000}"/>
            </a:ext>
          </a:extLst>
        </xdr:cNvPr>
        <xdr:cNvSpPr txBox="1"/>
      </xdr:nvSpPr>
      <xdr:spPr>
        <a:xfrm>
          <a:off x="15325725" y="5429250"/>
          <a:ext cx="1790699" cy="1647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Η</a:t>
          </a:r>
          <a:r>
            <a:rPr lang="el-GR" sz="1100" baseline="0"/>
            <a:t> διόρθωση</a:t>
          </a:r>
          <a:r>
            <a:rPr lang="en-US" sz="1100" baseline="0"/>
            <a:t> </a:t>
          </a:r>
          <a:r>
            <a:rPr lang="el-GR" sz="1100" baseline="0"/>
            <a:t>διαπερατότητας  κατά </a:t>
          </a:r>
          <a:r>
            <a:rPr lang="en-US" sz="1100" baseline="0"/>
            <a:t>Knudsen</a:t>
          </a:r>
          <a:r>
            <a:rPr lang="el-GR" sz="1100" baseline="0"/>
            <a:t>  αποδίδει τη διαπερατότητα </a:t>
          </a:r>
          <a:r>
            <a:rPr lang="en-US" sz="1100" baseline="0"/>
            <a:t>Kl=16.77 mD, </a:t>
          </a:r>
          <a:r>
            <a:rPr lang="el-GR" sz="1100" baseline="0"/>
            <a:t>η οποία είναι σε συμφωνία με τη διαπερατότητα του νερού στα στα 60 </a:t>
          </a:r>
          <a:r>
            <a:rPr lang="en-US" sz="1100" baseline="0"/>
            <a:t>bar </a:t>
          </a:r>
          <a:r>
            <a:rPr lang="el-GR" sz="1100" baseline="0"/>
            <a:t>πιεση υπερκειμένων.</a:t>
          </a:r>
          <a:endParaRPr lang="el-GR" sz="1100"/>
        </a:p>
      </xdr:txBody>
    </xdr:sp>
    <xdr:clientData/>
  </xdr:oneCellAnchor>
  <xdr:oneCellAnchor>
    <xdr:from>
      <xdr:col>20</xdr:col>
      <xdr:colOff>590551</xdr:colOff>
      <xdr:row>9</xdr:row>
      <xdr:rowOff>171450</xdr:rowOff>
    </xdr:from>
    <xdr:ext cx="2590799" cy="542925"/>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14849476" y="1885950"/>
          <a:ext cx="2590799" cy="542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Σταθερές</a:t>
          </a:r>
          <a:r>
            <a:rPr lang="en-US" sz="1100" baseline="0"/>
            <a:t> C1 </a:t>
          </a:r>
          <a:r>
            <a:rPr lang="el-GR" sz="1100" baseline="0"/>
            <a:t>και </a:t>
          </a:r>
          <a:r>
            <a:rPr lang="en-US" sz="1100" baseline="0"/>
            <a:t>C2 </a:t>
          </a:r>
          <a:r>
            <a:rPr lang="el-GR" sz="1100" baseline="0"/>
            <a:t>της δυναμοσειρας </a:t>
          </a:r>
          <a:r>
            <a:rPr lang="en-US" sz="1100" baseline="0"/>
            <a:t>Taylor </a:t>
          </a:r>
          <a:r>
            <a:rPr lang="el-GR" sz="1100" baseline="0"/>
            <a:t>για πραγματικά πορώδη μέσα.</a:t>
          </a:r>
          <a:endParaRPr lang="el-GR" sz="1100"/>
        </a:p>
      </xdr:txBody>
    </xdr:sp>
    <xdr:clientData/>
  </xdr:oneCellAnchor>
  <xdr:oneCellAnchor>
    <xdr:from>
      <xdr:col>27</xdr:col>
      <xdr:colOff>47624</xdr:colOff>
      <xdr:row>14</xdr:row>
      <xdr:rowOff>0</xdr:rowOff>
    </xdr:from>
    <xdr:ext cx="3552825" cy="771524"/>
    <xdr:sp macro="" textlink="">
      <xdr:nvSpPr>
        <xdr:cNvPr id="5" name="TextBox 4">
          <a:extLst>
            <a:ext uri="{FF2B5EF4-FFF2-40B4-BE49-F238E27FC236}">
              <a16:creationId xmlns:a16="http://schemas.microsoft.com/office/drawing/2014/main" id="{00000000-0008-0000-0100-000005000000}"/>
            </a:ext>
          </a:extLst>
        </xdr:cNvPr>
        <xdr:cNvSpPr txBox="1"/>
      </xdr:nvSpPr>
      <xdr:spPr>
        <a:xfrm>
          <a:off x="18764249" y="2667000"/>
          <a:ext cx="3552825" cy="7715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Σταθεροί</a:t>
          </a:r>
          <a:r>
            <a:rPr lang="el-GR" sz="1100" baseline="0"/>
            <a:t> όροι Α και Β της εξίσωσης</a:t>
          </a:r>
          <a:r>
            <a:rPr lang="en-US" sz="1100" baseline="0"/>
            <a:t> </a:t>
          </a:r>
          <a:r>
            <a:rPr lang="el-GR" sz="1100" baseline="0"/>
            <a:t>ολίσθησης δεύτερης τάξης. Και Κ</a:t>
          </a:r>
          <a:r>
            <a:rPr lang="en-US" sz="1000" baseline="0"/>
            <a:t>l</a:t>
          </a:r>
          <a:r>
            <a:rPr lang="en-US" sz="1100" baseline="0"/>
            <a:t> </a:t>
          </a:r>
          <a:r>
            <a:rPr lang="el-GR" sz="1100" baseline="0"/>
            <a:t>η διορθωμένη διαπερατότητα ή διαπερατότητα σε υγρές φάσεις.</a:t>
          </a:r>
          <a:endParaRPr lang="el-GR" sz="1000"/>
        </a:p>
      </xdr:txBody>
    </xdr:sp>
    <xdr:clientData/>
  </xdr:oneCellAnchor>
  <xdr:oneCellAnchor>
    <xdr:from>
      <xdr:col>23</xdr:col>
      <xdr:colOff>247650</xdr:colOff>
      <xdr:row>0</xdr:row>
      <xdr:rowOff>19051</xdr:rowOff>
    </xdr:from>
    <xdr:ext cx="7296150" cy="809624"/>
    <xdr:sp macro="" textlink="">
      <xdr:nvSpPr>
        <xdr:cNvPr id="6" name="TextBox 5">
          <a:extLst>
            <a:ext uri="{FF2B5EF4-FFF2-40B4-BE49-F238E27FC236}">
              <a16:creationId xmlns:a16="http://schemas.microsoft.com/office/drawing/2014/main" id="{00000000-0008-0000-0100-000006000000}"/>
            </a:ext>
          </a:extLst>
        </xdr:cNvPr>
        <xdr:cNvSpPr txBox="1"/>
      </xdr:nvSpPr>
      <xdr:spPr>
        <a:xfrm>
          <a:off x="16525875" y="19051"/>
          <a:ext cx="7296150" cy="80962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Η</a:t>
          </a:r>
          <a:r>
            <a:rPr lang="el-GR" sz="1100" baseline="0"/>
            <a:t> ακτίνα </a:t>
          </a:r>
          <a:r>
            <a:rPr lang="en-US" sz="1100" baseline="0"/>
            <a:t>R</a:t>
          </a:r>
          <a:r>
            <a:rPr lang="el-GR" sz="1100" baseline="0"/>
            <a:t>2</a:t>
          </a:r>
          <a:r>
            <a:rPr lang="en-US" sz="1100" baseline="0"/>
            <a:t> </a:t>
          </a:r>
          <a:r>
            <a:rPr lang="el-GR" sz="1100" baseline="0"/>
            <a:t>υπολογίστηκε με βάση τη διαπερατότητα της εξίσωσης ολίσθησης δεύτερης τάξης. Αν ληφθεί υπόψην ο λιθολογικός παράγοντας για τη </a:t>
          </a:r>
          <a:r>
            <a:rPr lang="en-US" sz="1100" baseline="0"/>
            <a:t>R1 </a:t>
          </a:r>
          <a:r>
            <a:rPr lang="el-GR" sz="1100" baseline="0"/>
            <a:t>παρατηρείται πως η μέση ακτίνα είναι πιο αντιπροσωπευτική από τη </a:t>
          </a:r>
          <a:r>
            <a:rPr lang="en-US" sz="1100" baseline="0"/>
            <a:t>R2, </a:t>
          </a:r>
          <a:r>
            <a:rPr lang="el-GR" sz="1100" baseline="0"/>
            <a:t>επειδή το διορθωμένο μήκος του δοκιμίου θα πρέπει να είναι μεγαλύτερο</a:t>
          </a:r>
          <a:r>
            <a:rPr lang="en-US" sz="1100" baseline="0"/>
            <a:t> </a:t>
          </a:r>
          <a:r>
            <a:rPr lang="el-GR" sz="1100" baseline="0"/>
            <a:t>του πραγματικού και αυτο γιατί η εξίσωση του </a:t>
          </a:r>
          <a:r>
            <a:rPr lang="en-US" sz="1100">
              <a:solidFill>
                <a:schemeClr val="tx1"/>
              </a:solidFill>
              <a:effectLst/>
              <a:latin typeface="+mn-lt"/>
              <a:ea typeface="+mn-ea"/>
              <a:cs typeface="+mn-cs"/>
            </a:rPr>
            <a:t>Poiseuille </a:t>
          </a:r>
          <a:r>
            <a:rPr lang="el-GR" sz="1100">
              <a:solidFill>
                <a:schemeClr val="tx1"/>
              </a:solidFill>
              <a:effectLst/>
              <a:latin typeface="+mn-lt"/>
              <a:ea typeface="+mn-ea"/>
              <a:cs typeface="+mn-cs"/>
            </a:rPr>
            <a:t>θεωρεί</a:t>
          </a:r>
          <a:r>
            <a:rPr lang="el-GR" sz="1100" baseline="0">
              <a:solidFill>
                <a:schemeClr val="tx1"/>
              </a:solidFill>
              <a:effectLst/>
              <a:latin typeface="+mn-lt"/>
              <a:ea typeface="+mn-ea"/>
              <a:cs typeface="+mn-cs"/>
            </a:rPr>
            <a:t> ευθύγραμμα τριχοειδή ίσης ακτίνας σε αντίθεση με το νόμο του </a:t>
          </a:r>
          <a:r>
            <a:rPr lang="en-US" sz="1100" baseline="0">
              <a:solidFill>
                <a:schemeClr val="tx1"/>
              </a:solidFill>
              <a:effectLst/>
              <a:latin typeface="+mn-lt"/>
              <a:ea typeface="+mn-ea"/>
              <a:cs typeface="+mn-cs"/>
            </a:rPr>
            <a:t>Darcy.</a:t>
          </a:r>
          <a:endParaRPr lang="el-GR" sz="11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12</xdr:col>
      <xdr:colOff>104774</xdr:colOff>
      <xdr:row>1</xdr:row>
      <xdr:rowOff>161925</xdr:rowOff>
    </xdr:from>
    <xdr:to>
      <xdr:col>21</xdr:col>
      <xdr:colOff>129540</xdr:colOff>
      <xdr:row>16</xdr:row>
      <xdr:rowOff>47625</xdr:rowOff>
    </xdr:to>
    <xdr:graphicFrame macro="">
      <xdr:nvGraphicFramePr>
        <xdr:cNvPr id="2" name="Γράφημα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95250</xdr:colOff>
      <xdr:row>17</xdr:row>
      <xdr:rowOff>95249</xdr:rowOff>
    </xdr:from>
    <xdr:to>
      <xdr:col>21</xdr:col>
      <xdr:colOff>144780</xdr:colOff>
      <xdr:row>33</xdr:row>
      <xdr:rowOff>66674</xdr:rowOff>
    </xdr:to>
    <xdr:graphicFrame macro="">
      <xdr:nvGraphicFramePr>
        <xdr:cNvPr id="3" name="Γράφημα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21</xdr:col>
      <xdr:colOff>123824</xdr:colOff>
      <xdr:row>6</xdr:row>
      <xdr:rowOff>114300</xdr:rowOff>
    </xdr:from>
    <xdr:ext cx="2428875" cy="771525"/>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14030324" y="1257300"/>
          <a:ext cx="2428875" cy="7715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Πειραματικά δεδομένα,</a:t>
          </a:r>
          <a:r>
            <a:rPr lang="el-GR" sz="1100" baseline="0"/>
            <a:t> θα πρέπει να λήφθούν υπόψην μόνο οι σταθεροιποιημένες τιμές.</a:t>
          </a:r>
          <a:endParaRPr lang="el-GR" sz="1100"/>
        </a:p>
      </xdr:txBody>
    </xdr:sp>
    <xdr:clientData/>
  </xdr:oneCellAnchor>
  <xdr:oneCellAnchor>
    <xdr:from>
      <xdr:col>21</xdr:col>
      <xdr:colOff>200025</xdr:colOff>
      <xdr:row>20</xdr:row>
      <xdr:rowOff>152400</xdr:rowOff>
    </xdr:from>
    <xdr:ext cx="2800349" cy="781050"/>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14106525" y="3962400"/>
          <a:ext cx="2800349" cy="781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Εξίσωση</a:t>
          </a:r>
          <a:r>
            <a:rPr lang="el-GR" sz="1100" baseline="0"/>
            <a:t> </a:t>
          </a:r>
          <a:r>
            <a:rPr lang="en-US" sz="1100" baseline="0"/>
            <a:t>Klinkenberg </a:t>
          </a:r>
          <a:r>
            <a:rPr lang="el-GR" sz="1100" baseline="0"/>
            <a:t>δίνει τη σταθερά της ολίσθησης </a:t>
          </a:r>
          <a:r>
            <a:rPr lang="en-US" sz="1100" baseline="0"/>
            <a:t>b </a:t>
          </a:r>
          <a:r>
            <a:rPr lang="el-GR" sz="1100" baseline="0"/>
            <a:t>και τη διορθωμένη διαπερατότητα </a:t>
          </a:r>
          <a:r>
            <a:rPr lang="en-US" sz="1100" baseline="0"/>
            <a:t>K</a:t>
          </a:r>
          <a:r>
            <a:rPr lang="en-US" sz="1000" baseline="0"/>
            <a:t>l</a:t>
          </a:r>
          <a:r>
            <a:rPr lang="en-US" sz="1100" baseline="0"/>
            <a:t>.</a:t>
          </a:r>
          <a:endParaRPr lang="el-GR" sz="1000"/>
        </a:p>
      </xdr:txBody>
    </xdr:sp>
    <xdr:clientData/>
  </xdr:oneCellAnchor>
  <xdr:oneCellAnchor>
    <xdr:from>
      <xdr:col>34</xdr:col>
      <xdr:colOff>590551</xdr:colOff>
      <xdr:row>11</xdr:row>
      <xdr:rowOff>171450</xdr:rowOff>
    </xdr:from>
    <xdr:ext cx="2590799" cy="542925"/>
    <xdr:sp macro="" textlink="">
      <xdr:nvSpPr>
        <xdr:cNvPr id="7" name="TextBox 6">
          <a:extLst>
            <a:ext uri="{FF2B5EF4-FFF2-40B4-BE49-F238E27FC236}">
              <a16:creationId xmlns:a16="http://schemas.microsoft.com/office/drawing/2014/main" id="{85F6DE6D-1171-4409-AD56-27CF088849A7}"/>
            </a:ext>
          </a:extLst>
        </xdr:cNvPr>
        <xdr:cNvSpPr txBox="1"/>
      </xdr:nvSpPr>
      <xdr:spPr>
        <a:xfrm>
          <a:off x="15198091" y="1817370"/>
          <a:ext cx="2590799" cy="5429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l-GR" sz="1100"/>
            <a:t>Σταθερές</a:t>
          </a:r>
          <a:r>
            <a:rPr lang="en-US" sz="1100" baseline="0"/>
            <a:t> C1 </a:t>
          </a:r>
          <a:r>
            <a:rPr lang="el-GR" sz="1100" baseline="0"/>
            <a:t>και </a:t>
          </a:r>
          <a:r>
            <a:rPr lang="en-US" sz="1100" baseline="0"/>
            <a:t>C2 </a:t>
          </a:r>
          <a:r>
            <a:rPr lang="el-GR" sz="1100" baseline="0"/>
            <a:t>της δυναμοσειρας </a:t>
          </a:r>
          <a:r>
            <a:rPr lang="en-US" sz="1100" baseline="0"/>
            <a:t>Taylor </a:t>
          </a:r>
          <a:r>
            <a:rPr lang="el-GR" sz="1100" baseline="0"/>
            <a:t>για πραγματικά πορώδη μέσα.</a:t>
          </a:r>
          <a:endParaRPr lang="el-GR"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54;&#945;&#964;&#945;&#957;&#959;&#956;&#951;%20&#956;&#949;&#957;&#949;&#952;&#959;&#965;&#962;%20&#960;&#959;&#961;&#969;&#957;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48;&#953;&#945;&#960;&#949;&#961;&#945;&#964;&#972;&#964;&#951;&#964;&#949;&#962;%20&#965;&#947;&#961;&#974;&#95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κατανομή μεγέθους πόρων"/>
      <sheetName val="Purcell"/>
    </sheetNames>
    <sheetDataSet>
      <sheetData sheetId="0">
        <row r="67">
          <cell r="B67">
            <v>18.3154</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w60bar1"/>
      <sheetName val="Kw60bar2"/>
      <sheetName val="Kw220bar"/>
      <sheetName val="Keo@Swi60bar"/>
      <sheetName val="Kw,abs150bar"/>
      <sheetName val="Keo@Swi150bar"/>
      <sheetName val="Κe@Sw2"/>
      <sheetName val="Ke@Sw1"/>
      <sheetName val="Ke@Sw3"/>
      <sheetName val="Kew@1-Sor"/>
      <sheetName val="διαγραμμα"/>
    </sheetNames>
    <sheetDataSet>
      <sheetData sheetId="0"/>
      <sheetData sheetId="1"/>
      <sheetData sheetId="2"/>
      <sheetData sheetId="3"/>
      <sheetData sheetId="4">
        <row r="115">
          <cell r="AD115">
            <v>1.2994402615081722</v>
          </cell>
        </row>
      </sheetData>
      <sheetData sheetId="5"/>
      <sheetData sheetId="6"/>
      <sheetData sheetId="7"/>
      <sheetData sheetId="8"/>
      <sheetData sheetId="9"/>
      <sheetData sheetId="10"/>
    </sheetDataSet>
  </externalBook>
</externalLink>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4"/>
  <sheetViews>
    <sheetView topLeftCell="A82" zoomScaleNormal="100" workbookViewId="0">
      <selection activeCell="L108" sqref="L108"/>
    </sheetView>
  </sheetViews>
  <sheetFormatPr defaultRowHeight="14.4" x14ac:dyDescent="0.3"/>
  <cols>
    <col min="1" max="1" width="12.44140625" bestFit="1" customWidth="1"/>
    <col min="2" max="2" width="13" customWidth="1"/>
    <col min="3" max="3" width="11.109375" customWidth="1"/>
    <col min="4" max="4" width="9.88671875" customWidth="1"/>
    <col min="9" max="9" width="11.88671875" customWidth="1"/>
    <col min="10" max="10" width="17.5546875" customWidth="1"/>
    <col min="11" max="11" width="9.109375" customWidth="1"/>
    <col min="12" max="12" width="10.33203125" bestFit="1" customWidth="1"/>
  </cols>
  <sheetData>
    <row r="1" spans="1:9" x14ac:dyDescent="0.3">
      <c r="A1" s="1" t="s">
        <v>8</v>
      </c>
      <c r="B1" s="1" t="s">
        <v>0</v>
      </c>
      <c r="C1" s="1" t="s">
        <v>7</v>
      </c>
      <c r="D1" s="1" t="s">
        <v>1</v>
      </c>
      <c r="E1" s="1" t="s">
        <v>2</v>
      </c>
      <c r="F1" s="1" t="s">
        <v>3</v>
      </c>
      <c r="G1" s="1" t="s">
        <v>4</v>
      </c>
      <c r="H1" s="1" t="s">
        <v>5</v>
      </c>
      <c r="I1" s="1" t="s">
        <v>6</v>
      </c>
    </row>
    <row r="2" spans="1:9" x14ac:dyDescent="0.3">
      <c r="A2" s="8">
        <v>5.4</v>
      </c>
      <c r="B2">
        <v>120</v>
      </c>
      <c r="C2">
        <v>6.8045957064301998E-2</v>
      </c>
      <c r="D2">
        <f>B2/60</f>
        <v>2</v>
      </c>
      <c r="E2" s="9">
        <f>A2*$C$2+1</f>
        <v>1.3674481681472308</v>
      </c>
      <c r="F2">
        <v>1.8440000000000002E-2</v>
      </c>
      <c r="G2">
        <v>4.7510000000000003</v>
      </c>
      <c r="H2" s="12">
        <f>(2000*D2*$F$2*1*$G$2)/(PI()*2.543^2/4*(E2^2-1^2))</f>
        <v>79.313437077645375</v>
      </c>
      <c r="I2" s="11">
        <f>2/(E2+1)</f>
        <v>0.8447914623470737</v>
      </c>
    </row>
    <row r="3" spans="1:9" x14ac:dyDescent="0.3">
      <c r="A3" s="8">
        <v>6.6</v>
      </c>
      <c r="B3">
        <v>151</v>
      </c>
      <c r="D3">
        <f t="shared" ref="D3:D63" si="0">B3/60</f>
        <v>2.5166666666666666</v>
      </c>
      <c r="E3" s="9">
        <f t="shared" ref="E3:E63" si="1">A3*$C$2+1</f>
        <v>1.4491033166243932</v>
      </c>
      <c r="H3" s="12">
        <f t="shared" ref="H3:H63" si="2">(2000*D3*$F$2*1*$G$2)/(PI()*2.543^2/4*(E3^2-1^2))</f>
        <v>78.934283148089577</v>
      </c>
      <c r="I3" s="11">
        <f t="shared" ref="I3:I63" si="3">2/(E3+1)</f>
        <v>0.81662540997110977</v>
      </c>
    </row>
    <row r="4" spans="1:9" x14ac:dyDescent="0.3">
      <c r="A4" s="8">
        <v>7.5</v>
      </c>
      <c r="B4">
        <v>173</v>
      </c>
      <c r="D4">
        <f t="shared" si="0"/>
        <v>2.8833333333333333</v>
      </c>
      <c r="E4" s="9">
        <f t="shared" si="1"/>
        <v>1.5103446779822649</v>
      </c>
      <c r="H4" s="12">
        <f t="shared" si="2"/>
        <v>77.641022835840488</v>
      </c>
      <c r="I4" s="11">
        <f t="shared" si="3"/>
        <v>0.79670334418281408</v>
      </c>
    </row>
    <row r="5" spans="1:9" x14ac:dyDescent="0.3">
      <c r="A5" s="8">
        <v>8.4</v>
      </c>
      <c r="B5">
        <v>197</v>
      </c>
      <c r="D5">
        <f t="shared" si="0"/>
        <v>3.2833333333333332</v>
      </c>
      <c r="E5" s="9">
        <f t="shared" si="1"/>
        <v>1.5715860393401369</v>
      </c>
      <c r="H5" s="12">
        <f t="shared" si="2"/>
        <v>77.059403801940505</v>
      </c>
      <c r="I5" s="11">
        <f t="shared" si="3"/>
        <v>0.77773015151116442</v>
      </c>
    </row>
    <row r="6" spans="1:9" x14ac:dyDescent="0.3">
      <c r="A6" s="8">
        <v>9.5</v>
      </c>
      <c r="B6">
        <v>225</v>
      </c>
      <c r="D6">
        <f t="shared" si="0"/>
        <v>3.75</v>
      </c>
      <c r="E6" s="9">
        <f t="shared" si="1"/>
        <v>1.646436592110869</v>
      </c>
      <c r="H6" s="12">
        <f t="shared" si="2"/>
        <v>75.620088945727318</v>
      </c>
      <c r="I6" s="11">
        <f t="shared" si="3"/>
        <v>0.7557332021337968</v>
      </c>
    </row>
    <row r="7" spans="1:9" x14ac:dyDescent="0.3">
      <c r="A7" s="8">
        <v>10.3</v>
      </c>
      <c r="B7">
        <v>250</v>
      </c>
      <c r="D7">
        <f t="shared" si="0"/>
        <v>4.166666666666667</v>
      </c>
      <c r="E7" s="9">
        <f t="shared" si="1"/>
        <v>1.7008733577623105</v>
      </c>
      <c r="H7" s="12">
        <f t="shared" si="2"/>
        <v>75.93435826564</v>
      </c>
      <c r="I7" s="11">
        <f t="shared" si="3"/>
        <v>0.74050121389512757</v>
      </c>
    </row>
    <row r="8" spans="1:9" x14ac:dyDescent="0.3">
      <c r="A8" s="8">
        <v>11.3</v>
      </c>
      <c r="B8">
        <v>277</v>
      </c>
      <c r="D8">
        <f t="shared" si="0"/>
        <v>4.6166666666666663</v>
      </c>
      <c r="E8" s="9">
        <f t="shared" si="1"/>
        <v>1.7689193148266127</v>
      </c>
      <c r="H8" s="12">
        <f t="shared" si="2"/>
        <v>74.805027808208763</v>
      </c>
      <c r="I8" s="11">
        <f t="shared" si="3"/>
        <v>0.72230345943657015</v>
      </c>
    </row>
    <row r="9" spans="1:9" x14ac:dyDescent="0.3">
      <c r="A9" s="8">
        <v>12.1</v>
      </c>
      <c r="B9">
        <v>302</v>
      </c>
      <c r="D9">
        <f t="shared" si="0"/>
        <v>5.0333333333333332</v>
      </c>
      <c r="E9" s="9">
        <f t="shared" si="1"/>
        <v>1.8233560804780542</v>
      </c>
      <c r="H9" s="12">
        <f t="shared" si="2"/>
        <v>74.695713821528159</v>
      </c>
      <c r="I9" s="11">
        <f t="shared" si="3"/>
        <v>0.70837681928570539</v>
      </c>
    </row>
    <row r="10" spans="1:9" x14ac:dyDescent="0.3">
      <c r="A10" s="8">
        <v>13</v>
      </c>
      <c r="B10">
        <v>335</v>
      </c>
      <c r="D10">
        <f t="shared" si="0"/>
        <v>5.583333333333333</v>
      </c>
      <c r="E10" s="9">
        <f t="shared" si="1"/>
        <v>1.8845974418359259</v>
      </c>
      <c r="H10" s="12">
        <f t="shared" si="2"/>
        <v>75.484190954223592</v>
      </c>
      <c r="I10" s="11">
        <f t="shared" si="3"/>
        <v>0.69333764600688386</v>
      </c>
    </row>
    <row r="11" spans="1:9" x14ac:dyDescent="0.3">
      <c r="A11" s="8">
        <v>14</v>
      </c>
      <c r="B11">
        <v>368</v>
      </c>
      <c r="D11">
        <f t="shared" si="0"/>
        <v>6.1333333333333337</v>
      </c>
      <c r="E11" s="9">
        <f t="shared" si="1"/>
        <v>1.9526433989002281</v>
      </c>
      <c r="H11" s="12">
        <f t="shared" si="2"/>
        <v>75.222635975220072</v>
      </c>
      <c r="I11" s="11">
        <f t="shared" si="3"/>
        <v>0.6773591422333427</v>
      </c>
    </row>
    <row r="12" spans="1:9" x14ac:dyDescent="0.3">
      <c r="A12" s="8">
        <v>15.1</v>
      </c>
      <c r="B12">
        <v>401</v>
      </c>
      <c r="D12">
        <f t="shared" si="0"/>
        <v>6.6833333333333336</v>
      </c>
      <c r="E12" s="9">
        <f t="shared" si="1"/>
        <v>2.0274939516709605</v>
      </c>
      <c r="H12" s="12">
        <f t="shared" si="2"/>
        <v>74.118036393396849</v>
      </c>
      <c r="I12" s="11">
        <f t="shared" si="3"/>
        <v>0.66061238500448294</v>
      </c>
    </row>
    <row r="13" spans="1:9" x14ac:dyDescent="0.3">
      <c r="A13" s="8">
        <v>15.8</v>
      </c>
      <c r="B13">
        <v>424</v>
      </c>
      <c r="D13">
        <f t="shared" si="0"/>
        <v>7.0666666666666664</v>
      </c>
      <c r="E13" s="9">
        <f t="shared" si="1"/>
        <v>2.0751261216159715</v>
      </c>
      <c r="H13" s="12">
        <f>(2000*D13*$F$2*1*$G$2)/(PI()*2.543^2/4*(E13^2-1^2))</f>
        <v>73.7370232337408</v>
      </c>
      <c r="I13" s="11">
        <f t="shared" si="3"/>
        <v>0.65037982863252608</v>
      </c>
    </row>
    <row r="14" spans="1:9" x14ac:dyDescent="0.3">
      <c r="A14" s="8">
        <v>16.3</v>
      </c>
      <c r="B14">
        <v>458</v>
      </c>
      <c r="D14">
        <f t="shared" si="0"/>
        <v>7.6333333333333337</v>
      </c>
      <c r="E14" s="9">
        <f t="shared" si="1"/>
        <v>2.1091491001481226</v>
      </c>
      <c r="H14" s="12">
        <f t="shared" si="2"/>
        <v>76.361787905582347</v>
      </c>
      <c r="I14" s="13">
        <f t="shared" si="3"/>
        <v>0.64326281422293907</v>
      </c>
    </row>
    <row r="15" spans="1:9" x14ac:dyDescent="0.3">
      <c r="A15" s="8">
        <v>17.600000000000001</v>
      </c>
      <c r="B15">
        <v>514</v>
      </c>
      <c r="D15">
        <f t="shared" si="0"/>
        <v>8.5666666666666664</v>
      </c>
      <c r="E15" s="9">
        <f t="shared" si="1"/>
        <v>2.1976088443317154</v>
      </c>
      <c r="H15" s="12">
        <f t="shared" si="2"/>
        <v>77.172910333554427</v>
      </c>
      <c r="I15" s="13">
        <f t="shared" si="3"/>
        <v>0.62546737182858592</v>
      </c>
    </row>
    <row r="16" spans="1:9" x14ac:dyDescent="0.3">
      <c r="A16" s="8">
        <v>18.2</v>
      </c>
      <c r="B16">
        <v>540</v>
      </c>
      <c r="D16">
        <f t="shared" si="0"/>
        <v>9</v>
      </c>
      <c r="E16" s="9">
        <f t="shared" si="1"/>
        <v>2.2384364185702963</v>
      </c>
      <c r="H16" s="12">
        <f t="shared" si="2"/>
        <v>77.415292838989785</v>
      </c>
      <c r="I16" s="13">
        <f t="shared" si="3"/>
        <v>0.61758198757008764</v>
      </c>
    </row>
    <row r="17" spans="1:9" x14ac:dyDescent="0.3">
      <c r="A17" s="8">
        <v>19.100000000000001</v>
      </c>
      <c r="B17">
        <v>580</v>
      </c>
      <c r="D17">
        <f t="shared" si="0"/>
        <v>9.6666666666666661</v>
      </c>
      <c r="E17" s="9">
        <f t="shared" si="1"/>
        <v>2.2996777799281682</v>
      </c>
      <c r="H17" s="12">
        <f t="shared" si="2"/>
        <v>77.761182819449218</v>
      </c>
      <c r="I17" s="13">
        <f t="shared" si="3"/>
        <v>0.60611978907938657</v>
      </c>
    </row>
    <row r="18" spans="1:9" x14ac:dyDescent="0.3">
      <c r="A18" s="8">
        <v>19.7</v>
      </c>
      <c r="B18">
        <v>618</v>
      </c>
      <c r="D18">
        <f t="shared" si="0"/>
        <v>10.3</v>
      </c>
      <c r="E18" s="9">
        <f t="shared" si="1"/>
        <v>2.3405053541667495</v>
      </c>
      <c r="H18" s="12">
        <f t="shared" si="2"/>
        <v>79.350531608565518</v>
      </c>
      <c r="I18" s="13">
        <f t="shared" si="3"/>
        <v>0.59871180793208967</v>
      </c>
    </row>
    <row r="19" spans="1:9" x14ac:dyDescent="0.3">
      <c r="A19" s="8">
        <v>20.5</v>
      </c>
      <c r="B19">
        <v>645</v>
      </c>
      <c r="D19">
        <f t="shared" si="0"/>
        <v>10.75</v>
      </c>
      <c r="E19" s="9">
        <f t="shared" si="1"/>
        <v>2.3949421198181913</v>
      </c>
      <c r="H19" s="12">
        <f t="shared" si="2"/>
        <v>78.309282185704305</v>
      </c>
      <c r="I19" s="13">
        <f t="shared" si="3"/>
        <v>0.58911166359063161</v>
      </c>
    </row>
    <row r="20" spans="1:9" x14ac:dyDescent="0.3">
      <c r="A20" s="8">
        <v>21.6</v>
      </c>
      <c r="B20">
        <v>686</v>
      </c>
      <c r="D20">
        <f t="shared" si="0"/>
        <v>11.433333333333334</v>
      </c>
      <c r="E20" s="9">
        <f t="shared" si="1"/>
        <v>2.4697926725889232</v>
      </c>
      <c r="H20" s="12">
        <f t="shared" si="2"/>
        <v>77.340433660477331</v>
      </c>
      <c r="I20" s="13">
        <f t="shared" si="3"/>
        <v>0.57640331533345945</v>
      </c>
    </row>
    <row r="21" spans="1:9" x14ac:dyDescent="0.3">
      <c r="A21" s="8">
        <v>1.2</v>
      </c>
      <c r="B21">
        <v>22.8</v>
      </c>
      <c r="D21">
        <f t="shared" si="0"/>
        <v>0.38</v>
      </c>
      <c r="E21" s="9">
        <f t="shared" si="1"/>
        <v>1.0816551484771624</v>
      </c>
      <c r="H21" s="12">
        <f t="shared" si="2"/>
        <v>77.123118108747761</v>
      </c>
      <c r="I21" s="13">
        <f t="shared" si="3"/>
        <v>0.96077393100538411</v>
      </c>
    </row>
    <row r="22" spans="1:9" x14ac:dyDescent="0.3">
      <c r="A22" s="8">
        <v>2.5</v>
      </c>
      <c r="B22">
        <v>50.7</v>
      </c>
      <c r="D22">
        <f t="shared" si="0"/>
        <v>0.84500000000000008</v>
      </c>
      <c r="E22" s="9">
        <f t="shared" si="1"/>
        <v>1.170114892660755</v>
      </c>
      <c r="H22" s="12">
        <f t="shared" si="2"/>
        <v>78.96324496605601</v>
      </c>
      <c r="I22" s="13">
        <f t="shared" si="3"/>
        <v>0.92161019066959216</v>
      </c>
    </row>
    <row r="23" spans="1:9" x14ac:dyDescent="0.3">
      <c r="A23" s="8">
        <v>3.4</v>
      </c>
      <c r="B23">
        <v>71.3</v>
      </c>
      <c r="D23">
        <f t="shared" si="0"/>
        <v>1.1883333333333332</v>
      </c>
      <c r="E23" s="9">
        <f t="shared" si="1"/>
        <v>1.2313562540186267</v>
      </c>
      <c r="H23" s="12">
        <f t="shared" si="2"/>
        <v>79.411145782878123</v>
      </c>
      <c r="I23" s="13">
        <f t="shared" si="3"/>
        <v>0.89631586009542019</v>
      </c>
    </row>
    <row r="24" spans="1:9" x14ac:dyDescent="0.3">
      <c r="A24" s="8">
        <v>3.9</v>
      </c>
      <c r="B24">
        <v>83.4</v>
      </c>
      <c r="D24">
        <f t="shared" si="0"/>
        <v>1.3900000000000001</v>
      </c>
      <c r="E24" s="9">
        <f t="shared" si="1"/>
        <v>1.2653792325507778</v>
      </c>
      <c r="H24" s="12">
        <f t="shared" si="2"/>
        <v>79.762781920110754</v>
      </c>
      <c r="I24" s="11">
        <f t="shared" si="3"/>
        <v>0.88285438979152042</v>
      </c>
    </row>
    <row r="25" spans="1:9" x14ac:dyDescent="0.3">
      <c r="A25" s="8">
        <v>4.4000000000000004</v>
      </c>
      <c r="B25">
        <v>96.4</v>
      </c>
      <c r="D25">
        <f t="shared" si="0"/>
        <v>1.6066666666666667</v>
      </c>
      <c r="E25" s="9">
        <f t="shared" si="1"/>
        <v>1.2994022110829289</v>
      </c>
      <c r="H25" s="12">
        <f t="shared" si="2"/>
        <v>80.509879510053892</v>
      </c>
      <c r="I25" s="11">
        <f t="shared" si="3"/>
        <v>0.86979128329970512</v>
      </c>
    </row>
    <row r="26" spans="1:9" x14ac:dyDescent="0.3">
      <c r="A26" s="8">
        <v>5</v>
      </c>
      <c r="B26">
        <v>110</v>
      </c>
      <c r="D26">
        <f t="shared" si="0"/>
        <v>1.8333333333333333</v>
      </c>
      <c r="E26" s="9">
        <f t="shared" si="1"/>
        <v>1.3402297853215099</v>
      </c>
      <c r="H26" s="12">
        <f t="shared" si="2"/>
        <v>79.433544505632469</v>
      </c>
      <c r="I26" s="11">
        <f t="shared" si="3"/>
        <v>0.85461693229634383</v>
      </c>
    </row>
    <row r="27" spans="1:9" x14ac:dyDescent="0.3">
      <c r="A27" s="8">
        <v>5.5</v>
      </c>
      <c r="B27">
        <v>123</v>
      </c>
      <c r="D27">
        <f t="shared" si="0"/>
        <v>2.0499999999999998</v>
      </c>
      <c r="E27" s="9">
        <f t="shared" si="1"/>
        <v>1.374252763853661</v>
      </c>
      <c r="H27" s="12">
        <f t="shared" si="2"/>
        <v>79.589400533855198</v>
      </c>
      <c r="I27" s="11">
        <f t="shared" si="3"/>
        <v>0.84237029454007684</v>
      </c>
    </row>
    <row r="28" spans="1:9" x14ac:dyDescent="0.3">
      <c r="A28" s="8">
        <v>5.9</v>
      </c>
      <c r="B28">
        <v>132</v>
      </c>
      <c r="D28">
        <f t="shared" si="0"/>
        <v>2.2000000000000002</v>
      </c>
      <c r="E28" s="9">
        <f t="shared" si="1"/>
        <v>1.4014711466793819</v>
      </c>
      <c r="H28" s="12">
        <f t="shared" si="2"/>
        <v>78.719859528303161</v>
      </c>
      <c r="I28" s="11">
        <f t="shared" si="3"/>
        <v>0.83282283144042213</v>
      </c>
    </row>
    <row r="29" spans="1:9" x14ac:dyDescent="0.3">
      <c r="A29" s="8">
        <v>6.1</v>
      </c>
      <c r="B29">
        <v>139</v>
      </c>
      <c r="D29">
        <f t="shared" si="0"/>
        <v>2.3166666666666669</v>
      </c>
      <c r="E29" s="9">
        <f t="shared" si="1"/>
        <v>1.4150803380922421</v>
      </c>
      <c r="H29" s="12">
        <f t="shared" si="2"/>
        <v>79.724746488972144</v>
      </c>
      <c r="I29" s="11">
        <f t="shared" si="3"/>
        <v>0.8281298010897109</v>
      </c>
    </row>
    <row r="30" spans="1:9" x14ac:dyDescent="0.3">
      <c r="A30" s="8">
        <v>6.5</v>
      </c>
      <c r="B30">
        <v>148</v>
      </c>
      <c r="D30">
        <f t="shared" si="0"/>
        <v>2.4666666666666668</v>
      </c>
      <c r="E30" s="9">
        <f t="shared" si="1"/>
        <v>1.442298720917963</v>
      </c>
      <c r="H30" s="12">
        <f t="shared" si="2"/>
        <v>78.775168471299622</v>
      </c>
      <c r="I30" s="11">
        <f t="shared" si="3"/>
        <v>0.81890064588343214</v>
      </c>
    </row>
    <row r="31" spans="1:9" x14ac:dyDescent="0.3">
      <c r="A31" s="8">
        <v>6.8</v>
      </c>
      <c r="B31">
        <v>156</v>
      </c>
      <c r="D31">
        <f t="shared" si="0"/>
        <v>2.6</v>
      </c>
      <c r="E31" s="9">
        <f t="shared" si="1"/>
        <v>1.4627125080372536</v>
      </c>
      <c r="H31" s="12">
        <f t="shared" si="2"/>
        <v>78.712142425274337</v>
      </c>
      <c r="I31" s="11">
        <f t="shared" si="3"/>
        <v>0.81211265767841123</v>
      </c>
    </row>
    <row r="32" spans="1:9" x14ac:dyDescent="0.3">
      <c r="A32" s="8">
        <v>7.1</v>
      </c>
      <c r="B32">
        <v>165</v>
      </c>
      <c r="D32">
        <f t="shared" si="0"/>
        <v>2.75</v>
      </c>
      <c r="E32" s="9">
        <f t="shared" si="1"/>
        <v>1.483126295156544</v>
      </c>
      <c r="H32" s="12">
        <f t="shared" si="2"/>
        <v>79.079979940899747</v>
      </c>
      <c r="I32" s="11">
        <f t="shared" si="3"/>
        <v>0.80543627760742376</v>
      </c>
    </row>
    <row r="33" spans="1:9" x14ac:dyDescent="0.3">
      <c r="A33" s="8">
        <v>7.4</v>
      </c>
      <c r="B33">
        <v>171</v>
      </c>
      <c r="D33">
        <f t="shared" si="0"/>
        <v>2.85</v>
      </c>
      <c r="E33" s="9">
        <f t="shared" si="1"/>
        <v>1.5035400822758347</v>
      </c>
      <c r="H33" s="12">
        <f t="shared" si="2"/>
        <v>77.991918870689474</v>
      </c>
      <c r="I33" s="11">
        <f t="shared" si="3"/>
        <v>0.79886877552282154</v>
      </c>
    </row>
    <row r="34" spans="1:9" x14ac:dyDescent="0.3">
      <c r="A34" s="8">
        <v>7.8</v>
      </c>
      <c r="B34">
        <v>182</v>
      </c>
      <c r="D34">
        <f t="shared" si="0"/>
        <v>3.0333333333333332</v>
      </c>
      <c r="E34" s="9">
        <f t="shared" si="1"/>
        <v>1.5307584651015556</v>
      </c>
      <c r="H34" s="12">
        <f t="shared" si="2"/>
        <v>77.905093118780542</v>
      </c>
      <c r="I34" s="11">
        <f t="shared" si="3"/>
        <v>0.79027691799886679</v>
      </c>
    </row>
    <row r="35" spans="1:9" x14ac:dyDescent="0.3">
      <c r="A35" s="8">
        <v>8.1</v>
      </c>
      <c r="B35">
        <v>190</v>
      </c>
      <c r="D35">
        <f t="shared" si="0"/>
        <v>3.1666666666666665</v>
      </c>
      <c r="E35" s="9">
        <f t="shared" si="1"/>
        <v>1.5511722522208462</v>
      </c>
      <c r="H35" s="12">
        <f t="shared" si="2"/>
        <v>77.690615710614566</v>
      </c>
      <c r="I35" s="11">
        <f t="shared" si="3"/>
        <v>0.78395333684699664</v>
      </c>
    </row>
    <row r="36" spans="1:9" x14ac:dyDescent="0.3">
      <c r="A36" s="8">
        <v>8.1999999999999993</v>
      </c>
      <c r="B36">
        <v>193</v>
      </c>
      <c r="D36">
        <f t="shared" si="0"/>
        <v>3.2166666666666668</v>
      </c>
      <c r="E36" s="9">
        <f t="shared" si="1"/>
        <v>1.5579768479272764</v>
      </c>
      <c r="H36" s="12">
        <f t="shared" si="2"/>
        <v>77.747531886588561</v>
      </c>
      <c r="I36" s="11">
        <f t="shared" si="3"/>
        <v>0.78186790534112771</v>
      </c>
    </row>
    <row r="37" spans="1:9" x14ac:dyDescent="0.3">
      <c r="A37" s="8">
        <v>8.3000000000000007</v>
      </c>
      <c r="B37">
        <v>195</v>
      </c>
      <c r="D37">
        <f t="shared" si="0"/>
        <v>3.25</v>
      </c>
      <c r="E37" s="9">
        <f t="shared" si="1"/>
        <v>1.5647814436337066</v>
      </c>
      <c r="H37" s="12">
        <f t="shared" si="2"/>
        <v>77.400883858606306</v>
      </c>
      <c r="I37" s="11">
        <f t="shared" si="3"/>
        <v>0.77979353950972874</v>
      </c>
    </row>
    <row r="38" spans="1:9" x14ac:dyDescent="0.3">
      <c r="A38" s="8">
        <v>8.5</v>
      </c>
      <c r="B38">
        <v>200</v>
      </c>
      <c r="D38">
        <f t="shared" si="0"/>
        <v>3.3333333333333335</v>
      </c>
      <c r="E38" s="9">
        <f t="shared" si="1"/>
        <v>1.5783906350465671</v>
      </c>
      <c r="H38" s="12">
        <f t="shared" si="2"/>
        <v>77.108475838518956</v>
      </c>
      <c r="I38" s="11">
        <f t="shared" si="3"/>
        <v>0.77567765443108627</v>
      </c>
    </row>
    <row r="39" spans="1:9" x14ac:dyDescent="0.3">
      <c r="A39" s="8">
        <v>8.6999999999999993</v>
      </c>
      <c r="B39">
        <v>203</v>
      </c>
      <c r="D39">
        <f t="shared" si="0"/>
        <v>3.3833333333333333</v>
      </c>
      <c r="E39" s="9">
        <f t="shared" si="1"/>
        <v>1.5919998264594275</v>
      </c>
      <c r="H39" s="12">
        <f t="shared" si="2"/>
        <v>76.064424029761753</v>
      </c>
      <c r="I39" s="11">
        <f t="shared" si="3"/>
        <v>0.77160498993239646</v>
      </c>
    </row>
    <row r="40" spans="1:9" x14ac:dyDescent="0.3">
      <c r="A40" s="8">
        <v>9</v>
      </c>
      <c r="B40">
        <v>211</v>
      </c>
      <c r="D40">
        <f t="shared" si="0"/>
        <v>3.5166666666666666</v>
      </c>
      <c r="E40" s="9">
        <f t="shared" si="1"/>
        <v>1.6124136135787179</v>
      </c>
      <c r="H40" s="12">
        <f t="shared" si="2"/>
        <v>75.829426516462448</v>
      </c>
      <c r="I40" s="11">
        <f t="shared" si="3"/>
        <v>0.7655755541942002</v>
      </c>
    </row>
    <row r="41" spans="1:9" x14ac:dyDescent="0.3">
      <c r="A41" s="8">
        <v>9.1999999999999993</v>
      </c>
      <c r="B41">
        <v>218</v>
      </c>
      <c r="D41">
        <f t="shared" si="0"/>
        <v>3.6333333333333333</v>
      </c>
      <c r="E41" s="9">
        <f t="shared" si="1"/>
        <v>1.6260228049915784</v>
      </c>
      <c r="H41" s="12">
        <f t="shared" si="2"/>
        <v>76.244748619114191</v>
      </c>
      <c r="I41" s="11">
        <f t="shared" si="3"/>
        <v>0.76160800896259317</v>
      </c>
    </row>
    <row r="42" spans="1:9" x14ac:dyDescent="0.3">
      <c r="A42" s="8">
        <v>9.3000000000000007</v>
      </c>
      <c r="B42">
        <v>221</v>
      </c>
      <c r="D42">
        <f t="shared" si="0"/>
        <v>3.6833333333333331</v>
      </c>
      <c r="E42" s="9">
        <f t="shared" si="1"/>
        <v>1.6328274006980086</v>
      </c>
      <c r="H42" s="12">
        <f t="shared" si="2"/>
        <v>76.26525028999859</v>
      </c>
      <c r="I42" s="11">
        <f t="shared" si="3"/>
        <v>0.75963961764822296</v>
      </c>
    </row>
    <row r="43" spans="1:9" x14ac:dyDescent="0.3">
      <c r="A43" s="8">
        <v>9.4</v>
      </c>
      <c r="B43">
        <v>223</v>
      </c>
      <c r="D43">
        <f t="shared" si="0"/>
        <v>3.7166666666666668</v>
      </c>
      <c r="E43" s="9">
        <f t="shared" si="1"/>
        <v>1.6396319964044388</v>
      </c>
      <c r="H43" s="12">
        <f t="shared" si="2"/>
        <v>75.94048899466766</v>
      </c>
      <c r="I43" s="11">
        <f t="shared" si="3"/>
        <v>0.75768137479932429</v>
      </c>
    </row>
    <row r="44" spans="1:9" x14ac:dyDescent="0.3">
      <c r="A44" s="8">
        <v>9.6</v>
      </c>
      <c r="B44">
        <v>228</v>
      </c>
      <c r="D44">
        <f t="shared" si="0"/>
        <v>3.8</v>
      </c>
      <c r="E44" s="9">
        <f t="shared" si="1"/>
        <v>1.653241187817299</v>
      </c>
      <c r="H44" s="12">
        <f t="shared" si="2"/>
        <v>75.63566809099585</v>
      </c>
      <c r="I44" s="11">
        <f t="shared" si="3"/>
        <v>0.7537950221726013</v>
      </c>
    </row>
    <row r="45" spans="1:9" x14ac:dyDescent="0.3">
      <c r="A45" s="8">
        <v>9.9</v>
      </c>
      <c r="B45">
        <v>236</v>
      </c>
      <c r="D45">
        <f t="shared" si="0"/>
        <v>3.9333333333333331</v>
      </c>
      <c r="E45" s="9">
        <f t="shared" si="1"/>
        <v>1.6736549749365897</v>
      </c>
      <c r="H45" s="12">
        <f t="shared" si="2"/>
        <v>75.337500923021835</v>
      </c>
      <c r="I45" s="11">
        <f t="shared" si="3"/>
        <v>0.74803967555590578</v>
      </c>
    </row>
    <row r="46" spans="1:9" x14ac:dyDescent="0.3">
      <c r="A46" s="8">
        <v>10.1</v>
      </c>
      <c r="B46">
        <v>243</v>
      </c>
      <c r="D46">
        <f t="shared" si="0"/>
        <v>4.05</v>
      </c>
      <c r="E46" s="9">
        <f t="shared" si="1"/>
        <v>1.6872641663494501</v>
      </c>
      <c r="H46" s="12">
        <f t="shared" si="2"/>
        <v>75.650935469083805</v>
      </c>
      <c r="I46" s="11">
        <f t="shared" si="3"/>
        <v>0.74425135609832016</v>
      </c>
    </row>
    <row r="47" spans="1:9" x14ac:dyDescent="0.3">
      <c r="A47" s="8">
        <v>10.5</v>
      </c>
      <c r="B47">
        <v>253</v>
      </c>
      <c r="D47">
        <f t="shared" si="0"/>
        <v>4.2166666666666668</v>
      </c>
      <c r="E47" s="9">
        <f t="shared" si="1"/>
        <v>1.714482549175171</v>
      </c>
      <c r="H47" s="12">
        <f t="shared" si="2"/>
        <v>75.003914831563293</v>
      </c>
      <c r="I47" s="11">
        <f t="shared" si="3"/>
        <v>0.73678867473571519</v>
      </c>
    </row>
    <row r="48" spans="1:9" x14ac:dyDescent="0.3">
      <c r="A48" s="8">
        <v>10.8</v>
      </c>
      <c r="B48">
        <v>262</v>
      </c>
      <c r="D48">
        <f t="shared" si="0"/>
        <v>4.3666666666666663</v>
      </c>
      <c r="E48" s="9">
        <f t="shared" si="1"/>
        <v>1.7348963362944616</v>
      </c>
      <c r="H48" s="12">
        <f t="shared" si="2"/>
        <v>74.950827192071003</v>
      </c>
      <c r="I48" s="11">
        <f t="shared" si="3"/>
        <v>0.73128914374495813</v>
      </c>
    </row>
    <row r="49" spans="1:10" x14ac:dyDescent="0.3">
      <c r="A49" s="8">
        <v>11.1</v>
      </c>
      <c r="B49">
        <v>270</v>
      </c>
      <c r="D49">
        <f t="shared" si="0"/>
        <v>4.5</v>
      </c>
      <c r="E49" s="9">
        <f t="shared" si="1"/>
        <v>1.7553101234137523</v>
      </c>
      <c r="H49" s="12">
        <f t="shared" si="2"/>
        <v>74.595058934288517</v>
      </c>
      <c r="I49" s="11">
        <f t="shared" si="3"/>
        <v>0.72587110358454165</v>
      </c>
    </row>
    <row r="50" spans="1:10" x14ac:dyDescent="0.3">
      <c r="A50" s="8">
        <v>11.4</v>
      </c>
      <c r="B50">
        <v>277</v>
      </c>
      <c r="D50">
        <f t="shared" si="0"/>
        <v>4.6166666666666663</v>
      </c>
      <c r="E50" s="9">
        <f t="shared" si="1"/>
        <v>1.7757239105330429</v>
      </c>
      <c r="H50" s="12">
        <f t="shared" si="2"/>
        <v>73.967069907477168</v>
      </c>
      <c r="I50" s="11">
        <f t="shared" si="3"/>
        <v>0.72053275630569658</v>
      </c>
    </row>
    <row r="51" spans="1:10" x14ac:dyDescent="0.3">
      <c r="A51" s="8">
        <v>11.7</v>
      </c>
      <c r="B51">
        <v>288</v>
      </c>
      <c r="D51">
        <f t="shared" si="0"/>
        <v>4.8</v>
      </c>
      <c r="E51" s="9">
        <f t="shared" si="1"/>
        <v>1.7961376976523333</v>
      </c>
      <c r="H51" s="12">
        <f t="shared" si="2"/>
        <v>74.385422689492827</v>
      </c>
      <c r="I51" s="11">
        <f t="shared" si="3"/>
        <v>0.71527235646485554</v>
      </c>
    </row>
    <row r="52" spans="1:10" x14ac:dyDescent="0.3">
      <c r="A52" s="8">
        <v>12.2</v>
      </c>
      <c r="B52">
        <v>303</v>
      </c>
      <c r="D52">
        <f t="shared" si="0"/>
        <v>5.05</v>
      </c>
      <c r="E52" s="9">
        <f t="shared" si="1"/>
        <v>1.8301606761844842</v>
      </c>
      <c r="H52" s="12">
        <f t="shared" si="2"/>
        <v>74.150053615587424</v>
      </c>
      <c r="I52" s="11">
        <f t="shared" si="3"/>
        <v>0.70667365878898603</v>
      </c>
    </row>
    <row r="53" spans="1:10" x14ac:dyDescent="0.3">
      <c r="A53" s="8">
        <v>12.5</v>
      </c>
      <c r="B53">
        <v>318</v>
      </c>
      <c r="D53">
        <f t="shared" si="0"/>
        <v>5.3</v>
      </c>
      <c r="E53" s="9">
        <f t="shared" si="1"/>
        <v>1.8505744633037748</v>
      </c>
      <c r="H53" s="12">
        <f t="shared" si="2"/>
        <v>75.409225556864953</v>
      </c>
      <c r="I53" s="11">
        <f t="shared" si="3"/>
        <v>0.70161296459592526</v>
      </c>
    </row>
    <row r="54" spans="1:10" x14ac:dyDescent="0.3">
      <c r="A54" s="8">
        <v>12.8</v>
      </c>
      <c r="B54">
        <v>328</v>
      </c>
      <c r="D54">
        <f t="shared" si="0"/>
        <v>5.4666666666666668</v>
      </c>
      <c r="E54" s="9">
        <f t="shared" si="1"/>
        <v>1.8709882504230655</v>
      </c>
      <c r="H54" s="12">
        <f t="shared" si="2"/>
        <v>75.417515778839274</v>
      </c>
      <c r="I54" s="11">
        <f t="shared" si="3"/>
        <v>0.69662423721353872</v>
      </c>
    </row>
    <row r="55" spans="1:10" x14ac:dyDescent="0.3">
      <c r="A55" s="8">
        <v>13.3</v>
      </c>
      <c r="B55">
        <v>343</v>
      </c>
      <c r="D55">
        <f t="shared" si="0"/>
        <v>5.7166666666666668</v>
      </c>
      <c r="E55" s="9">
        <f t="shared" si="1"/>
        <v>1.9050112289552166</v>
      </c>
      <c r="H55" s="12">
        <f t="shared" si="2"/>
        <v>75.012636065320507</v>
      </c>
      <c r="I55" s="11">
        <f t="shared" si="3"/>
        <v>0.68846549716067618</v>
      </c>
    </row>
    <row r="56" spans="1:10" x14ac:dyDescent="0.3">
      <c r="A56" s="8">
        <v>13.7</v>
      </c>
      <c r="B56">
        <v>357</v>
      </c>
      <c r="D56">
        <f t="shared" si="0"/>
        <v>5.95</v>
      </c>
      <c r="E56" s="9">
        <f t="shared" si="1"/>
        <v>1.9322296117809374</v>
      </c>
      <c r="H56" s="12">
        <f t="shared" si="2"/>
        <v>75.091267942807335</v>
      </c>
      <c r="I56" s="11">
        <f t="shared" si="3"/>
        <v>0.68207482523350804</v>
      </c>
    </row>
    <row r="57" spans="1:10" x14ac:dyDescent="0.3">
      <c r="A57" s="8">
        <v>14.1</v>
      </c>
      <c r="B57">
        <v>369</v>
      </c>
      <c r="D57">
        <f t="shared" si="0"/>
        <v>6.15</v>
      </c>
      <c r="E57" s="9">
        <f t="shared" si="1"/>
        <v>1.9594479946066583</v>
      </c>
      <c r="H57" s="12">
        <f t="shared" si="2"/>
        <v>74.719903914825977</v>
      </c>
      <c r="I57" s="11">
        <f t="shared" si="3"/>
        <v>0.67580170479252533</v>
      </c>
    </row>
    <row r="58" spans="1:10" x14ac:dyDescent="0.3">
      <c r="A58" s="8">
        <v>14.6</v>
      </c>
      <c r="B58">
        <v>382</v>
      </c>
      <c r="D58">
        <f t="shared" si="0"/>
        <v>6.3666666666666663</v>
      </c>
      <c r="E58" s="9">
        <f t="shared" si="1"/>
        <v>1.9934709731388092</v>
      </c>
      <c r="H58" s="12">
        <f t="shared" si="2"/>
        <v>73.85420367430649</v>
      </c>
      <c r="I58" s="11">
        <f t="shared" si="3"/>
        <v>0.66812072605564521</v>
      </c>
    </row>
    <row r="59" spans="1:10" x14ac:dyDescent="0.3">
      <c r="A59" s="8">
        <v>14.9</v>
      </c>
      <c r="B59">
        <v>393</v>
      </c>
      <c r="D59">
        <f t="shared" si="0"/>
        <v>6.55</v>
      </c>
      <c r="E59" s="9">
        <f t="shared" si="1"/>
        <v>2.0138847602581</v>
      </c>
      <c r="H59" s="12">
        <f t="shared" si="2"/>
        <v>73.946803141756604</v>
      </c>
      <c r="I59" s="11">
        <f t="shared" si="3"/>
        <v>0.66359537908434363</v>
      </c>
    </row>
    <row r="60" spans="1:10" x14ac:dyDescent="0.3">
      <c r="A60" s="8">
        <v>15.3</v>
      </c>
      <c r="B60">
        <v>404</v>
      </c>
      <c r="D60">
        <f t="shared" si="0"/>
        <v>6.7333333333333334</v>
      </c>
      <c r="E60" s="9">
        <f t="shared" si="1"/>
        <v>2.0411031430838209</v>
      </c>
      <c r="H60" s="12">
        <f t="shared" si="2"/>
        <v>73.366626172141295</v>
      </c>
      <c r="I60" s="11">
        <f t="shared" si="3"/>
        <v>0.65765608922159291</v>
      </c>
    </row>
    <row r="61" spans="1:10" x14ac:dyDescent="0.3">
      <c r="A61" s="8">
        <v>15.4</v>
      </c>
      <c r="B61">
        <v>408</v>
      </c>
      <c r="D61">
        <f t="shared" si="0"/>
        <v>6.8</v>
      </c>
      <c r="E61" s="9">
        <f t="shared" si="1"/>
        <v>2.0479077387902507</v>
      </c>
      <c r="H61" s="12">
        <f t="shared" si="2"/>
        <v>73.447562850986458</v>
      </c>
      <c r="I61" s="11">
        <f t="shared" si="3"/>
        <v>0.65618784143178255</v>
      </c>
    </row>
    <row r="62" spans="1:10" x14ac:dyDescent="0.3">
      <c r="A62" s="8">
        <v>16</v>
      </c>
      <c r="B62">
        <v>444</v>
      </c>
      <c r="D62">
        <f t="shared" si="0"/>
        <v>7.4</v>
      </c>
      <c r="E62" s="9">
        <f t="shared" si="1"/>
        <v>2.088735313028832</v>
      </c>
      <c r="H62" s="12">
        <f t="shared" si="2"/>
        <v>75.914031900190793</v>
      </c>
      <c r="I62" s="13">
        <f t="shared" si="3"/>
        <v>0.64751420802023607</v>
      </c>
    </row>
    <row r="63" spans="1:10" x14ac:dyDescent="0.3">
      <c r="A63" s="8">
        <v>16.2</v>
      </c>
      <c r="B63">
        <v>450</v>
      </c>
      <c r="D63">
        <f t="shared" si="0"/>
        <v>7.5</v>
      </c>
      <c r="E63" s="9">
        <f t="shared" si="1"/>
        <v>2.1023445044416924</v>
      </c>
      <c r="H63" s="12">
        <f t="shared" si="2"/>
        <v>75.65667314272207</v>
      </c>
      <c r="I63" s="13">
        <f t="shared" si="3"/>
        <v>0.6446737288965031</v>
      </c>
    </row>
    <row r="64" spans="1:10" x14ac:dyDescent="0.3">
      <c r="A64" s="1" t="s">
        <v>8</v>
      </c>
      <c r="B64" s="1" t="s">
        <v>0</v>
      </c>
      <c r="C64" s="1" t="s">
        <v>7</v>
      </c>
      <c r="D64" s="1" t="s">
        <v>1</v>
      </c>
      <c r="E64" s="1" t="s">
        <v>2</v>
      </c>
      <c r="F64" s="1" t="s">
        <v>3</v>
      </c>
      <c r="G64" s="1" t="s">
        <v>4</v>
      </c>
      <c r="H64" s="1" t="s">
        <v>5</v>
      </c>
      <c r="I64" s="1" t="s">
        <v>6</v>
      </c>
      <c r="J64" s="1" t="s">
        <v>16</v>
      </c>
    </row>
    <row r="65" spans="1:12" x14ac:dyDescent="0.3">
      <c r="A65">
        <v>5.4</v>
      </c>
      <c r="B65">
        <v>120</v>
      </c>
      <c r="C65">
        <v>6.8045957064301998E-2</v>
      </c>
      <c r="D65">
        <f>B65/60</f>
        <v>2</v>
      </c>
      <c r="E65">
        <f>A65*$C$2+1</f>
        <v>1.3674481681472308</v>
      </c>
      <c r="F65">
        <v>1.8440000000000002E-2</v>
      </c>
      <c r="G65">
        <v>4.7510000000000003</v>
      </c>
      <c r="H65" s="4">
        <f>(2000*D65*$F$2*1*$G$2)/(PI()*2.543^2/4*(E65^2-1^2))</f>
        <v>79.313437077645375</v>
      </c>
      <c r="I65" s="4">
        <f>2/(E65+1)</f>
        <v>0.8447914623470737</v>
      </c>
      <c r="J65">
        <f>I65^2</f>
        <v>0.71367261485450728</v>
      </c>
    </row>
    <row r="66" spans="1:12" x14ac:dyDescent="0.3">
      <c r="A66">
        <v>6.6</v>
      </c>
      <c r="B66">
        <v>151</v>
      </c>
      <c r="D66">
        <f t="shared" ref="D66:D70" si="4">B66/60</f>
        <v>2.5166666666666666</v>
      </c>
      <c r="E66">
        <f t="shared" ref="E66:E100" si="5">A66*$C$2+1</f>
        <v>1.4491033166243932</v>
      </c>
      <c r="H66" s="4">
        <f t="shared" ref="H66:H100" si="6">(2000*D66*$F$2*1*$G$2)/(PI()*2.543^2/4*(E66^2-1^2))</f>
        <v>78.934283148089577</v>
      </c>
      <c r="I66" s="4">
        <f t="shared" ref="I66:I97" si="7">2/(E66+1)</f>
        <v>0.81662540997110977</v>
      </c>
      <c r="J66">
        <f t="shared" ref="J66:J100" si="8">I66^2</f>
        <v>0.6668770602104831</v>
      </c>
      <c r="K66" s="5"/>
    </row>
    <row r="67" spans="1:12" x14ac:dyDescent="0.3">
      <c r="A67">
        <v>7.5</v>
      </c>
      <c r="B67">
        <v>173</v>
      </c>
      <c r="D67">
        <f t="shared" si="4"/>
        <v>2.8833333333333333</v>
      </c>
      <c r="E67">
        <f t="shared" si="5"/>
        <v>1.5103446779822649</v>
      </c>
      <c r="H67" s="4">
        <f t="shared" si="6"/>
        <v>77.641022835840488</v>
      </c>
      <c r="I67" s="4">
        <f t="shared" si="7"/>
        <v>0.79670334418281408</v>
      </c>
      <c r="J67">
        <f t="shared" si="8"/>
        <v>0.63473621863207952</v>
      </c>
      <c r="L67" s="1"/>
    </row>
    <row r="68" spans="1:12" x14ac:dyDescent="0.3">
      <c r="A68">
        <v>8.4</v>
      </c>
      <c r="B68">
        <v>197</v>
      </c>
      <c r="D68">
        <f t="shared" si="4"/>
        <v>3.2833333333333332</v>
      </c>
      <c r="E68">
        <f t="shared" si="5"/>
        <v>1.5715860393401369</v>
      </c>
      <c r="H68" s="4">
        <f t="shared" si="6"/>
        <v>77.059403801940505</v>
      </c>
      <c r="I68" s="4">
        <f t="shared" si="7"/>
        <v>0.77773015151116442</v>
      </c>
      <c r="J68">
        <f t="shared" si="8"/>
        <v>0.6048641885695788</v>
      </c>
    </row>
    <row r="69" spans="1:12" x14ac:dyDescent="0.3">
      <c r="A69">
        <v>9.5</v>
      </c>
      <c r="B69">
        <v>225</v>
      </c>
      <c r="D69">
        <f t="shared" si="4"/>
        <v>3.75</v>
      </c>
      <c r="E69">
        <f t="shared" si="5"/>
        <v>1.646436592110869</v>
      </c>
      <c r="H69" s="4">
        <f>(2000*D69*$F$2*1*$G$2)/(PI()*2.543^2/4*(E69^2-1^2))</f>
        <v>75.620088945727318</v>
      </c>
      <c r="I69" s="4">
        <f t="shared" si="7"/>
        <v>0.7557332021337968</v>
      </c>
      <c r="J69">
        <f t="shared" si="8"/>
        <v>0.57113267280740221</v>
      </c>
    </row>
    <row r="70" spans="1:12" x14ac:dyDescent="0.3">
      <c r="A70">
        <v>10.3</v>
      </c>
      <c r="B70">
        <v>250</v>
      </c>
      <c r="D70">
        <f t="shared" si="4"/>
        <v>4.166666666666667</v>
      </c>
      <c r="E70">
        <f t="shared" si="5"/>
        <v>1.7008733577623105</v>
      </c>
      <c r="H70" s="4">
        <f t="shared" si="6"/>
        <v>75.93435826564</v>
      </c>
      <c r="I70" s="4">
        <f t="shared" si="7"/>
        <v>0.74050121389512757</v>
      </c>
      <c r="J70">
        <f t="shared" si="8"/>
        <v>0.54834204778015749</v>
      </c>
    </row>
    <row r="71" spans="1:12" x14ac:dyDescent="0.3">
      <c r="A71">
        <v>11.3</v>
      </c>
      <c r="B71">
        <v>277</v>
      </c>
      <c r="D71">
        <f>B71/60</f>
        <v>4.6166666666666663</v>
      </c>
      <c r="E71">
        <f t="shared" si="5"/>
        <v>1.7689193148266127</v>
      </c>
      <c r="H71" s="4">
        <f t="shared" si="6"/>
        <v>74.805027808208763</v>
      </c>
      <c r="I71" s="4">
        <f t="shared" si="7"/>
        <v>0.72230345943657015</v>
      </c>
      <c r="J71">
        <f t="shared" si="8"/>
        <v>0.52172228751403693</v>
      </c>
    </row>
    <row r="72" spans="1:12" x14ac:dyDescent="0.3">
      <c r="A72">
        <v>12.1</v>
      </c>
      <c r="B72">
        <v>302</v>
      </c>
      <c r="D72">
        <f t="shared" ref="D72:D100" si="9">B72/60</f>
        <v>5.0333333333333332</v>
      </c>
      <c r="E72">
        <f t="shared" si="5"/>
        <v>1.8233560804780542</v>
      </c>
      <c r="H72" s="4">
        <f t="shared" si="6"/>
        <v>74.695713821528159</v>
      </c>
      <c r="I72" s="4">
        <f t="shared" si="7"/>
        <v>0.70837681928570539</v>
      </c>
      <c r="J72">
        <f t="shared" si="8"/>
        <v>0.50179771810133289</v>
      </c>
    </row>
    <row r="73" spans="1:12" x14ac:dyDescent="0.3">
      <c r="A73" s="1">
        <v>4.4000000000000004</v>
      </c>
      <c r="B73" s="1">
        <v>96.4</v>
      </c>
      <c r="D73">
        <f t="shared" si="9"/>
        <v>1.6066666666666667</v>
      </c>
      <c r="E73">
        <f t="shared" si="5"/>
        <v>1.2994022110829289</v>
      </c>
      <c r="H73" s="4">
        <f t="shared" si="6"/>
        <v>80.509879510053892</v>
      </c>
      <c r="I73" s="4">
        <f t="shared" si="7"/>
        <v>0.86979128329970512</v>
      </c>
      <c r="J73">
        <f t="shared" si="8"/>
        <v>0.75653687650414791</v>
      </c>
    </row>
    <row r="74" spans="1:12" x14ac:dyDescent="0.3">
      <c r="A74">
        <v>5</v>
      </c>
      <c r="B74">
        <v>110</v>
      </c>
      <c r="D74">
        <f t="shared" si="9"/>
        <v>1.8333333333333333</v>
      </c>
      <c r="E74">
        <f t="shared" si="5"/>
        <v>1.3402297853215099</v>
      </c>
      <c r="H74" s="4">
        <f t="shared" si="6"/>
        <v>79.433544505632469</v>
      </c>
      <c r="I74" s="4">
        <f t="shared" si="7"/>
        <v>0.85461693229634383</v>
      </c>
      <c r="J74">
        <f t="shared" si="8"/>
        <v>0.73037010096761357</v>
      </c>
    </row>
    <row r="75" spans="1:12" x14ac:dyDescent="0.3">
      <c r="A75">
        <v>5.5</v>
      </c>
      <c r="B75">
        <v>123</v>
      </c>
      <c r="D75">
        <f t="shared" si="9"/>
        <v>2.0499999999999998</v>
      </c>
      <c r="E75">
        <f t="shared" si="5"/>
        <v>1.374252763853661</v>
      </c>
      <c r="H75" s="4">
        <f t="shared" si="6"/>
        <v>79.589400533855198</v>
      </c>
      <c r="I75" s="4">
        <f t="shared" si="7"/>
        <v>0.84237029454007684</v>
      </c>
      <c r="J75">
        <f t="shared" si="8"/>
        <v>0.70958771312353586</v>
      </c>
    </row>
    <row r="76" spans="1:12" x14ac:dyDescent="0.3">
      <c r="A76">
        <v>5.9</v>
      </c>
      <c r="B76">
        <v>132</v>
      </c>
      <c r="D76">
        <f t="shared" si="9"/>
        <v>2.2000000000000002</v>
      </c>
      <c r="E76">
        <f t="shared" si="5"/>
        <v>1.4014711466793819</v>
      </c>
      <c r="H76" s="4">
        <f t="shared" si="6"/>
        <v>78.719859528303161</v>
      </c>
      <c r="I76" s="4">
        <f t="shared" si="7"/>
        <v>0.83282283144042213</v>
      </c>
      <c r="J76">
        <f t="shared" si="8"/>
        <v>0.69359386856844174</v>
      </c>
    </row>
    <row r="77" spans="1:12" x14ac:dyDescent="0.3">
      <c r="A77">
        <v>6.1</v>
      </c>
      <c r="B77">
        <v>139</v>
      </c>
      <c r="D77">
        <f t="shared" si="9"/>
        <v>2.3166666666666669</v>
      </c>
      <c r="E77">
        <f t="shared" si="5"/>
        <v>1.4150803380922421</v>
      </c>
      <c r="H77" s="4">
        <f t="shared" si="6"/>
        <v>79.724746488972144</v>
      </c>
      <c r="I77" s="4">
        <f t="shared" si="7"/>
        <v>0.8281298010897109</v>
      </c>
      <c r="J77">
        <f t="shared" si="8"/>
        <v>0.68579896745288416</v>
      </c>
    </row>
    <row r="78" spans="1:12" x14ac:dyDescent="0.3">
      <c r="A78">
        <v>6.5</v>
      </c>
      <c r="B78">
        <v>148</v>
      </c>
      <c r="D78">
        <f t="shared" si="9"/>
        <v>2.4666666666666668</v>
      </c>
      <c r="E78">
        <f t="shared" si="5"/>
        <v>1.442298720917963</v>
      </c>
      <c r="H78" s="4">
        <f t="shared" si="6"/>
        <v>78.775168471299622</v>
      </c>
      <c r="I78" s="4">
        <f t="shared" si="7"/>
        <v>0.81890064588343214</v>
      </c>
      <c r="J78">
        <f t="shared" si="8"/>
        <v>0.67059826782830234</v>
      </c>
    </row>
    <row r="79" spans="1:12" x14ac:dyDescent="0.3">
      <c r="A79">
        <v>6.8</v>
      </c>
      <c r="B79">
        <v>156</v>
      </c>
      <c r="D79">
        <f t="shared" si="9"/>
        <v>2.6</v>
      </c>
      <c r="E79">
        <f t="shared" si="5"/>
        <v>1.4627125080372536</v>
      </c>
      <c r="H79" s="4">
        <f t="shared" si="6"/>
        <v>78.712142425274337</v>
      </c>
      <c r="I79" s="4">
        <f t="shared" si="7"/>
        <v>0.81211265767841123</v>
      </c>
      <c r="J79">
        <f t="shared" si="8"/>
        <v>0.6595269687614923</v>
      </c>
    </row>
    <row r="80" spans="1:12" x14ac:dyDescent="0.3">
      <c r="A80">
        <v>7.1</v>
      </c>
      <c r="B80">
        <v>165</v>
      </c>
      <c r="D80">
        <f t="shared" si="9"/>
        <v>2.75</v>
      </c>
      <c r="E80">
        <f t="shared" si="5"/>
        <v>1.483126295156544</v>
      </c>
      <c r="H80" s="4">
        <f t="shared" si="6"/>
        <v>79.079979940899747</v>
      </c>
      <c r="I80" s="4">
        <f t="shared" si="7"/>
        <v>0.80543627760742376</v>
      </c>
      <c r="J80">
        <f t="shared" si="8"/>
        <v>0.64872759728610296</v>
      </c>
    </row>
    <row r="81" spans="1:12" x14ac:dyDescent="0.3">
      <c r="A81">
        <v>7.4</v>
      </c>
      <c r="B81">
        <v>171</v>
      </c>
      <c r="D81">
        <f t="shared" si="9"/>
        <v>2.85</v>
      </c>
      <c r="E81">
        <f t="shared" si="5"/>
        <v>1.5035400822758347</v>
      </c>
      <c r="H81" s="4">
        <f t="shared" si="6"/>
        <v>77.991918870689474</v>
      </c>
      <c r="I81" s="4">
        <f t="shared" si="7"/>
        <v>0.79886877552282154</v>
      </c>
      <c r="J81">
        <f t="shared" si="8"/>
        <v>0.63819132050533223</v>
      </c>
    </row>
    <row r="82" spans="1:12" x14ac:dyDescent="0.3">
      <c r="A82">
        <v>7.8</v>
      </c>
      <c r="B82">
        <v>182</v>
      </c>
      <c r="D82">
        <f t="shared" si="9"/>
        <v>3.0333333333333332</v>
      </c>
      <c r="E82">
        <f t="shared" si="5"/>
        <v>1.5307584651015556</v>
      </c>
      <c r="H82" s="4">
        <f t="shared" si="6"/>
        <v>77.905093118780542</v>
      </c>
      <c r="I82" s="4">
        <f t="shared" si="7"/>
        <v>0.79027691799886679</v>
      </c>
      <c r="J82">
        <f t="shared" si="8"/>
        <v>0.62453760712178763</v>
      </c>
    </row>
    <row r="83" spans="1:12" x14ac:dyDescent="0.3">
      <c r="A83">
        <v>8.1</v>
      </c>
      <c r="B83">
        <v>190</v>
      </c>
      <c r="D83">
        <f t="shared" si="9"/>
        <v>3.1666666666666665</v>
      </c>
      <c r="E83">
        <f t="shared" si="5"/>
        <v>1.5511722522208462</v>
      </c>
      <c r="H83" s="4">
        <f t="shared" si="6"/>
        <v>77.690615710614566</v>
      </c>
      <c r="I83" s="4">
        <f t="shared" si="7"/>
        <v>0.78395333684699664</v>
      </c>
      <c r="J83">
        <f t="shared" si="8"/>
        <v>0.61458283435354055</v>
      </c>
    </row>
    <row r="84" spans="1:12" x14ac:dyDescent="0.3">
      <c r="A84">
        <v>8.1999999999999993</v>
      </c>
      <c r="B84">
        <v>193</v>
      </c>
      <c r="D84">
        <f t="shared" si="9"/>
        <v>3.2166666666666668</v>
      </c>
      <c r="E84">
        <f t="shared" si="5"/>
        <v>1.5579768479272764</v>
      </c>
      <c r="H84" s="4">
        <f t="shared" si="6"/>
        <v>77.747531886588561</v>
      </c>
      <c r="I84" s="4">
        <f t="shared" si="7"/>
        <v>0.78186790534112771</v>
      </c>
      <c r="J84">
        <f t="shared" si="8"/>
        <v>0.61131742140252265</v>
      </c>
    </row>
    <row r="85" spans="1:12" x14ac:dyDescent="0.3">
      <c r="A85">
        <v>8.3000000000000007</v>
      </c>
      <c r="B85">
        <v>195</v>
      </c>
      <c r="D85">
        <f t="shared" si="9"/>
        <v>3.25</v>
      </c>
      <c r="E85">
        <f t="shared" si="5"/>
        <v>1.5647814436337066</v>
      </c>
      <c r="H85" s="4">
        <f t="shared" si="6"/>
        <v>77.400883858606306</v>
      </c>
      <c r="I85" s="4">
        <f t="shared" si="7"/>
        <v>0.77979353950972874</v>
      </c>
      <c r="J85">
        <f t="shared" si="8"/>
        <v>0.60807796426111083</v>
      </c>
    </row>
    <row r="86" spans="1:12" x14ac:dyDescent="0.3">
      <c r="A86">
        <v>8.5</v>
      </c>
      <c r="B86">
        <v>200</v>
      </c>
      <c r="D86">
        <f t="shared" si="9"/>
        <v>3.3333333333333335</v>
      </c>
      <c r="E86">
        <f t="shared" si="5"/>
        <v>1.5783906350465671</v>
      </c>
      <c r="H86" s="4">
        <f t="shared" si="6"/>
        <v>77.108475838518956</v>
      </c>
      <c r="I86" s="4">
        <f t="shared" si="7"/>
        <v>0.77567765443108627</v>
      </c>
      <c r="J86">
        <f t="shared" si="8"/>
        <v>0.60167582358371174</v>
      </c>
    </row>
    <row r="87" spans="1:12" x14ac:dyDescent="0.3">
      <c r="A87">
        <v>8.6999999999999993</v>
      </c>
      <c r="B87">
        <v>203</v>
      </c>
      <c r="D87">
        <f t="shared" si="9"/>
        <v>3.3833333333333333</v>
      </c>
      <c r="E87">
        <f t="shared" si="5"/>
        <v>1.5919998264594275</v>
      </c>
      <c r="H87" s="4">
        <f t="shared" si="6"/>
        <v>76.064424029761753</v>
      </c>
      <c r="I87" s="4">
        <f t="shared" si="7"/>
        <v>0.77160498993239646</v>
      </c>
      <c r="J87">
        <f t="shared" si="8"/>
        <v>0.59537426048857367</v>
      </c>
    </row>
    <row r="88" spans="1:12" x14ac:dyDescent="0.3">
      <c r="A88">
        <v>9</v>
      </c>
      <c r="B88">
        <v>211</v>
      </c>
      <c r="D88">
        <f t="shared" si="9"/>
        <v>3.5166666666666666</v>
      </c>
      <c r="E88">
        <f t="shared" si="5"/>
        <v>1.6124136135787179</v>
      </c>
      <c r="H88" s="4">
        <f t="shared" si="6"/>
        <v>75.829426516462448</v>
      </c>
      <c r="I88" s="4">
        <f t="shared" si="7"/>
        <v>0.7655755541942002</v>
      </c>
      <c r="J88">
        <f t="shared" si="8"/>
        <v>0.58610592917975679</v>
      </c>
    </row>
    <row r="89" spans="1:12" x14ac:dyDescent="0.3">
      <c r="A89">
        <v>9.1999999999999993</v>
      </c>
      <c r="B89">
        <v>218</v>
      </c>
      <c r="D89">
        <f t="shared" si="9"/>
        <v>3.6333333333333333</v>
      </c>
      <c r="E89">
        <f t="shared" si="5"/>
        <v>1.6260228049915784</v>
      </c>
      <c r="H89" s="4">
        <f t="shared" si="6"/>
        <v>76.244748619114191</v>
      </c>
      <c r="I89" s="4">
        <f t="shared" si="7"/>
        <v>0.76160800896259317</v>
      </c>
      <c r="J89">
        <f t="shared" si="8"/>
        <v>0.58004675931596539</v>
      </c>
    </row>
    <row r="90" spans="1:12" x14ac:dyDescent="0.3">
      <c r="A90">
        <v>9.3000000000000007</v>
      </c>
      <c r="B90">
        <v>221</v>
      </c>
      <c r="D90">
        <f t="shared" si="9"/>
        <v>3.6833333333333331</v>
      </c>
      <c r="E90">
        <f t="shared" si="5"/>
        <v>1.6328274006980086</v>
      </c>
      <c r="H90" s="4">
        <f t="shared" si="6"/>
        <v>76.26525028999859</v>
      </c>
      <c r="I90" s="4">
        <f t="shared" si="7"/>
        <v>0.75963961764822296</v>
      </c>
      <c r="J90">
        <f t="shared" si="8"/>
        <v>0.5770523487007384</v>
      </c>
    </row>
    <row r="91" spans="1:12" x14ac:dyDescent="0.3">
      <c r="A91">
        <v>9.4</v>
      </c>
      <c r="B91">
        <v>223</v>
      </c>
      <c r="D91">
        <f t="shared" si="9"/>
        <v>3.7166666666666668</v>
      </c>
      <c r="E91">
        <f t="shared" si="5"/>
        <v>1.6396319964044388</v>
      </c>
      <c r="H91" s="4">
        <f t="shared" si="6"/>
        <v>75.94048899466766</v>
      </c>
      <c r="I91" s="4">
        <f t="shared" si="7"/>
        <v>0.75768137479932429</v>
      </c>
      <c r="J91">
        <f t="shared" si="8"/>
        <v>0.57408106571779416</v>
      </c>
    </row>
    <row r="92" spans="1:12" x14ac:dyDescent="0.3">
      <c r="A92">
        <v>9.6</v>
      </c>
      <c r="B92">
        <v>228</v>
      </c>
      <c r="D92">
        <f t="shared" si="9"/>
        <v>3.8</v>
      </c>
      <c r="E92">
        <f t="shared" si="5"/>
        <v>1.653241187817299</v>
      </c>
      <c r="H92" s="4">
        <f t="shared" si="6"/>
        <v>75.63566809099585</v>
      </c>
      <c r="I92" s="4">
        <f t="shared" si="7"/>
        <v>0.7537950221726013</v>
      </c>
      <c r="J92">
        <f t="shared" si="8"/>
        <v>0.56820693545219247</v>
      </c>
      <c r="L92" s="1" t="s">
        <v>9</v>
      </c>
    </row>
    <row r="93" spans="1:12" x14ac:dyDescent="0.3">
      <c r="A93">
        <v>9.9</v>
      </c>
      <c r="B93">
        <v>236</v>
      </c>
      <c r="D93">
        <f t="shared" si="9"/>
        <v>3.9333333333333331</v>
      </c>
      <c r="E93">
        <f t="shared" si="5"/>
        <v>1.6736549749365897</v>
      </c>
      <c r="H93" s="4">
        <f t="shared" si="6"/>
        <v>75.337500923021835</v>
      </c>
      <c r="I93" s="4">
        <f t="shared" si="7"/>
        <v>0.74803967555590578</v>
      </c>
      <c r="J93">
        <f t="shared" si="8"/>
        <v>0.55956335620578479</v>
      </c>
      <c r="L93" s="4">
        <v>44.514000000000003</v>
      </c>
    </row>
    <row r="94" spans="1:12" x14ac:dyDescent="0.3">
      <c r="A94">
        <v>10.1</v>
      </c>
      <c r="B94">
        <v>243</v>
      </c>
      <c r="D94">
        <f t="shared" si="9"/>
        <v>4.05</v>
      </c>
      <c r="E94">
        <f t="shared" si="5"/>
        <v>1.6872641663494501</v>
      </c>
      <c r="H94" s="4">
        <f t="shared" si="6"/>
        <v>75.650935469083805</v>
      </c>
      <c r="I94" s="4">
        <f t="shared" si="7"/>
        <v>0.74425135609832016</v>
      </c>
      <c r="J94">
        <f t="shared" si="8"/>
        <v>0.5539100810541886</v>
      </c>
    </row>
    <row r="95" spans="1:12" x14ac:dyDescent="0.3">
      <c r="A95">
        <v>10.5</v>
      </c>
      <c r="B95">
        <v>253</v>
      </c>
      <c r="D95">
        <f t="shared" si="9"/>
        <v>4.2166666666666668</v>
      </c>
      <c r="E95">
        <f t="shared" si="5"/>
        <v>1.714482549175171</v>
      </c>
      <c r="H95" s="4">
        <f t="shared" si="6"/>
        <v>75.003914831563293</v>
      </c>
      <c r="I95" s="4">
        <f t="shared" si="7"/>
        <v>0.73678867473571519</v>
      </c>
      <c r="J95">
        <f t="shared" si="8"/>
        <v>0.54285755121881152</v>
      </c>
    </row>
    <row r="96" spans="1:12" x14ac:dyDescent="0.3">
      <c r="A96">
        <v>10.8</v>
      </c>
      <c r="B96">
        <v>262</v>
      </c>
      <c r="D96">
        <f t="shared" si="9"/>
        <v>4.3666666666666663</v>
      </c>
      <c r="E96">
        <f t="shared" si="5"/>
        <v>1.7348963362944616</v>
      </c>
      <c r="H96" s="4">
        <f t="shared" si="6"/>
        <v>74.950827192071003</v>
      </c>
      <c r="I96" s="4">
        <f t="shared" si="7"/>
        <v>0.73128914374495813</v>
      </c>
      <c r="J96">
        <f t="shared" si="8"/>
        <v>0.53478381175923406</v>
      </c>
    </row>
    <row r="97" spans="1:15" x14ac:dyDescent="0.3">
      <c r="A97">
        <v>11.1</v>
      </c>
      <c r="B97">
        <v>270</v>
      </c>
      <c r="D97">
        <f t="shared" si="9"/>
        <v>4.5</v>
      </c>
      <c r="E97">
        <f t="shared" si="5"/>
        <v>1.7553101234137523</v>
      </c>
      <c r="H97" s="4">
        <f t="shared" si="6"/>
        <v>74.595058934288517</v>
      </c>
      <c r="I97" s="4">
        <f t="shared" si="7"/>
        <v>0.72587110358454165</v>
      </c>
      <c r="J97">
        <f t="shared" si="8"/>
        <v>0.52688885901904037</v>
      </c>
      <c r="K97" s="1" t="s">
        <v>35</v>
      </c>
      <c r="O97" s="1" t="s">
        <v>17</v>
      </c>
    </row>
    <row r="98" spans="1:15" x14ac:dyDescent="0.3">
      <c r="A98">
        <v>11.4</v>
      </c>
      <c r="B98">
        <v>277</v>
      </c>
      <c r="D98">
        <f t="shared" si="9"/>
        <v>4.6166666666666663</v>
      </c>
      <c r="E98">
        <f t="shared" si="5"/>
        <v>1.7757239105330429</v>
      </c>
      <c r="H98" s="4">
        <f t="shared" si="6"/>
        <v>73.967069907477168</v>
      </c>
      <c r="I98" s="4">
        <f>2/(E98+1)</f>
        <v>0.72053275630569658</v>
      </c>
      <c r="J98">
        <f t="shared" si="8"/>
        <v>0.51916745290948429</v>
      </c>
      <c r="K98" s="8">
        <f t="array" ref="K98:L102">LINEST(H65:H100,I65:I100,TRUE,TRUE)</f>
        <v>41.249898660056509</v>
      </c>
      <c r="L98" s="8">
        <v>44.89044167079517</v>
      </c>
      <c r="O98" s="15">
        <f>L98</f>
        <v>44.89044167079517</v>
      </c>
    </row>
    <row r="99" spans="1:15" x14ac:dyDescent="0.3">
      <c r="A99">
        <v>11.7</v>
      </c>
      <c r="B99">
        <v>288</v>
      </c>
      <c r="D99">
        <f t="shared" si="9"/>
        <v>4.8</v>
      </c>
      <c r="E99">
        <f t="shared" si="5"/>
        <v>1.7961376976523333</v>
      </c>
      <c r="H99" s="4">
        <f t="shared" si="6"/>
        <v>74.385422689492827</v>
      </c>
      <c r="I99" s="4">
        <f t="shared" ref="I99:I100" si="10">2/(E99+1)</f>
        <v>0.71527235646485554</v>
      </c>
      <c r="J99">
        <f t="shared" si="8"/>
        <v>0.51161454392278738</v>
      </c>
      <c r="K99" s="9">
        <v>1.6470001147264273</v>
      </c>
      <c r="L99" s="9">
        <v>1.280044795817411</v>
      </c>
    </row>
    <row r="100" spans="1:15" x14ac:dyDescent="0.3">
      <c r="A100" s="1">
        <v>12.2</v>
      </c>
      <c r="B100" s="1">
        <v>303</v>
      </c>
      <c r="D100">
        <f t="shared" si="9"/>
        <v>5.05</v>
      </c>
      <c r="E100">
        <f t="shared" si="5"/>
        <v>1.8301606761844842</v>
      </c>
      <c r="H100" s="4">
        <f t="shared" si="6"/>
        <v>74.150053615587424</v>
      </c>
      <c r="I100" s="4">
        <f t="shared" si="10"/>
        <v>0.70667365878898603</v>
      </c>
      <c r="J100">
        <f t="shared" si="8"/>
        <v>0.49938766002621227</v>
      </c>
      <c r="K100" s="5">
        <v>0.94858423447328688</v>
      </c>
      <c r="L100" s="5">
        <v>0.42619311706792956</v>
      </c>
    </row>
    <row r="101" spans="1:15" x14ac:dyDescent="0.3">
      <c r="K101">
        <v>627.27577118997158</v>
      </c>
      <c r="L101">
        <v>34</v>
      </c>
    </row>
    <row r="102" spans="1:15" x14ac:dyDescent="0.3">
      <c r="K102">
        <v>113.93873053059413</v>
      </c>
      <c r="L102">
        <v>6.1757794832266493</v>
      </c>
    </row>
    <row r="105" spans="1:15" x14ac:dyDescent="0.3">
      <c r="K105" t="s">
        <v>44</v>
      </c>
      <c r="L105" t="s">
        <v>45</v>
      </c>
      <c r="M105" s="1" t="s">
        <v>46</v>
      </c>
    </row>
    <row r="106" spans="1:15" x14ac:dyDescent="0.3">
      <c r="H106" s="4"/>
      <c r="I106" s="4"/>
      <c r="K106" s="5">
        <f>(K98+K99)/(L98-L99)</f>
        <v>0.98363926606216678</v>
      </c>
      <c r="L106" s="5">
        <f>(K98-K99)/(L98+L99)</f>
        <v>0.85775354725725628</v>
      </c>
      <c r="M106" s="1">
        <f>AVERAGE(K106:L106)</f>
        <v>0.92069640665971153</v>
      </c>
    </row>
    <row r="107" spans="1:15" x14ac:dyDescent="0.3">
      <c r="H107" s="4"/>
      <c r="I107" s="4"/>
    </row>
    <row r="108" spans="1:15" x14ac:dyDescent="0.3">
      <c r="H108" s="2"/>
      <c r="I108" s="2"/>
      <c r="L108" s="5"/>
    </row>
    <row r="109" spans="1:15" x14ac:dyDescent="0.3">
      <c r="H109" s="2"/>
      <c r="I109" s="2"/>
    </row>
    <row r="110" spans="1:15" x14ac:dyDescent="0.3">
      <c r="H110" s="2"/>
      <c r="I110" s="2"/>
    </row>
    <row r="111" spans="1:15" x14ac:dyDescent="0.3">
      <c r="H111" s="2"/>
      <c r="I111" s="2"/>
    </row>
    <row r="112" spans="1:15" x14ac:dyDescent="0.3">
      <c r="H112" s="2"/>
      <c r="I112" s="2"/>
    </row>
    <row r="113" spans="1:12" x14ac:dyDescent="0.3">
      <c r="H113" s="2"/>
      <c r="I113" s="2"/>
    </row>
    <row r="114" spans="1:12" x14ac:dyDescent="0.3">
      <c r="H114" s="2"/>
      <c r="I114" s="2"/>
    </row>
    <row r="115" spans="1:12" x14ac:dyDescent="0.3">
      <c r="H115" s="2"/>
      <c r="I115" s="2"/>
    </row>
    <row r="116" spans="1:12" x14ac:dyDescent="0.3">
      <c r="H116" s="2"/>
      <c r="I116" s="2"/>
    </row>
    <row r="118" spans="1:12" x14ac:dyDescent="0.3">
      <c r="A118" s="1"/>
      <c r="B118" s="1"/>
      <c r="C118" s="1"/>
      <c r="D118" s="1"/>
      <c r="E118" s="1"/>
      <c r="F118" s="1"/>
      <c r="G118" s="1"/>
      <c r="H118" s="1"/>
      <c r="I118" s="1"/>
      <c r="J118" s="1"/>
    </row>
    <row r="119" spans="1:12" x14ac:dyDescent="0.3">
      <c r="H119" s="4"/>
      <c r="I119" s="4"/>
    </row>
    <row r="120" spans="1:12" x14ac:dyDescent="0.3">
      <c r="H120" s="4"/>
      <c r="I120" s="4"/>
      <c r="K120" s="5"/>
    </row>
    <row r="121" spans="1:12" x14ac:dyDescent="0.3">
      <c r="H121" s="4"/>
      <c r="I121" s="4"/>
      <c r="L121" s="1"/>
    </row>
    <row r="122" spans="1:12" x14ac:dyDescent="0.3">
      <c r="H122" s="4"/>
      <c r="I122" s="4"/>
    </row>
    <row r="123" spans="1:12" x14ac:dyDescent="0.3">
      <c r="H123" s="4"/>
      <c r="I123" s="4"/>
    </row>
    <row r="124" spans="1:12" x14ac:dyDescent="0.3">
      <c r="H124" s="4"/>
      <c r="I124" s="4"/>
    </row>
    <row r="125" spans="1:12" x14ac:dyDescent="0.3">
      <c r="H125" s="4"/>
      <c r="I125" s="4"/>
    </row>
    <row r="126" spans="1:12" x14ac:dyDescent="0.3">
      <c r="H126" s="4"/>
      <c r="I126" s="4"/>
    </row>
    <row r="127" spans="1:12" x14ac:dyDescent="0.3">
      <c r="A127" s="1"/>
      <c r="B127" s="1"/>
      <c r="H127" s="4"/>
      <c r="I127" s="4"/>
    </row>
    <row r="128" spans="1:12" x14ac:dyDescent="0.3">
      <c r="H128" s="4"/>
      <c r="I128" s="4"/>
    </row>
    <row r="129" spans="8:9" x14ac:dyDescent="0.3">
      <c r="H129" s="4"/>
      <c r="I129" s="4"/>
    </row>
    <row r="130" spans="8:9" x14ac:dyDescent="0.3">
      <c r="H130" s="4"/>
      <c r="I130" s="4"/>
    </row>
    <row r="131" spans="8:9" x14ac:dyDescent="0.3">
      <c r="H131" s="4"/>
      <c r="I131" s="4"/>
    </row>
    <row r="132" spans="8:9" x14ac:dyDescent="0.3">
      <c r="H132" s="4"/>
      <c r="I132" s="4"/>
    </row>
    <row r="133" spans="8:9" x14ac:dyDescent="0.3">
      <c r="H133" s="4"/>
      <c r="I133" s="4"/>
    </row>
    <row r="134" spans="8:9" x14ac:dyDescent="0.3">
      <c r="H134" s="4"/>
      <c r="I134" s="4"/>
    </row>
    <row r="135" spans="8:9" x14ac:dyDescent="0.3">
      <c r="H135" s="4"/>
      <c r="I135" s="4"/>
    </row>
    <row r="136" spans="8:9" x14ac:dyDescent="0.3">
      <c r="H136" s="4"/>
      <c r="I136" s="4"/>
    </row>
    <row r="137" spans="8:9" x14ac:dyDescent="0.3">
      <c r="H137" s="4"/>
      <c r="I137" s="4"/>
    </row>
    <row r="138" spans="8:9" x14ac:dyDescent="0.3">
      <c r="H138" s="4"/>
      <c r="I138" s="4"/>
    </row>
    <row r="139" spans="8:9" x14ac:dyDescent="0.3">
      <c r="H139" s="4"/>
      <c r="I139" s="4"/>
    </row>
    <row r="140" spans="8:9" x14ac:dyDescent="0.3">
      <c r="H140" s="4"/>
      <c r="I140" s="4"/>
    </row>
    <row r="141" spans="8:9" x14ac:dyDescent="0.3">
      <c r="H141" s="4"/>
      <c r="I141" s="4"/>
    </row>
    <row r="142" spans="8:9" x14ac:dyDescent="0.3">
      <c r="H142" s="4"/>
      <c r="I142" s="4"/>
    </row>
    <row r="143" spans="8:9" x14ac:dyDescent="0.3">
      <c r="H143" s="4"/>
      <c r="I143" s="4"/>
    </row>
    <row r="144" spans="8:9" x14ac:dyDescent="0.3">
      <c r="H144" s="4"/>
      <c r="I144" s="4"/>
    </row>
    <row r="145" spans="1:12" x14ac:dyDescent="0.3">
      <c r="H145" s="4"/>
      <c r="I145" s="4"/>
    </row>
    <row r="146" spans="1:12" x14ac:dyDescent="0.3">
      <c r="H146" s="4"/>
      <c r="I146" s="4"/>
      <c r="L146" s="1"/>
    </row>
    <row r="147" spans="1:12" x14ac:dyDescent="0.3">
      <c r="H147" s="4"/>
      <c r="I147" s="4"/>
      <c r="L147" s="4"/>
    </row>
    <row r="148" spans="1:12" x14ac:dyDescent="0.3">
      <c r="H148" s="4"/>
      <c r="I148" s="4"/>
    </row>
    <row r="149" spans="1:12" x14ac:dyDescent="0.3">
      <c r="H149" s="4"/>
      <c r="I149" s="4"/>
    </row>
    <row r="150" spans="1:12" x14ac:dyDescent="0.3">
      <c r="H150" s="4"/>
      <c r="I150" s="4"/>
    </row>
    <row r="151" spans="1:12" x14ac:dyDescent="0.3">
      <c r="H151" s="4"/>
      <c r="I151" s="4"/>
    </row>
    <row r="152" spans="1:12" x14ac:dyDescent="0.3">
      <c r="H152" s="4"/>
      <c r="I152" s="4"/>
    </row>
    <row r="153" spans="1:12" x14ac:dyDescent="0.3">
      <c r="H153" s="4"/>
      <c r="I153" s="4"/>
    </row>
    <row r="154" spans="1:12" x14ac:dyDescent="0.3">
      <c r="A154" s="1"/>
      <c r="B154" s="1"/>
      <c r="H154" s="4"/>
      <c r="I154" s="4"/>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41"/>
  <sheetViews>
    <sheetView topLeftCell="L1" zoomScale="90" zoomScaleNormal="90" workbookViewId="0">
      <selection activeCell="O2" sqref="O2"/>
    </sheetView>
  </sheetViews>
  <sheetFormatPr defaultRowHeight="14.4" x14ac:dyDescent="0.3"/>
  <cols>
    <col min="1" max="2" width="12" bestFit="1" customWidth="1"/>
    <col min="3" max="4" width="10.44140625" customWidth="1"/>
    <col min="6" max="6" width="12" bestFit="1" customWidth="1"/>
    <col min="9" max="9" width="12.6640625" customWidth="1"/>
    <col min="10" max="10" width="17.109375" customWidth="1"/>
    <col min="13" max="13" width="11" bestFit="1" customWidth="1"/>
    <col min="14" max="14" width="10.5546875" customWidth="1"/>
    <col min="15" max="15" width="11.6640625" customWidth="1"/>
    <col min="16" max="16" width="9.88671875" bestFit="1" customWidth="1"/>
    <col min="17" max="17" width="10.88671875" customWidth="1"/>
    <col min="18" max="18" width="11.88671875" customWidth="1"/>
    <col min="22" max="22" width="12" bestFit="1" customWidth="1"/>
  </cols>
  <sheetData>
    <row r="1" spans="1:24" x14ac:dyDescent="0.3">
      <c r="A1" s="1" t="s">
        <v>8</v>
      </c>
      <c r="B1" s="1" t="s">
        <v>0</v>
      </c>
      <c r="C1" s="1" t="s">
        <v>7</v>
      </c>
      <c r="D1" s="1" t="s">
        <v>1</v>
      </c>
      <c r="E1" s="1" t="s">
        <v>2</v>
      </c>
      <c r="F1" s="1" t="s">
        <v>3</v>
      </c>
      <c r="G1" s="1" t="s">
        <v>4</v>
      </c>
      <c r="H1" s="1" t="s">
        <v>5</v>
      </c>
      <c r="I1" s="1" t="s">
        <v>6</v>
      </c>
      <c r="J1" s="1" t="s">
        <v>16</v>
      </c>
      <c r="M1" t="s">
        <v>26</v>
      </c>
      <c r="N1" s="1" t="s">
        <v>27</v>
      </c>
      <c r="O1" t="s">
        <v>10</v>
      </c>
      <c r="P1" t="s">
        <v>11</v>
      </c>
      <c r="Q1" t="s">
        <v>12</v>
      </c>
      <c r="R1" t="s">
        <v>37</v>
      </c>
      <c r="S1" s="1" t="s">
        <v>38</v>
      </c>
      <c r="V1" t="s">
        <v>39</v>
      </c>
      <c r="W1" s="1" t="s">
        <v>40</v>
      </c>
    </row>
    <row r="2" spans="1:24" x14ac:dyDescent="0.3">
      <c r="A2">
        <v>5.4</v>
      </c>
      <c r="B2">
        <v>120</v>
      </c>
      <c r="C2">
        <v>6.8045957064301998E-2</v>
      </c>
      <c r="D2">
        <f>B2/60</f>
        <v>2</v>
      </c>
      <c r="E2">
        <f>A2*$C$2+1</f>
        <v>1.3674481681472308</v>
      </c>
      <c r="F2">
        <v>1.8440000000000002E-2</v>
      </c>
      <c r="G2">
        <v>4.7510000000000003</v>
      </c>
      <c r="H2" s="4">
        <f>(2000*D2*$F$2*1*$G$2)/(PI()*2.543^2/4*(E2^2-1^2))</f>
        <v>79.313437077645375</v>
      </c>
      <c r="I2" s="4">
        <f>2/(E2+1)</f>
        <v>0.8447914623470737</v>
      </c>
      <c r="J2">
        <f>I2^2</f>
        <v>0.71367261485450728</v>
      </c>
      <c r="M2">
        <f>1.844*10^(-5)/101325*N14*SQRT(PI()*8.314*10^3*294.15/(2*28.9645))</f>
        <v>5.5989962607750158E-8</v>
      </c>
      <c r="N2" s="14">
        <f>M2*10^(6)</f>
        <v>5.598996260775016E-2</v>
      </c>
      <c r="O2">
        <f>PI()*2.543^2/4</f>
        <v>5.0790513275686253</v>
      </c>
      <c r="P2">
        <f>O2*10^(-4)</f>
        <v>5.0790513275686259E-4</v>
      </c>
      <c r="Q2">
        <f>'[1]κατανομή μεγέθους πόρων'!$B$67/100</f>
        <v>0.18315400000000001</v>
      </c>
      <c r="R2">
        <f>SQRT(8*M10*M7/Q2)*P7</f>
        <v>1.3951838875958988E-6</v>
      </c>
      <c r="S2">
        <f>R2*10^6</f>
        <v>1.3951838875958988</v>
      </c>
      <c r="V2">
        <f>SQRT(8*M10*M7/Q2)</f>
        <v>8.5394574540770482E-7</v>
      </c>
      <c r="W2">
        <f>V2*10^6</f>
        <v>0.85394574540770485</v>
      </c>
    </row>
    <row r="3" spans="1:24" x14ac:dyDescent="0.3">
      <c r="A3">
        <v>6.6</v>
      </c>
      <c r="B3">
        <v>151</v>
      </c>
      <c r="D3">
        <f t="shared" ref="D3:D7" si="0">B3/60</f>
        <v>2.5166666666666666</v>
      </c>
      <c r="E3">
        <f t="shared" ref="E3:E37" si="1">A3*$C$2+1</f>
        <v>1.4491033166243932</v>
      </c>
      <c r="H3" s="4">
        <f t="shared" ref="H3:H37" si="2">(2000*D3*$F$2*1*$G$2)/(PI()*2.543^2/4*(E3^2-1^2))</f>
        <v>78.934283148089577</v>
      </c>
      <c r="I3" s="4">
        <f t="shared" ref="I3:I37" si="3">2/(E3+1)</f>
        <v>0.81662540997110977</v>
      </c>
      <c r="J3">
        <f t="shared" ref="J3:J37" si="4">I3^2</f>
        <v>0.6668770602104831</v>
      </c>
      <c r="M3" t="s">
        <v>28</v>
      </c>
      <c r="N3" s="1" t="s">
        <v>29</v>
      </c>
    </row>
    <row r="4" spans="1:24" x14ac:dyDescent="0.3">
      <c r="A4">
        <v>7.5</v>
      </c>
      <c r="B4">
        <v>173</v>
      </c>
      <c r="D4">
        <f t="shared" si="0"/>
        <v>2.8833333333333333</v>
      </c>
      <c r="E4">
        <f t="shared" si="1"/>
        <v>1.5103446779822649</v>
      </c>
      <c r="H4" s="4">
        <f t="shared" si="2"/>
        <v>77.641022835840488</v>
      </c>
      <c r="I4" s="4">
        <f t="shared" si="3"/>
        <v>0.79670334418281408</v>
      </c>
      <c r="J4">
        <f t="shared" si="4"/>
        <v>0.63473621863207952</v>
      </c>
      <c r="M4">
        <f>1.844*10^(-5)/101325*O14*SQRT(PI()*8.314*10^3*294.15/(2*28.9645))</f>
        <v>4.683597490622105E-8</v>
      </c>
      <c r="N4" s="14">
        <f>M4*10^6</f>
        <v>4.6835974906221052E-2</v>
      </c>
      <c r="T4" t="s">
        <v>36</v>
      </c>
    </row>
    <row r="5" spans="1:24" x14ac:dyDescent="0.3">
      <c r="A5">
        <v>8.4</v>
      </c>
      <c r="B5">
        <v>197</v>
      </c>
      <c r="D5">
        <f>B5/60</f>
        <v>3.2833333333333332</v>
      </c>
      <c r="E5">
        <f t="shared" si="1"/>
        <v>1.5715860393401369</v>
      </c>
      <c r="H5" s="4">
        <f t="shared" si="2"/>
        <v>77.059403801940505</v>
      </c>
      <c r="I5" s="4">
        <f t="shared" si="3"/>
        <v>0.77773015151116442</v>
      </c>
      <c r="J5">
        <f t="shared" si="4"/>
        <v>0.6048641885695788</v>
      </c>
      <c r="T5" s="1" t="s">
        <v>30</v>
      </c>
      <c r="V5" s="1" t="s">
        <v>18</v>
      </c>
      <c r="W5" s="1" t="s">
        <v>19</v>
      </c>
      <c r="X5" s="1" t="s">
        <v>20</v>
      </c>
    </row>
    <row r="6" spans="1:24" x14ac:dyDescent="0.3">
      <c r="A6">
        <v>9.5</v>
      </c>
      <c r="B6">
        <v>225</v>
      </c>
      <c r="D6">
        <f t="shared" si="0"/>
        <v>3.75</v>
      </c>
      <c r="E6">
        <f>A6*$C$2+1</f>
        <v>1.646436592110869</v>
      </c>
      <c r="H6" s="4">
        <f t="shared" si="2"/>
        <v>75.620088945727318</v>
      </c>
      <c r="I6" s="4">
        <f t="shared" si="3"/>
        <v>0.7557332021337968</v>
      </c>
      <c r="J6">
        <f t="shared" si="4"/>
        <v>0.57113267280740221</v>
      </c>
      <c r="M6" t="s">
        <v>13</v>
      </c>
      <c r="N6" t="s">
        <v>14</v>
      </c>
      <c r="P6" s="3" t="s">
        <v>15</v>
      </c>
      <c r="T6" s="14">
        <f>N2/(2*W2)</f>
        <v>3.2783091261271234E-2</v>
      </c>
      <c r="V6" s="1">
        <v>6.6772768291216895</v>
      </c>
      <c r="W6" s="1">
        <v>-2.7078107985660695</v>
      </c>
      <c r="X6" s="1">
        <v>16.77419572460558</v>
      </c>
    </row>
    <row r="7" spans="1:24" x14ac:dyDescent="0.3">
      <c r="A7">
        <v>10.3</v>
      </c>
      <c r="B7">
        <v>250</v>
      </c>
      <c r="D7">
        <f t="shared" si="0"/>
        <v>4.166666666666667</v>
      </c>
      <c r="E7">
        <f>A7*$C$2+1</f>
        <v>1.7008733577623105</v>
      </c>
      <c r="H7" s="4">
        <f>(2000*D7*$F$2*1*$G$2)/(PI()*2.543^2/4*(E7^2-1^2))</f>
        <v>75.93435826564</v>
      </c>
      <c r="I7" s="4">
        <f t="shared" si="3"/>
        <v>0.74050121389512757</v>
      </c>
      <c r="J7">
        <f t="shared" si="4"/>
        <v>0.54834204778015749</v>
      </c>
      <c r="M7">
        <f>9.86923266716*10^(-16)</f>
        <v>9.8692326671599993E-16</v>
      </c>
      <c r="N7">
        <v>0.140344471</v>
      </c>
      <c r="P7">
        <f>SQRT((N7^(-0.5)))</f>
        <v>1.6338085822182851</v>
      </c>
      <c r="R7" t="s">
        <v>32</v>
      </c>
      <c r="T7" s="1"/>
      <c r="V7" s="1"/>
      <c r="W7" s="1"/>
      <c r="X7" s="1"/>
    </row>
    <row r="8" spans="1:24" x14ac:dyDescent="0.3">
      <c r="A8">
        <v>11.3</v>
      </c>
      <c r="B8">
        <v>277</v>
      </c>
      <c r="D8">
        <f>B8/60</f>
        <v>4.6166666666666663</v>
      </c>
      <c r="E8">
        <f t="shared" si="1"/>
        <v>1.7689193148266127</v>
      </c>
      <c r="H8" s="4">
        <f t="shared" si="2"/>
        <v>74.805027808208763</v>
      </c>
      <c r="I8" s="4">
        <f t="shared" si="3"/>
        <v>0.72230345943657015</v>
      </c>
      <c r="J8">
        <f t="shared" si="4"/>
        <v>0.52172228751403693</v>
      </c>
      <c r="R8" s="1" t="s">
        <v>23</v>
      </c>
      <c r="T8" s="1" t="s">
        <v>31</v>
      </c>
      <c r="V8" s="1" t="s">
        <v>21</v>
      </c>
      <c r="W8" s="1" t="s">
        <v>22</v>
      </c>
      <c r="X8" s="1"/>
    </row>
    <row r="9" spans="1:24" x14ac:dyDescent="0.3">
      <c r="A9">
        <v>12.1</v>
      </c>
      <c r="B9">
        <v>302</v>
      </c>
      <c r="D9">
        <f t="shared" ref="D9:D37" si="5">B9/60</f>
        <v>5.0333333333333332</v>
      </c>
      <c r="E9">
        <f t="shared" si="1"/>
        <v>1.8233560804780542</v>
      </c>
      <c r="H9" s="4">
        <f t="shared" si="2"/>
        <v>74.695713821528159</v>
      </c>
      <c r="I9" s="4">
        <f t="shared" si="3"/>
        <v>0.70837681928570539</v>
      </c>
      <c r="J9">
        <f t="shared" si="4"/>
        <v>0.50179771810133289</v>
      </c>
      <c r="M9" t="s">
        <v>17</v>
      </c>
      <c r="O9">
        <f>N7^-0.5</f>
        <v>2.669330483330123</v>
      </c>
      <c r="R9" s="1">
        <f>4.7*'second order slip equation'!N7^(-1/2)</f>
        <v>12.545853271651579</v>
      </c>
      <c r="T9" s="14">
        <f>N4/(2*W2)</f>
        <v>2.7423273175194433E-2</v>
      </c>
      <c r="V9" s="1">
        <f>(V6*101325*2*V2)/(8*1.844*10^(-5))*SQRT(2/(PI()*287.058*294.15))</f>
        <v>21.507809095316894</v>
      </c>
      <c r="W9" s="1">
        <f>(W6*101325^2*(2*V2)^2)/(4*(1.844*10^(-5))^2*PI()*287.058*294.15)</f>
        <v>-224.75113070902373</v>
      </c>
      <c r="X9" s="1"/>
    </row>
    <row r="10" spans="1:24" x14ac:dyDescent="0.3">
      <c r="A10" s="1">
        <v>4.4000000000000004</v>
      </c>
      <c r="B10" s="1">
        <v>96.4</v>
      </c>
      <c r="D10">
        <f t="shared" si="5"/>
        <v>1.6066666666666667</v>
      </c>
      <c r="E10">
        <f t="shared" si="1"/>
        <v>1.2994022110829289</v>
      </c>
      <c r="H10" s="4">
        <f t="shared" si="2"/>
        <v>80.509879510053892</v>
      </c>
      <c r="I10" s="4">
        <f t="shared" si="3"/>
        <v>0.86979128329970512</v>
      </c>
      <c r="J10">
        <f t="shared" si="4"/>
        <v>0.75653687650414791</v>
      </c>
      <c r="M10" s="9">
        <f>Y20</f>
        <v>16.91623039555903</v>
      </c>
    </row>
    <row r="11" spans="1:24" x14ac:dyDescent="0.3">
      <c r="A11">
        <v>5</v>
      </c>
      <c r="B11">
        <v>110</v>
      </c>
      <c r="D11">
        <f t="shared" si="5"/>
        <v>1.8333333333333333</v>
      </c>
      <c r="E11">
        <f t="shared" si="1"/>
        <v>1.3402297853215099</v>
      </c>
      <c r="H11" s="4">
        <f t="shared" si="2"/>
        <v>79.433544505632469</v>
      </c>
      <c r="I11" s="4">
        <f t="shared" si="3"/>
        <v>0.85461693229634383</v>
      </c>
      <c r="J11">
        <f t="shared" si="4"/>
        <v>0.73037010096761357</v>
      </c>
    </row>
    <row r="12" spans="1:24" x14ac:dyDescent="0.3">
      <c r="A12">
        <v>5.5</v>
      </c>
      <c r="B12">
        <v>123</v>
      </c>
      <c r="D12">
        <f t="shared" si="5"/>
        <v>2.0499999999999998</v>
      </c>
      <c r="E12">
        <f t="shared" si="1"/>
        <v>1.374252763853661</v>
      </c>
      <c r="H12" s="4">
        <f t="shared" si="2"/>
        <v>79.589400533855198</v>
      </c>
      <c r="I12" s="4">
        <f t="shared" si="3"/>
        <v>0.84237029454007684</v>
      </c>
      <c r="J12">
        <f t="shared" si="4"/>
        <v>0.70958771312353586</v>
      </c>
      <c r="N12" t="s">
        <v>33</v>
      </c>
      <c r="O12" t="s">
        <v>33</v>
      </c>
    </row>
    <row r="13" spans="1:24" x14ac:dyDescent="0.3">
      <c r="A13">
        <v>5.9</v>
      </c>
      <c r="B13">
        <v>132</v>
      </c>
      <c r="D13">
        <f t="shared" si="5"/>
        <v>2.2000000000000002</v>
      </c>
      <c r="E13">
        <f t="shared" si="1"/>
        <v>1.4014711466793819</v>
      </c>
      <c r="H13" s="4">
        <f t="shared" si="2"/>
        <v>78.719859528303161</v>
      </c>
      <c r="I13" s="4">
        <f t="shared" si="3"/>
        <v>0.83282283144042213</v>
      </c>
      <c r="J13">
        <f t="shared" si="4"/>
        <v>0.69359386856844174</v>
      </c>
      <c r="N13" t="s">
        <v>51</v>
      </c>
      <c r="O13" t="s">
        <v>52</v>
      </c>
    </row>
    <row r="14" spans="1:24" x14ac:dyDescent="0.3">
      <c r="A14">
        <v>6.1</v>
      </c>
      <c r="B14">
        <v>139</v>
      </c>
      <c r="D14">
        <f t="shared" si="5"/>
        <v>2.3166666666666669</v>
      </c>
      <c r="E14">
        <f t="shared" si="1"/>
        <v>1.4150803380922421</v>
      </c>
      <c r="H14" s="4">
        <f t="shared" si="2"/>
        <v>79.724746488972144</v>
      </c>
      <c r="I14" s="4">
        <f t="shared" si="3"/>
        <v>0.8281298010897109</v>
      </c>
      <c r="J14">
        <f t="shared" si="4"/>
        <v>0.68579896745288416</v>
      </c>
      <c r="N14" s="5">
        <f>I2</f>
        <v>0.8447914623470737</v>
      </c>
      <c r="O14" s="5">
        <f>I37</f>
        <v>0.70667365878898603</v>
      </c>
      <c r="R14" s="5"/>
    </row>
    <row r="15" spans="1:24" x14ac:dyDescent="0.3">
      <c r="A15">
        <v>6.5</v>
      </c>
      <c r="B15">
        <v>148</v>
      </c>
      <c r="D15">
        <f t="shared" si="5"/>
        <v>2.4666666666666668</v>
      </c>
      <c r="E15">
        <f t="shared" si="1"/>
        <v>1.442298720917963</v>
      </c>
      <c r="H15" s="4">
        <f t="shared" si="2"/>
        <v>78.775168471299622</v>
      </c>
      <c r="I15" s="4">
        <f t="shared" si="3"/>
        <v>0.81890064588343214</v>
      </c>
      <c r="J15">
        <f t="shared" si="4"/>
        <v>0.67059826782830234</v>
      </c>
    </row>
    <row r="16" spans="1:24" x14ac:dyDescent="0.3">
      <c r="A16">
        <v>6.8</v>
      </c>
      <c r="B16">
        <v>156</v>
      </c>
      <c r="D16">
        <f t="shared" si="5"/>
        <v>2.6</v>
      </c>
      <c r="E16">
        <f t="shared" si="1"/>
        <v>1.4627125080372536</v>
      </c>
      <c r="H16" s="4">
        <f t="shared" si="2"/>
        <v>78.712142425274337</v>
      </c>
      <c r="I16" s="4">
        <f t="shared" si="3"/>
        <v>0.81211265767841123</v>
      </c>
      <c r="J16">
        <f t="shared" si="4"/>
        <v>0.6595269687614923</v>
      </c>
      <c r="N16" s="9">
        <f>1/N14</f>
        <v>1.1837240840736154</v>
      </c>
      <c r="O16" s="9">
        <f>1/O14</f>
        <v>1.4150803380922421</v>
      </c>
    </row>
    <row r="17" spans="1:31" x14ac:dyDescent="0.3">
      <c r="A17">
        <v>7.1</v>
      </c>
      <c r="B17">
        <v>165</v>
      </c>
      <c r="D17">
        <f t="shared" si="5"/>
        <v>2.75</v>
      </c>
      <c r="E17">
        <f t="shared" si="1"/>
        <v>1.483126295156544</v>
      </c>
      <c r="H17" s="4">
        <f t="shared" si="2"/>
        <v>79.079979940899747</v>
      </c>
      <c r="I17" s="4">
        <f t="shared" si="3"/>
        <v>0.80543627760742376</v>
      </c>
      <c r="J17">
        <f t="shared" si="4"/>
        <v>0.64872759728610296</v>
      </c>
    </row>
    <row r="18" spans="1:31" x14ac:dyDescent="0.3">
      <c r="A18">
        <v>7.4</v>
      </c>
      <c r="B18">
        <v>171</v>
      </c>
      <c r="D18">
        <f t="shared" si="5"/>
        <v>2.85</v>
      </c>
      <c r="E18">
        <f t="shared" si="1"/>
        <v>1.5035400822758347</v>
      </c>
      <c r="H18" s="4">
        <f t="shared" si="2"/>
        <v>77.991918870689474</v>
      </c>
      <c r="I18" s="4">
        <f t="shared" si="3"/>
        <v>0.79886877552282154</v>
      </c>
      <c r="J18">
        <f t="shared" si="4"/>
        <v>0.63819132050533223</v>
      </c>
    </row>
    <row r="19" spans="1:31" x14ac:dyDescent="0.3">
      <c r="A19">
        <v>7.8</v>
      </c>
      <c r="B19">
        <v>182</v>
      </c>
      <c r="D19">
        <f t="shared" si="5"/>
        <v>3.0333333333333332</v>
      </c>
      <c r="E19">
        <f t="shared" si="1"/>
        <v>1.5307584651015556</v>
      </c>
      <c r="H19" s="4">
        <f t="shared" si="2"/>
        <v>77.905093118780542</v>
      </c>
      <c r="I19" s="4">
        <f t="shared" si="3"/>
        <v>0.79027691799886679</v>
      </c>
      <c r="J19">
        <f t="shared" si="4"/>
        <v>0.62453760712178763</v>
      </c>
      <c r="X19" s="1" t="s">
        <v>41</v>
      </c>
    </row>
    <row r="20" spans="1:31" x14ac:dyDescent="0.3">
      <c r="A20">
        <v>8.1</v>
      </c>
      <c r="B20">
        <v>190</v>
      </c>
      <c r="D20">
        <f t="shared" si="5"/>
        <v>3.1666666666666665</v>
      </c>
      <c r="E20">
        <f t="shared" si="1"/>
        <v>1.5511722522208462</v>
      </c>
      <c r="H20" s="4">
        <f t="shared" si="2"/>
        <v>77.690615710614566</v>
      </c>
      <c r="I20" s="4">
        <f t="shared" si="3"/>
        <v>0.78395333684699664</v>
      </c>
      <c r="J20">
        <f t="shared" si="4"/>
        <v>0.61458283435354055</v>
      </c>
      <c r="W20" s="8">
        <f t="array" ref="W20:Y24">LINEST(H2:H37,I2:J37,TRUE,TRUE)</f>
        <v>-45.805951336123627</v>
      </c>
      <c r="X20" s="8">
        <v>112.9543532563447</v>
      </c>
      <c r="Y20" s="15">
        <v>16.91623039555903</v>
      </c>
      <c r="AC20" s="1" t="s">
        <v>18</v>
      </c>
      <c r="AD20" s="1" t="s">
        <v>19</v>
      </c>
      <c r="AE20" s="1" t="s">
        <v>20</v>
      </c>
    </row>
    <row r="21" spans="1:31" x14ac:dyDescent="0.3">
      <c r="A21">
        <v>8.1999999999999993</v>
      </c>
      <c r="B21">
        <v>193</v>
      </c>
      <c r="D21">
        <f t="shared" si="5"/>
        <v>3.2166666666666668</v>
      </c>
      <c r="E21">
        <f t="shared" si="1"/>
        <v>1.5579768479272764</v>
      </c>
      <c r="H21" s="4">
        <f t="shared" si="2"/>
        <v>77.747531886588561</v>
      </c>
      <c r="I21" s="4">
        <f t="shared" si="3"/>
        <v>0.78186790534112771</v>
      </c>
      <c r="J21">
        <f t="shared" si="4"/>
        <v>0.61131742140252265</v>
      </c>
      <c r="W21" s="8">
        <v>35.732067579629224</v>
      </c>
      <c r="X21" s="8">
        <v>55.9586294959974</v>
      </c>
      <c r="Y21" s="8">
        <v>21.858791336136271</v>
      </c>
      <c r="AC21" s="7">
        <f>X20/Y20</f>
        <v>6.6772768291213564</v>
      </c>
      <c r="AD21" s="7">
        <f>W20/Y20</f>
        <v>-2.7078107985659106</v>
      </c>
      <c r="AE21" s="15">
        <f>Y20</f>
        <v>16.91623039555903</v>
      </c>
    </row>
    <row r="22" spans="1:31" x14ac:dyDescent="0.3">
      <c r="A22">
        <v>8.3000000000000007</v>
      </c>
      <c r="B22">
        <v>195</v>
      </c>
      <c r="D22">
        <f t="shared" si="5"/>
        <v>3.25</v>
      </c>
      <c r="E22">
        <f t="shared" si="1"/>
        <v>1.5647814436337066</v>
      </c>
      <c r="H22" s="4">
        <f t="shared" si="2"/>
        <v>77.400883858606306</v>
      </c>
      <c r="I22" s="4">
        <f t="shared" si="3"/>
        <v>0.77979353950972874</v>
      </c>
      <c r="J22">
        <f>I22^2</f>
        <v>0.60807796426111083</v>
      </c>
      <c r="W22" s="5">
        <v>0.9510231910437178</v>
      </c>
      <c r="X22">
        <v>0.42221728607595366</v>
      </c>
      <c r="Y22" t="e">
        <v>#N/A</v>
      </c>
    </row>
    <row r="23" spans="1:31" x14ac:dyDescent="0.3">
      <c r="A23">
        <v>8.5</v>
      </c>
      <c r="B23">
        <v>200</v>
      </c>
      <c r="D23">
        <f t="shared" si="5"/>
        <v>3.3333333333333335</v>
      </c>
      <c r="E23">
        <f t="shared" si="1"/>
        <v>1.5783906350465671</v>
      </c>
      <c r="H23" s="4">
        <f t="shared" si="2"/>
        <v>77.108475838518956</v>
      </c>
      <c r="I23" s="4">
        <f t="shared" si="3"/>
        <v>0.77567765443108627</v>
      </c>
      <c r="J23">
        <f>I23^2</f>
        <v>0.60167582358371174</v>
      </c>
      <c r="W23">
        <v>320.39414136246154</v>
      </c>
      <c r="X23">
        <v>33</v>
      </c>
      <c r="Y23" t="e">
        <v>#N/A</v>
      </c>
    </row>
    <row r="24" spans="1:31" x14ac:dyDescent="0.3">
      <c r="A24">
        <v>8.6999999999999993</v>
      </c>
      <c r="B24">
        <v>203</v>
      </c>
      <c r="D24">
        <f t="shared" si="5"/>
        <v>3.3833333333333333</v>
      </c>
      <c r="E24">
        <f t="shared" si="1"/>
        <v>1.5919998264594275</v>
      </c>
      <c r="H24" s="4">
        <f t="shared" si="2"/>
        <v>76.064424029761753</v>
      </c>
      <c r="I24" s="4">
        <f t="shared" si="3"/>
        <v>0.77160498993239646</v>
      </c>
      <c r="J24">
        <f>I24^2</f>
        <v>0.59537426048857367</v>
      </c>
      <c r="W24">
        <v>114.23168460399643</v>
      </c>
      <c r="X24">
        <v>5.882825409824342</v>
      </c>
      <c r="Y24" t="e">
        <v>#N/A</v>
      </c>
    </row>
    <row r="25" spans="1:31" x14ac:dyDescent="0.3">
      <c r="A25">
        <v>9</v>
      </c>
      <c r="B25">
        <v>211</v>
      </c>
      <c r="D25">
        <f t="shared" si="5"/>
        <v>3.5166666666666666</v>
      </c>
      <c r="E25">
        <f t="shared" si="1"/>
        <v>1.6124136135787179</v>
      </c>
      <c r="H25" s="4">
        <f t="shared" si="2"/>
        <v>75.829426516462448</v>
      </c>
      <c r="I25" s="4">
        <f t="shared" si="3"/>
        <v>0.7655755541942002</v>
      </c>
      <c r="J25">
        <f t="shared" si="4"/>
        <v>0.58610592917975679</v>
      </c>
    </row>
    <row r="26" spans="1:31" x14ac:dyDescent="0.3">
      <c r="A26">
        <v>9.1999999999999993</v>
      </c>
      <c r="B26">
        <v>218</v>
      </c>
      <c r="D26">
        <f t="shared" si="5"/>
        <v>3.6333333333333333</v>
      </c>
      <c r="E26">
        <f t="shared" si="1"/>
        <v>1.6260228049915784</v>
      </c>
      <c r="H26" s="4">
        <f t="shared" si="2"/>
        <v>76.244748619114191</v>
      </c>
      <c r="I26" s="4">
        <f t="shared" si="3"/>
        <v>0.76160800896259317</v>
      </c>
      <c r="J26">
        <f t="shared" si="4"/>
        <v>0.58004675931596539</v>
      </c>
    </row>
    <row r="27" spans="1:31" x14ac:dyDescent="0.3">
      <c r="A27">
        <v>9.3000000000000007</v>
      </c>
      <c r="B27">
        <v>221</v>
      </c>
      <c r="D27">
        <f t="shared" si="5"/>
        <v>3.6833333333333331</v>
      </c>
      <c r="E27">
        <f t="shared" si="1"/>
        <v>1.6328274006980086</v>
      </c>
      <c r="H27" s="4">
        <f t="shared" si="2"/>
        <v>76.26525028999859</v>
      </c>
      <c r="I27" s="4">
        <f t="shared" si="3"/>
        <v>0.75963961764822296</v>
      </c>
      <c r="J27">
        <f t="shared" si="4"/>
        <v>0.5770523487007384</v>
      </c>
    </row>
    <row r="28" spans="1:31" x14ac:dyDescent="0.3">
      <c r="A28">
        <v>9.4</v>
      </c>
      <c r="B28">
        <v>223</v>
      </c>
      <c r="D28">
        <f t="shared" si="5"/>
        <v>3.7166666666666668</v>
      </c>
      <c r="E28">
        <f t="shared" si="1"/>
        <v>1.6396319964044388</v>
      </c>
      <c r="H28" s="4">
        <f t="shared" si="2"/>
        <v>75.94048899466766</v>
      </c>
      <c r="I28" s="4">
        <f t="shared" si="3"/>
        <v>0.75768137479932429</v>
      </c>
      <c r="J28">
        <f t="shared" si="4"/>
        <v>0.57408106571779416</v>
      </c>
    </row>
    <row r="29" spans="1:31" x14ac:dyDescent="0.3">
      <c r="A29">
        <v>9.6</v>
      </c>
      <c r="B29">
        <v>228</v>
      </c>
      <c r="D29">
        <f t="shared" si="5"/>
        <v>3.8</v>
      </c>
      <c r="E29">
        <f t="shared" si="1"/>
        <v>1.653241187817299</v>
      </c>
      <c r="H29" s="4">
        <f t="shared" si="2"/>
        <v>75.63566809099585</v>
      </c>
      <c r="I29" s="4">
        <f t="shared" si="3"/>
        <v>0.7537950221726013</v>
      </c>
      <c r="J29">
        <f t="shared" si="4"/>
        <v>0.56820693545219247</v>
      </c>
    </row>
    <row r="30" spans="1:31" x14ac:dyDescent="0.3">
      <c r="A30">
        <v>9.9</v>
      </c>
      <c r="B30">
        <v>236</v>
      </c>
      <c r="D30">
        <f t="shared" si="5"/>
        <v>3.9333333333333331</v>
      </c>
      <c r="E30">
        <f t="shared" si="1"/>
        <v>1.6736549749365897</v>
      </c>
      <c r="H30" s="4">
        <f t="shared" si="2"/>
        <v>75.337500923021835</v>
      </c>
      <c r="I30" s="4">
        <f t="shared" si="3"/>
        <v>0.74803967555590578</v>
      </c>
      <c r="J30">
        <f t="shared" si="4"/>
        <v>0.55956335620578479</v>
      </c>
    </row>
    <row r="31" spans="1:31" x14ac:dyDescent="0.3">
      <c r="A31">
        <v>10.1</v>
      </c>
      <c r="B31">
        <v>243</v>
      </c>
      <c r="D31">
        <f t="shared" si="5"/>
        <v>4.05</v>
      </c>
      <c r="E31">
        <f t="shared" si="1"/>
        <v>1.6872641663494501</v>
      </c>
      <c r="H31" s="4">
        <f t="shared" si="2"/>
        <v>75.650935469083805</v>
      </c>
      <c r="I31" s="4">
        <f t="shared" si="3"/>
        <v>0.74425135609832016</v>
      </c>
      <c r="J31">
        <f t="shared" si="4"/>
        <v>0.5539100810541886</v>
      </c>
    </row>
    <row r="32" spans="1:31" x14ac:dyDescent="0.3">
      <c r="A32">
        <v>10.5</v>
      </c>
      <c r="B32">
        <v>253</v>
      </c>
      <c r="D32">
        <f t="shared" si="5"/>
        <v>4.2166666666666668</v>
      </c>
      <c r="E32">
        <f t="shared" si="1"/>
        <v>1.714482549175171</v>
      </c>
      <c r="H32" s="4">
        <f t="shared" si="2"/>
        <v>75.003914831563293</v>
      </c>
      <c r="I32" s="4">
        <f t="shared" si="3"/>
        <v>0.73678867473571519</v>
      </c>
      <c r="J32">
        <f t="shared" si="4"/>
        <v>0.54285755121881152</v>
      </c>
    </row>
    <row r="33" spans="1:14" x14ac:dyDescent="0.3">
      <c r="A33">
        <v>10.8</v>
      </c>
      <c r="B33">
        <v>262</v>
      </c>
      <c r="D33">
        <f t="shared" si="5"/>
        <v>4.3666666666666663</v>
      </c>
      <c r="E33">
        <f t="shared" si="1"/>
        <v>1.7348963362944616</v>
      </c>
      <c r="H33" s="4">
        <f t="shared" si="2"/>
        <v>74.950827192071003</v>
      </c>
      <c r="I33" s="4">
        <f t="shared" si="3"/>
        <v>0.73128914374495813</v>
      </c>
      <c r="J33">
        <f t="shared" si="4"/>
        <v>0.53478381175923406</v>
      </c>
    </row>
    <row r="34" spans="1:14" x14ac:dyDescent="0.3">
      <c r="A34">
        <v>11.1</v>
      </c>
      <c r="B34">
        <v>270</v>
      </c>
      <c r="D34">
        <f t="shared" si="5"/>
        <v>4.5</v>
      </c>
      <c r="E34">
        <f t="shared" si="1"/>
        <v>1.7553101234137523</v>
      </c>
      <c r="H34" s="4">
        <f t="shared" si="2"/>
        <v>74.595058934288517</v>
      </c>
      <c r="I34" s="4">
        <f t="shared" si="3"/>
        <v>0.72587110358454165</v>
      </c>
      <c r="J34">
        <f t="shared" si="4"/>
        <v>0.52688885901904037</v>
      </c>
    </row>
    <row r="35" spans="1:14" x14ac:dyDescent="0.3">
      <c r="A35">
        <v>11.4</v>
      </c>
      <c r="B35">
        <v>277</v>
      </c>
      <c r="D35">
        <f t="shared" si="5"/>
        <v>4.6166666666666663</v>
      </c>
      <c r="E35">
        <f t="shared" si="1"/>
        <v>1.7757239105330429</v>
      </c>
      <c r="H35" s="4">
        <f t="shared" si="2"/>
        <v>73.967069907477168</v>
      </c>
      <c r="I35" s="4">
        <f>2/(E35+1)</f>
        <v>0.72053275630569658</v>
      </c>
      <c r="J35">
        <f t="shared" si="4"/>
        <v>0.51916745290948429</v>
      </c>
    </row>
    <row r="36" spans="1:14" x14ac:dyDescent="0.3">
      <c r="A36">
        <v>11.7</v>
      </c>
      <c r="B36">
        <v>288</v>
      </c>
      <c r="D36">
        <f t="shared" si="5"/>
        <v>4.8</v>
      </c>
      <c r="E36">
        <f t="shared" si="1"/>
        <v>1.7961376976523333</v>
      </c>
      <c r="H36" s="4">
        <f t="shared" si="2"/>
        <v>74.385422689492827</v>
      </c>
      <c r="I36" s="4">
        <f>2/(E36+1)</f>
        <v>0.71527235646485554</v>
      </c>
      <c r="J36">
        <f t="shared" si="4"/>
        <v>0.51161454392278738</v>
      </c>
    </row>
    <row r="37" spans="1:14" x14ac:dyDescent="0.3">
      <c r="A37" s="1">
        <v>12.2</v>
      </c>
      <c r="B37" s="1">
        <v>303</v>
      </c>
      <c r="D37">
        <f t="shared" si="5"/>
        <v>5.05</v>
      </c>
      <c r="E37">
        <f t="shared" si="1"/>
        <v>1.8301606761844842</v>
      </c>
      <c r="H37" s="4">
        <f t="shared" si="2"/>
        <v>74.150053615587424</v>
      </c>
      <c r="I37" s="4">
        <f t="shared" si="3"/>
        <v>0.70667365878898603</v>
      </c>
      <c r="J37">
        <f t="shared" si="4"/>
        <v>0.49938766002621227</v>
      </c>
    </row>
    <row r="41" spans="1:14" x14ac:dyDescent="0.3">
      <c r="N41" s="8">
        <f>(14-16.9)/16.9*100</f>
        <v>-17.15976331360946</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2"/>
  <sheetViews>
    <sheetView tabSelected="1" topLeftCell="U19" workbookViewId="0">
      <selection activeCell="AL39" sqref="AL39"/>
    </sheetView>
  </sheetViews>
  <sheetFormatPr defaultRowHeight="14.4" x14ac:dyDescent="0.3"/>
  <cols>
    <col min="2" max="2" width="12.33203125" customWidth="1"/>
    <col min="3" max="3" width="11" customWidth="1"/>
    <col min="4" max="4" width="10" customWidth="1"/>
    <col min="5" max="5" width="10.5546875" bestFit="1" customWidth="1"/>
    <col min="6" max="6" width="13.5546875" customWidth="1"/>
    <col min="9" max="9" width="12.109375" customWidth="1"/>
    <col min="11" max="11" width="16.88671875" customWidth="1"/>
    <col min="19" max="19" width="10.33203125" customWidth="1"/>
    <col min="26" max="26" width="12" bestFit="1" customWidth="1"/>
    <col min="28" max="28" width="11" customWidth="1"/>
    <col min="29" max="29" width="9.44140625" customWidth="1"/>
    <col min="31" max="31" width="10.33203125" customWidth="1"/>
    <col min="32" max="32" width="12" bestFit="1" customWidth="1"/>
    <col min="33" max="33" width="9.88671875" customWidth="1"/>
    <col min="35" max="35" width="7.33203125" customWidth="1"/>
    <col min="36" max="36" width="9.88671875" customWidth="1"/>
    <col min="38" max="38" width="12" bestFit="1" customWidth="1"/>
  </cols>
  <sheetData>
    <row r="1" spans="1:38" x14ac:dyDescent="0.3">
      <c r="A1" s="1" t="s">
        <v>8</v>
      </c>
      <c r="B1" s="1" t="s">
        <v>0</v>
      </c>
      <c r="C1" s="1" t="s">
        <v>7</v>
      </c>
      <c r="D1" s="1" t="s">
        <v>1</v>
      </c>
      <c r="E1" s="1" t="s">
        <v>2</v>
      </c>
      <c r="F1" s="1" t="s">
        <v>3</v>
      </c>
      <c r="G1" s="1" t="s">
        <v>4</v>
      </c>
      <c r="H1" s="1" t="s">
        <v>5</v>
      </c>
      <c r="I1" s="1" t="s">
        <v>6</v>
      </c>
      <c r="J1" s="1" t="s">
        <v>43</v>
      </c>
      <c r="K1" s="1" t="s">
        <v>42</v>
      </c>
    </row>
    <row r="2" spans="1:38" x14ac:dyDescent="0.3">
      <c r="A2" s="8">
        <v>3.5</v>
      </c>
      <c r="B2">
        <v>8</v>
      </c>
      <c r="C2">
        <v>6.8045957064301998E-2</v>
      </c>
      <c r="D2" s="5">
        <f>(B2-$J$2)/60</f>
        <v>0.15</v>
      </c>
      <c r="E2">
        <f>A2*$C$2+1</f>
        <v>1.2381608497250569</v>
      </c>
      <c r="F2">
        <v>1.8440000000000002E-2</v>
      </c>
      <c r="G2">
        <v>4.7510000000000003</v>
      </c>
      <c r="H2" s="16">
        <f>(2000*D2*$F$2*1*$G$2)/(PI()*2.543^2/4*(E2^2-1^2))</f>
        <v>9.7078472511430132</v>
      </c>
      <c r="I2" s="13">
        <f>2/(E2+1)</f>
        <v>0.89359082491577246</v>
      </c>
      <c r="J2">
        <v>-1</v>
      </c>
      <c r="K2">
        <v>150</v>
      </c>
    </row>
    <row r="3" spans="1:38" x14ac:dyDescent="0.3">
      <c r="A3" s="8">
        <v>5.0999999999999996</v>
      </c>
      <c r="B3">
        <v>11</v>
      </c>
      <c r="D3" s="5">
        <f t="shared" ref="D3:D45" si="0">(B3-$J$2)/60</f>
        <v>0.2</v>
      </c>
      <c r="E3">
        <f t="shared" ref="E3:E45" si="1">A3*$C$2+1</f>
        <v>1.3470343810279402</v>
      </c>
      <c r="H3" s="16">
        <f>(2000*D3*$F$2*1*$G$2)/(PI()*2.543^2/4*(E3^2-1^2))</f>
        <v>8.4709356450788587</v>
      </c>
      <c r="I3" s="13">
        <f t="shared" ref="I3:I45" si="2">2/(E3+1)</f>
        <v>0.85213920007599198</v>
      </c>
      <c r="K3">
        <v>150</v>
      </c>
      <c r="AA3" t="s">
        <v>26</v>
      </c>
      <c r="AB3" s="1" t="s">
        <v>27</v>
      </c>
      <c r="AC3" t="s">
        <v>10</v>
      </c>
      <c r="AD3" t="s">
        <v>11</v>
      </c>
      <c r="AE3" t="s">
        <v>12</v>
      </c>
      <c r="AG3" s="1"/>
      <c r="AJ3" t="s">
        <v>39</v>
      </c>
      <c r="AK3" s="1" t="s">
        <v>40</v>
      </c>
    </row>
    <row r="4" spans="1:38" x14ac:dyDescent="0.3">
      <c r="A4" s="8">
        <v>7.4</v>
      </c>
      <c r="B4">
        <v>17</v>
      </c>
      <c r="D4" s="5">
        <f t="shared" si="0"/>
        <v>0.3</v>
      </c>
      <c r="E4">
        <f t="shared" si="1"/>
        <v>1.5035400822758347</v>
      </c>
      <c r="H4" s="16">
        <f t="shared" ref="H4:H45" si="3">(2000*D4*$F$2*1*$G$2)/(PI()*2.543^2/4*(E4^2-1^2))</f>
        <v>8.2096756705988909</v>
      </c>
      <c r="I4" s="13">
        <f t="shared" si="2"/>
        <v>0.79886877552282154</v>
      </c>
      <c r="K4">
        <v>150</v>
      </c>
      <c r="AA4">
        <f>1.844*10^(-5)/101325*AB16*SQRT(PI()*8.314*10^3*294.15/(2*28.9645))</f>
        <v>4.3881815966483174E-8</v>
      </c>
      <c r="AB4" s="1">
        <f>AA4*10^(6)</f>
        <v>4.3881815966483176E-2</v>
      </c>
      <c r="AC4">
        <v>5.0790513275686253</v>
      </c>
      <c r="AD4">
        <f>AC4*10^(-4)</f>
        <v>5.0790513275686259E-4</v>
      </c>
      <c r="AE4">
        <v>0.18315400000000001</v>
      </c>
      <c r="AJ4">
        <f>SQRT(8*AA12*AA9/AE4)</f>
        <v>3.8480390290523647E-7</v>
      </c>
      <c r="AK4" s="5">
        <f>AJ4*10^6</f>
        <v>0.38480390290523647</v>
      </c>
    </row>
    <row r="5" spans="1:38" x14ac:dyDescent="0.3">
      <c r="A5" s="8">
        <v>9.1999999999999993</v>
      </c>
      <c r="B5">
        <v>21</v>
      </c>
      <c r="D5" s="5">
        <f t="shared" si="0"/>
        <v>0.36666666666666664</v>
      </c>
      <c r="E5">
        <f t="shared" si="1"/>
        <v>1.6260228049915784</v>
      </c>
      <c r="H5" s="16">
        <f t="shared" si="3"/>
        <v>7.6944241725711553</v>
      </c>
      <c r="I5" s="13">
        <f t="shared" si="2"/>
        <v>0.76160800896259317</v>
      </c>
      <c r="K5">
        <v>150</v>
      </c>
      <c r="AA5" t="s">
        <v>28</v>
      </c>
      <c r="AB5" s="1" t="s">
        <v>29</v>
      </c>
    </row>
    <row r="6" spans="1:38" x14ac:dyDescent="0.3">
      <c r="A6" s="8">
        <v>11.1</v>
      </c>
      <c r="B6">
        <v>27</v>
      </c>
      <c r="D6" s="5">
        <f t="shared" si="0"/>
        <v>0.46666666666666667</v>
      </c>
      <c r="E6">
        <f t="shared" si="1"/>
        <v>1.7553101234137523</v>
      </c>
      <c r="H6" s="16">
        <f t="shared" si="3"/>
        <v>7.7357838894817723</v>
      </c>
      <c r="I6" s="13">
        <f t="shared" si="2"/>
        <v>0.72587110358454165</v>
      </c>
      <c r="K6">
        <v>150</v>
      </c>
      <c r="AA6">
        <f>1.844*10^(-5)/101325*AC16*SQRT(PI()*8.314*10^3*294.15/(2*28.9645))</f>
        <v>1.6384608204333862E-8</v>
      </c>
      <c r="AB6" s="1">
        <f>AA6*10^6</f>
        <v>1.6384608204333861E-2</v>
      </c>
      <c r="AH6" t="s">
        <v>36</v>
      </c>
    </row>
    <row r="7" spans="1:38" x14ac:dyDescent="0.3">
      <c r="A7" s="8">
        <v>13.3</v>
      </c>
      <c r="B7">
        <v>34</v>
      </c>
      <c r="D7" s="5">
        <f t="shared" si="0"/>
        <v>0.58333333333333337</v>
      </c>
      <c r="E7">
        <f t="shared" si="1"/>
        <v>1.9050112289552166</v>
      </c>
      <c r="H7" s="16">
        <f t="shared" si="3"/>
        <v>7.6543506189102546</v>
      </c>
      <c r="I7" s="13">
        <f t="shared" si="2"/>
        <v>0.68846549716067618</v>
      </c>
      <c r="K7">
        <v>150</v>
      </c>
      <c r="AH7" s="1" t="s">
        <v>30</v>
      </c>
      <c r="AJ7" s="1"/>
      <c r="AK7" s="1"/>
      <c r="AL7" s="1"/>
    </row>
    <row r="8" spans="1:38" x14ac:dyDescent="0.3">
      <c r="A8" s="8">
        <v>15</v>
      </c>
      <c r="B8">
        <v>41</v>
      </c>
      <c r="D8" s="5">
        <f t="shared" si="0"/>
        <v>0.7</v>
      </c>
      <c r="E8">
        <f t="shared" si="1"/>
        <v>2.0206893559645298</v>
      </c>
      <c r="H8" s="16">
        <f t="shared" si="3"/>
        <v>7.8323435739822811</v>
      </c>
      <c r="I8" s="17">
        <f t="shared" si="2"/>
        <v>0.66210052220394056</v>
      </c>
      <c r="K8">
        <v>150</v>
      </c>
      <c r="AA8" t="s">
        <v>13</v>
      </c>
      <c r="AD8" s="3"/>
      <c r="AH8" s="1">
        <f>AB4/(2*AK4)</f>
        <v>5.7018413320628021E-2</v>
      </c>
      <c r="AJ8" s="1"/>
      <c r="AK8" s="1"/>
      <c r="AL8" s="1"/>
    </row>
    <row r="9" spans="1:38" x14ac:dyDescent="0.3">
      <c r="A9" s="8">
        <v>17.600000000000001</v>
      </c>
      <c r="B9">
        <v>51</v>
      </c>
      <c r="D9" s="5">
        <f t="shared" si="0"/>
        <v>0.8666666666666667</v>
      </c>
      <c r="E9">
        <f t="shared" si="1"/>
        <v>2.1976088443317154</v>
      </c>
      <c r="H9" s="16">
        <f t="shared" si="3"/>
        <v>7.8073761426942223</v>
      </c>
      <c r="I9" s="17">
        <f t="shared" si="2"/>
        <v>0.62546737182858592</v>
      </c>
      <c r="K9">
        <v>150</v>
      </c>
      <c r="AA9">
        <f>9.86923266716*10^(-16)</f>
        <v>9.8692326671599993E-16</v>
      </c>
      <c r="AH9" s="1"/>
      <c r="AJ9" s="1"/>
      <c r="AK9" s="1"/>
      <c r="AL9" s="1"/>
    </row>
    <row r="10" spans="1:38" x14ac:dyDescent="0.3">
      <c r="A10" s="8">
        <v>20.399999999999999</v>
      </c>
      <c r="B10">
        <v>60</v>
      </c>
      <c r="D10" s="5">
        <f t="shared" si="0"/>
        <v>1.0166666666666666</v>
      </c>
      <c r="E10">
        <f t="shared" si="1"/>
        <v>2.3881375241117606</v>
      </c>
      <c r="H10" s="16">
        <f t="shared" si="3"/>
        <v>7.4572448264732181</v>
      </c>
      <c r="I10" s="17">
        <f t="shared" si="2"/>
        <v>0.5902948111660028</v>
      </c>
      <c r="K10">
        <v>150</v>
      </c>
      <c r="AF10" s="1"/>
      <c r="AH10" s="1" t="s">
        <v>31</v>
      </c>
      <c r="AJ10" s="1"/>
      <c r="AK10" s="1"/>
      <c r="AL10" s="1"/>
    </row>
    <row r="11" spans="1:38" x14ac:dyDescent="0.3">
      <c r="A11" s="8">
        <v>23.3</v>
      </c>
      <c r="B11">
        <v>70</v>
      </c>
      <c r="D11" s="5">
        <f t="shared" si="0"/>
        <v>1.1833333333333333</v>
      </c>
      <c r="E11">
        <f t="shared" si="1"/>
        <v>2.5854707995982364</v>
      </c>
      <c r="H11" s="16">
        <f t="shared" si="3"/>
        <v>7.1811831251764904</v>
      </c>
      <c r="I11" s="17">
        <f t="shared" si="2"/>
        <v>0.55780680189170873</v>
      </c>
      <c r="K11">
        <v>150</v>
      </c>
      <c r="AA11" t="s">
        <v>17</v>
      </c>
      <c r="AF11" s="1"/>
      <c r="AH11" s="1">
        <f>AB6/(2*AK4)</f>
        <v>2.1289555642018537E-2</v>
      </c>
      <c r="AJ11" s="1"/>
      <c r="AK11" s="1"/>
      <c r="AL11" s="1"/>
    </row>
    <row r="12" spans="1:38" x14ac:dyDescent="0.3">
      <c r="A12" s="8">
        <v>25.1</v>
      </c>
      <c r="B12">
        <v>76</v>
      </c>
      <c r="D12" s="5">
        <f t="shared" si="0"/>
        <v>1.2833333333333334</v>
      </c>
      <c r="E12">
        <f t="shared" si="1"/>
        <v>2.7079535223139803</v>
      </c>
      <c r="H12" s="16">
        <f t="shared" si="3"/>
        <v>6.9907293064466627</v>
      </c>
      <c r="I12" s="17">
        <f t="shared" si="2"/>
        <v>0.53938108661941442</v>
      </c>
      <c r="K12">
        <v>150</v>
      </c>
      <c r="AA12">
        <f>O37</f>
        <v>3.4349622600908409</v>
      </c>
    </row>
    <row r="13" spans="1:38" x14ac:dyDescent="0.3">
      <c r="A13" s="8">
        <v>25.5</v>
      </c>
      <c r="B13">
        <v>77</v>
      </c>
      <c r="D13" s="5">
        <f t="shared" si="0"/>
        <v>1.3</v>
      </c>
      <c r="E13">
        <f t="shared" si="1"/>
        <v>2.7351719051397012</v>
      </c>
      <c r="H13" s="16">
        <f t="shared" si="3"/>
        <v>6.919641455444884</v>
      </c>
      <c r="I13" s="17">
        <f t="shared" si="2"/>
        <v>0.53545058990402661</v>
      </c>
      <c r="K13">
        <v>150</v>
      </c>
    </row>
    <row r="14" spans="1:38" x14ac:dyDescent="0.3">
      <c r="A14" s="8">
        <v>27.5</v>
      </c>
      <c r="B14">
        <v>84</v>
      </c>
      <c r="D14" s="5">
        <f t="shared" si="0"/>
        <v>1.4166666666666667</v>
      </c>
      <c r="E14">
        <f t="shared" si="1"/>
        <v>2.8712638192683047</v>
      </c>
      <c r="H14" s="16">
        <f t="shared" si="3"/>
        <v>6.7464177058583665</v>
      </c>
      <c r="I14" s="17">
        <f t="shared" si="2"/>
        <v>0.51662715158948114</v>
      </c>
      <c r="K14">
        <v>150</v>
      </c>
      <c r="AB14" t="s">
        <v>33</v>
      </c>
      <c r="AC14" t="s">
        <v>33</v>
      </c>
      <c r="AE14" t="s">
        <v>34</v>
      </c>
      <c r="AF14" t="s">
        <v>34</v>
      </c>
    </row>
    <row r="15" spans="1:38" x14ac:dyDescent="0.3">
      <c r="A15" s="8">
        <v>28.9</v>
      </c>
      <c r="B15">
        <v>90</v>
      </c>
      <c r="D15" s="5">
        <f t="shared" si="0"/>
        <v>1.5166666666666666</v>
      </c>
      <c r="E15">
        <f t="shared" si="1"/>
        <v>2.9665281591583277</v>
      </c>
      <c r="H15" s="16">
        <f t="shared" si="3"/>
        <v>6.7076867331177104</v>
      </c>
      <c r="I15" s="17">
        <f t="shared" si="2"/>
        <v>0.50421928693035867</v>
      </c>
      <c r="K15">
        <v>150</v>
      </c>
      <c r="AB15" t="s">
        <v>51</v>
      </c>
      <c r="AC15" t="s">
        <v>52</v>
      </c>
      <c r="AE15" t="s">
        <v>25</v>
      </c>
      <c r="AF15" t="s">
        <v>24</v>
      </c>
    </row>
    <row r="16" spans="1:38" x14ac:dyDescent="0.3">
      <c r="A16" s="8">
        <v>29.8</v>
      </c>
      <c r="B16">
        <v>94</v>
      </c>
      <c r="D16" s="5">
        <f t="shared" si="0"/>
        <v>1.5833333333333333</v>
      </c>
      <c r="E16">
        <f t="shared" si="1"/>
        <v>3.0277695205161996</v>
      </c>
      <c r="H16" s="16">
        <f t="shared" si="3"/>
        <v>6.6877879428416973</v>
      </c>
      <c r="I16" s="17">
        <f t="shared" si="2"/>
        <v>0.49655274211014921</v>
      </c>
      <c r="K16">
        <v>150</v>
      </c>
      <c r="AB16">
        <f>I8</f>
        <v>0.66210052220394056</v>
      </c>
      <c r="AC16">
        <f>I45</f>
        <v>0.24721533075300012</v>
      </c>
      <c r="AE16">
        <f>101325/AB16</f>
        <v>153035.67449655299</v>
      </c>
      <c r="AF16" s="5">
        <f>101325/AC16</f>
        <v>409865.35782943288</v>
      </c>
    </row>
    <row r="17" spans="1:38" x14ac:dyDescent="0.3">
      <c r="A17" s="8">
        <v>31.1</v>
      </c>
      <c r="B17">
        <v>99</v>
      </c>
      <c r="D17" s="5">
        <f t="shared" si="0"/>
        <v>1.6666666666666667</v>
      </c>
      <c r="E17">
        <f t="shared" si="1"/>
        <v>3.1162292646997924</v>
      </c>
      <c r="H17" s="16">
        <f t="shared" si="3"/>
        <v>6.6005453439838009</v>
      </c>
      <c r="I17" s="17">
        <f t="shared" si="2"/>
        <v>0.48588158515652197</v>
      </c>
      <c r="K17">
        <v>150</v>
      </c>
    </row>
    <row r="18" spans="1:38" x14ac:dyDescent="0.3">
      <c r="A18" s="8">
        <v>33.5</v>
      </c>
      <c r="B18">
        <v>111</v>
      </c>
      <c r="D18" s="5">
        <f t="shared" si="0"/>
        <v>1.8666666666666667</v>
      </c>
      <c r="E18">
        <f t="shared" si="1"/>
        <v>3.2795395616541168</v>
      </c>
      <c r="H18" s="16">
        <f t="shared" si="3"/>
        <v>6.6010942561322983</v>
      </c>
      <c r="I18" s="17">
        <f t="shared" si="2"/>
        <v>0.4673399956202216</v>
      </c>
      <c r="K18">
        <v>150</v>
      </c>
    </row>
    <row r="19" spans="1:38" x14ac:dyDescent="0.3">
      <c r="A19" s="8">
        <v>35.5</v>
      </c>
      <c r="B19">
        <v>118</v>
      </c>
      <c r="D19" s="5">
        <f t="shared" si="0"/>
        <v>1.9833333333333334</v>
      </c>
      <c r="E19">
        <f t="shared" si="1"/>
        <v>3.4156314757827211</v>
      </c>
      <c r="H19" s="16">
        <f t="shared" si="3"/>
        <v>6.4145405040747328</v>
      </c>
      <c r="I19" s="17">
        <f t="shared" si="2"/>
        <v>0.45293634918785364</v>
      </c>
      <c r="K19">
        <v>150</v>
      </c>
      <c r="AK19" s="1" t="s">
        <v>62</v>
      </c>
    </row>
    <row r="20" spans="1:38" x14ac:dyDescent="0.3">
      <c r="A20" s="8">
        <v>38.9</v>
      </c>
      <c r="B20">
        <v>135</v>
      </c>
      <c r="D20" s="5">
        <f t="shared" si="0"/>
        <v>2.2666666666666666</v>
      </c>
      <c r="E20">
        <f t="shared" si="1"/>
        <v>3.6469877298013476</v>
      </c>
      <c r="H20" s="16">
        <f t="shared" si="3"/>
        <v>6.3570780738294586</v>
      </c>
      <c r="I20" s="17">
        <f t="shared" si="2"/>
        <v>0.4303863311654359</v>
      </c>
      <c r="K20">
        <v>150</v>
      </c>
      <c r="AC20" t="s">
        <v>10</v>
      </c>
      <c r="AD20" t="s">
        <v>53</v>
      </c>
      <c r="AE20" t="s">
        <v>12</v>
      </c>
      <c r="AF20" t="s">
        <v>1</v>
      </c>
      <c r="AG20" t="s">
        <v>54</v>
      </c>
      <c r="AH20" t="s">
        <v>39</v>
      </c>
      <c r="AI20" t="s">
        <v>61</v>
      </c>
      <c r="AK20" s="1" t="s">
        <v>55</v>
      </c>
    </row>
    <row r="21" spans="1:38" x14ac:dyDescent="0.3">
      <c r="A21" s="8">
        <v>41.5</v>
      </c>
      <c r="B21">
        <v>147</v>
      </c>
      <c r="D21" s="5">
        <f t="shared" si="0"/>
        <v>2.4666666666666668</v>
      </c>
      <c r="E21">
        <f t="shared" si="1"/>
        <v>3.8239072181685327</v>
      </c>
      <c r="H21" s="16">
        <f t="shared" si="3"/>
        <v>6.2467544734904843</v>
      </c>
      <c r="I21" s="17">
        <f t="shared" si="2"/>
        <v>0.41460167236784656</v>
      </c>
      <c r="K21">
        <v>150</v>
      </c>
      <c r="AC21">
        <v>5.0790513275686298</v>
      </c>
      <c r="AD21">
        <v>2.5430000000000001</v>
      </c>
      <c r="AE21">
        <v>0.18315400000000001</v>
      </c>
      <c r="AF21">
        <v>0.91666666666666696</v>
      </c>
      <c r="AG21">
        <v>0.66</v>
      </c>
      <c r="AH21" s="6">
        <v>3.8318502253508699E-7</v>
      </c>
      <c r="AI21">
        <v>0.38600000000000001</v>
      </c>
      <c r="AK21" s="14">
        <f>(AG23*AF23*AH21)/(PI()*AD23^2/4*AE21*AI23)</f>
        <v>6.456209074909949E-3</v>
      </c>
    </row>
    <row r="22" spans="1:38" x14ac:dyDescent="0.3">
      <c r="A22" s="8">
        <v>44</v>
      </c>
      <c r="B22">
        <v>159</v>
      </c>
      <c r="D22" s="5">
        <f t="shared" si="0"/>
        <v>2.6666666666666665</v>
      </c>
      <c r="E22">
        <f t="shared" si="1"/>
        <v>3.9940221108292882</v>
      </c>
      <c r="H22" s="16">
        <f t="shared" si="3"/>
        <v>6.1525706475269573</v>
      </c>
      <c r="I22" s="17">
        <f t="shared" si="2"/>
        <v>0.40047880358060484</v>
      </c>
      <c r="K22">
        <v>150</v>
      </c>
      <c r="AC22" t="s">
        <v>57</v>
      </c>
      <c r="AD22" t="s">
        <v>58</v>
      </c>
      <c r="AF22" t="s">
        <v>59</v>
      </c>
      <c r="AG22" t="s">
        <v>56</v>
      </c>
      <c r="AI22" t="s">
        <v>60</v>
      </c>
    </row>
    <row r="23" spans="1:38" x14ac:dyDescent="0.3">
      <c r="A23" s="8">
        <v>46.3</v>
      </c>
      <c r="B23">
        <v>170</v>
      </c>
      <c r="D23" s="5">
        <f t="shared" si="0"/>
        <v>2.85</v>
      </c>
      <c r="E23">
        <f t="shared" si="1"/>
        <v>4.1505278120771827</v>
      </c>
      <c r="H23" s="16">
        <f t="shared" si="3"/>
        <v>6.0590306113855128</v>
      </c>
      <c r="I23" s="17">
        <f t="shared" si="2"/>
        <v>0.38830971756143373</v>
      </c>
      <c r="K23">
        <v>150</v>
      </c>
      <c r="AC23">
        <f>AC21*10^(-4)</f>
        <v>5.0790513275686302E-4</v>
      </c>
      <c r="AD23">
        <f>AD21/100</f>
        <v>2.5430000000000001E-2</v>
      </c>
      <c r="AF23">
        <f>AF21*10^(-6)</f>
        <v>9.1666666666666696E-7</v>
      </c>
      <c r="AG23">
        <f>AG21*1000</f>
        <v>660</v>
      </c>
      <c r="AI23">
        <f>AI21/1000</f>
        <v>3.86E-4</v>
      </c>
    </row>
    <row r="24" spans="1:38" x14ac:dyDescent="0.3">
      <c r="A24" s="8">
        <v>47.9</v>
      </c>
      <c r="B24">
        <v>178</v>
      </c>
      <c r="D24" s="5">
        <f t="shared" si="0"/>
        <v>2.9833333333333334</v>
      </c>
      <c r="E24">
        <f t="shared" si="1"/>
        <v>4.2594013433800662</v>
      </c>
      <c r="H24" s="16">
        <f t="shared" si="3"/>
        <v>6.0037274509380838</v>
      </c>
      <c r="I24" s="17">
        <f t="shared" si="2"/>
        <v>0.38027141673022757</v>
      </c>
      <c r="K24">
        <v>150</v>
      </c>
      <c r="AK24" s="1" t="s">
        <v>63</v>
      </c>
    </row>
    <row r="25" spans="1:38" x14ac:dyDescent="0.3">
      <c r="A25" s="8">
        <v>49.8</v>
      </c>
      <c r="B25">
        <v>186</v>
      </c>
      <c r="D25" s="5">
        <f t="shared" si="0"/>
        <v>3.1166666666666667</v>
      </c>
      <c r="E25">
        <f t="shared" si="1"/>
        <v>4.3886886618022398</v>
      </c>
      <c r="H25" s="16">
        <f t="shared" si="3"/>
        <v>5.8880153735026708</v>
      </c>
      <c r="I25" s="17">
        <f t="shared" si="2"/>
        <v>0.37114781081657494</v>
      </c>
      <c r="K25">
        <v>150</v>
      </c>
      <c r="AC25" t="s">
        <v>10</v>
      </c>
      <c r="AD25" t="s">
        <v>53</v>
      </c>
      <c r="AE25" t="s">
        <v>12</v>
      </c>
      <c r="AF25" t="s">
        <v>1</v>
      </c>
      <c r="AG25" t="s">
        <v>54</v>
      </c>
      <c r="AH25" s="5" t="s">
        <v>39</v>
      </c>
      <c r="AI25" t="s">
        <v>68</v>
      </c>
      <c r="AK25" s="1" t="s">
        <v>55</v>
      </c>
    </row>
    <row r="26" spans="1:38" x14ac:dyDescent="0.3">
      <c r="A26" s="8">
        <v>53.5</v>
      </c>
      <c r="B26">
        <v>208</v>
      </c>
      <c r="D26" s="5">
        <f t="shared" si="0"/>
        <v>3.4833333333333334</v>
      </c>
      <c r="E26">
        <f t="shared" si="1"/>
        <v>4.6404587029401565</v>
      </c>
      <c r="H26" s="16">
        <f t="shared" si="3"/>
        <v>5.8521822713183482</v>
      </c>
      <c r="I26" s="17">
        <f t="shared" si="2"/>
        <v>0.35458109088849032</v>
      </c>
      <c r="K26">
        <v>150</v>
      </c>
      <c r="AC26">
        <v>5.0790513275686298</v>
      </c>
      <c r="AD26">
        <v>2.5430000000000001</v>
      </c>
      <c r="AE26">
        <v>0.18315400000000001</v>
      </c>
      <c r="AF26">
        <v>0.66666666666666663</v>
      </c>
      <c r="AG26">
        <v>0.998</v>
      </c>
      <c r="AH26">
        <v>3.8318502253508747E-7</v>
      </c>
      <c r="AI26">
        <v>1</v>
      </c>
      <c r="AK26" s="1">
        <f>(AG28*AF28*AH26)/(PI()*AD28^2/4*AE26*AI28)</f>
        <v>2.7406198451894351E-3</v>
      </c>
    </row>
    <row r="27" spans="1:38" x14ac:dyDescent="0.3">
      <c r="A27" s="8">
        <v>56.1</v>
      </c>
      <c r="B27">
        <v>223</v>
      </c>
      <c r="D27" s="5">
        <f t="shared" si="0"/>
        <v>3.7333333333333334</v>
      </c>
      <c r="E27">
        <f t="shared" si="1"/>
        <v>4.8173781913073421</v>
      </c>
      <c r="H27" s="16">
        <f t="shared" si="3"/>
        <v>5.7995944090741665</v>
      </c>
      <c r="I27" s="17">
        <f t="shared" si="2"/>
        <v>0.34379748646710195</v>
      </c>
      <c r="K27">
        <v>150</v>
      </c>
      <c r="AC27" t="s">
        <v>57</v>
      </c>
      <c r="AD27" t="s">
        <v>58</v>
      </c>
      <c r="AF27" t="s">
        <v>59</v>
      </c>
      <c r="AG27" t="s">
        <v>56</v>
      </c>
      <c r="AI27" t="s">
        <v>60</v>
      </c>
    </row>
    <row r="28" spans="1:38" x14ac:dyDescent="0.3">
      <c r="A28" s="8">
        <v>59.6</v>
      </c>
      <c r="B28">
        <v>243</v>
      </c>
      <c r="D28" s="5">
        <f t="shared" si="0"/>
        <v>4.0666666666666664</v>
      </c>
      <c r="E28">
        <f t="shared" si="1"/>
        <v>5.0555390410323993</v>
      </c>
      <c r="H28" s="16">
        <f t="shared" si="3"/>
        <v>5.7125566785890944</v>
      </c>
      <c r="I28" s="17">
        <f t="shared" si="2"/>
        <v>0.33027613007660889</v>
      </c>
      <c r="K28">
        <v>150</v>
      </c>
      <c r="AC28">
        <v>5.0790513275686302E-4</v>
      </c>
      <c r="AD28">
        <v>2.5430000000000001E-2</v>
      </c>
      <c r="AF28">
        <f>AF26*10^(-6)</f>
        <v>6.666666666666666E-7</v>
      </c>
      <c r="AG28">
        <f>AG26*1000</f>
        <v>998</v>
      </c>
      <c r="AI28">
        <f>AI26/1000</f>
        <v>1E-3</v>
      </c>
    </row>
    <row r="29" spans="1:38" x14ac:dyDescent="0.3">
      <c r="A29" s="8">
        <v>62.7</v>
      </c>
      <c r="B29">
        <v>261</v>
      </c>
      <c r="D29" s="5">
        <f t="shared" si="0"/>
        <v>4.3666666666666663</v>
      </c>
      <c r="E29">
        <f t="shared" si="1"/>
        <v>5.2664815079317355</v>
      </c>
      <c r="H29" s="16">
        <f t="shared" si="3"/>
        <v>5.6344269410138494</v>
      </c>
      <c r="I29" s="17">
        <f t="shared" si="2"/>
        <v>0.31915836621691457</v>
      </c>
      <c r="K29">
        <v>150</v>
      </c>
    </row>
    <row r="30" spans="1:38" x14ac:dyDescent="0.3">
      <c r="A30" s="8">
        <v>64.2</v>
      </c>
      <c r="B30">
        <v>269</v>
      </c>
      <c r="D30" s="5">
        <f t="shared" si="0"/>
        <v>4.5</v>
      </c>
      <c r="E30">
        <f t="shared" si="1"/>
        <v>5.3685504435281883</v>
      </c>
      <c r="H30" s="16">
        <f t="shared" si="3"/>
        <v>5.5799191579345742</v>
      </c>
      <c r="I30" s="17">
        <f t="shared" si="2"/>
        <v>0.31404320617926934</v>
      </c>
      <c r="K30">
        <v>150</v>
      </c>
    </row>
    <row r="31" spans="1:38" x14ac:dyDescent="0.3">
      <c r="A31" s="8">
        <v>66.5</v>
      </c>
      <c r="B31">
        <v>283</v>
      </c>
      <c r="D31" s="5">
        <f t="shared" si="0"/>
        <v>4.7333333333333334</v>
      </c>
      <c r="E31">
        <f t="shared" si="1"/>
        <v>5.5250561447760829</v>
      </c>
      <c r="H31" s="16">
        <f t="shared" si="3"/>
        <v>5.5303447575446123</v>
      </c>
      <c r="I31" s="17">
        <f t="shared" si="2"/>
        <v>0.30651077257031528</v>
      </c>
      <c r="K31">
        <v>150</v>
      </c>
      <c r="AL31" s="1" t="s">
        <v>62</v>
      </c>
    </row>
    <row r="32" spans="1:38" x14ac:dyDescent="0.3">
      <c r="A32" s="8">
        <v>68.5</v>
      </c>
      <c r="B32">
        <v>294</v>
      </c>
      <c r="D32" s="5">
        <f t="shared" si="0"/>
        <v>4.916666666666667</v>
      </c>
      <c r="E32">
        <f t="shared" si="1"/>
        <v>5.6611480589046872</v>
      </c>
      <c r="H32" s="16">
        <f t="shared" si="3"/>
        <v>5.462885795583273</v>
      </c>
      <c r="I32" s="17">
        <f t="shared" si="2"/>
        <v>0.3002485430910638</v>
      </c>
      <c r="K32">
        <v>150</v>
      </c>
      <c r="AC32" t="s">
        <v>64</v>
      </c>
      <c r="AD32" s="1" t="s">
        <v>65</v>
      </c>
      <c r="AE32" t="s">
        <v>66</v>
      </c>
      <c r="AF32" t="s">
        <v>67</v>
      </c>
      <c r="AG32" t="s">
        <v>11</v>
      </c>
      <c r="AH32" t="s">
        <v>12</v>
      </c>
      <c r="AI32" t="s">
        <v>69</v>
      </c>
      <c r="AJ32" t="s">
        <v>70</v>
      </c>
      <c r="AK32" t="s">
        <v>72</v>
      </c>
      <c r="AL32" s="1" t="s">
        <v>71</v>
      </c>
    </row>
    <row r="33" spans="1:39" x14ac:dyDescent="0.3">
      <c r="A33" s="8">
        <v>70.8</v>
      </c>
      <c r="B33">
        <v>309</v>
      </c>
      <c r="D33" s="5">
        <f t="shared" si="0"/>
        <v>5.166666666666667</v>
      </c>
      <c r="E33">
        <f t="shared" si="1"/>
        <v>5.8176537601525817</v>
      </c>
      <c r="H33" s="16">
        <f t="shared" si="3"/>
        <v>5.4266680754767966</v>
      </c>
      <c r="I33" s="17">
        <f t="shared" si="2"/>
        <v>0.2933560533228427</v>
      </c>
      <c r="K33">
        <v>150</v>
      </c>
      <c r="X33" t="s">
        <v>73</v>
      </c>
      <c r="Y33" t="s">
        <v>1</v>
      </c>
      <c r="Z33" t="s">
        <v>59</v>
      </c>
      <c r="AC33">
        <f>AI21/AI26</f>
        <v>0.38600000000000001</v>
      </c>
      <c r="AD33" s="19">
        <f>LOG(AC33)</f>
        <v>-0.41341269532824504</v>
      </c>
      <c r="AE33" s="18">
        <f>AF23</f>
        <v>9.1666666666666696E-7</v>
      </c>
      <c r="AF33">
        <v>3.86E-4</v>
      </c>
      <c r="AG33">
        <f>AC28</f>
        <v>5.0790513275686302E-4</v>
      </c>
      <c r="AH33">
        <v>0.18315400000000001</v>
      </c>
      <c r="AI33">
        <f>50.38/1000</f>
        <v>5.0380000000000001E-2</v>
      </c>
      <c r="AJ33">
        <v>0</v>
      </c>
      <c r="AK33" s="6">
        <f>(AE33*AF33)/(AG33*AH33*AI33*COS(AJ33))</f>
        <v>7.549906461019346E-5</v>
      </c>
      <c r="AL33" s="7">
        <f>LOG((AE33*AF33)/(AG33*AH33*AI33*COS(AJ33)))</f>
        <v>-4.1220584289952873</v>
      </c>
    </row>
    <row r="34" spans="1:39" x14ac:dyDescent="0.3">
      <c r="A34" s="8">
        <v>72.5</v>
      </c>
      <c r="B34">
        <v>319</v>
      </c>
      <c r="D34" s="5">
        <f t="shared" si="0"/>
        <v>5.333333333333333</v>
      </c>
      <c r="E34">
        <f t="shared" si="1"/>
        <v>5.933331887161895</v>
      </c>
      <c r="H34" s="16">
        <f t="shared" si="3"/>
        <v>5.3791015841729362</v>
      </c>
      <c r="I34" s="17">
        <f t="shared" si="2"/>
        <v>0.2884615986295565</v>
      </c>
      <c r="K34">
        <v>150</v>
      </c>
      <c r="Y34">
        <v>0.41666666666666702</v>
      </c>
      <c r="Z34">
        <f>Y34*10^(-6)</f>
        <v>4.1666666666666698E-7</v>
      </c>
    </row>
    <row r="35" spans="1:39" x14ac:dyDescent="0.3">
      <c r="A35" s="8">
        <v>74.8</v>
      </c>
      <c r="B35">
        <v>334</v>
      </c>
      <c r="D35" s="5">
        <f t="shared" si="0"/>
        <v>5.583333333333333</v>
      </c>
      <c r="E35">
        <f t="shared" si="1"/>
        <v>6.0898375884097895</v>
      </c>
      <c r="H35" s="16">
        <f t="shared" si="3"/>
        <v>5.3376081340780699</v>
      </c>
      <c r="I35" s="17">
        <f t="shared" si="2"/>
        <v>0.28209390907198323</v>
      </c>
      <c r="K35">
        <v>150</v>
      </c>
      <c r="L35" s="1" t="s">
        <v>35</v>
      </c>
      <c r="AC35" t="s">
        <v>64</v>
      </c>
      <c r="AD35" t="s">
        <v>65</v>
      </c>
      <c r="AE35" t="s">
        <v>66</v>
      </c>
      <c r="AF35" t="s">
        <v>67</v>
      </c>
      <c r="AG35" t="s">
        <v>11</v>
      </c>
      <c r="AH35" t="s">
        <v>12</v>
      </c>
      <c r="AI35" t="s">
        <v>69</v>
      </c>
      <c r="AJ35" t="s">
        <v>70</v>
      </c>
      <c r="AK35" t="s">
        <v>72</v>
      </c>
      <c r="AL35" t="s">
        <v>71</v>
      </c>
      <c r="AM35" t="s">
        <v>73</v>
      </c>
    </row>
    <row r="36" spans="1:39" x14ac:dyDescent="0.3">
      <c r="A36" s="8">
        <v>76.900000000000006</v>
      </c>
      <c r="B36">
        <v>347</v>
      </c>
      <c r="D36" s="5">
        <f t="shared" si="0"/>
        <v>5.8</v>
      </c>
      <c r="E36">
        <f t="shared" si="1"/>
        <v>6.2327340982448245</v>
      </c>
      <c r="H36" s="16">
        <f t="shared" si="3"/>
        <v>5.2867669810689506</v>
      </c>
      <c r="I36" s="17">
        <f t="shared" si="2"/>
        <v>0.27652060380393939</v>
      </c>
      <c r="K36">
        <v>150</v>
      </c>
      <c r="L36" s="9">
        <f t="array" ref="L36:M40">LINEST(H8:H45,I8:I45,TRUE,TRUE)</f>
        <v>6.6871414514615477</v>
      </c>
      <c r="M36" s="9">
        <v>3.4349622600908409</v>
      </c>
      <c r="O36" s="1" t="s">
        <v>50</v>
      </c>
      <c r="P36" s="1"/>
      <c r="Q36" t="s">
        <v>49</v>
      </c>
      <c r="R36" t="s">
        <v>48</v>
      </c>
      <c r="S36" s="1" t="s">
        <v>47</v>
      </c>
      <c r="AC36">
        <v>0.38600000000000001</v>
      </c>
      <c r="AD36">
        <v>-0.41341269532824498</v>
      </c>
      <c r="AE36" s="6">
        <f>Z34</f>
        <v>4.1666666666666698E-7</v>
      </c>
      <c r="AF36">
        <v>3.86E-4</v>
      </c>
      <c r="AG36">
        <v>5.0790513275686259E-4</v>
      </c>
      <c r="AH36">
        <v>0.18315400000000001</v>
      </c>
      <c r="AI36">
        <v>5.0380000000000001E-2</v>
      </c>
      <c r="AJ36">
        <v>0</v>
      </c>
      <c r="AK36" s="6">
        <f>(AE36*AF36)/(AG36*AH36*AI36*COS(AJ36))</f>
        <v>3.4317756640997067E-5</v>
      </c>
      <c r="AL36">
        <f>LOG((AE36*AF36)/(AG36*AH36*AI36*COS(AJ36)))</f>
        <v>-4.464481109817493</v>
      </c>
    </row>
    <row r="37" spans="1:39" x14ac:dyDescent="0.3">
      <c r="A37" s="8">
        <v>78.2</v>
      </c>
      <c r="B37">
        <v>356</v>
      </c>
      <c r="D37" s="5">
        <f t="shared" si="0"/>
        <v>5.95</v>
      </c>
      <c r="E37">
        <f t="shared" si="1"/>
        <v>6.3211938424284169</v>
      </c>
      <c r="H37" s="16">
        <f t="shared" si="3"/>
        <v>5.2688922977958503</v>
      </c>
      <c r="I37" s="17">
        <f t="shared" si="2"/>
        <v>0.27317948999102121</v>
      </c>
      <c r="K37">
        <v>150</v>
      </c>
      <c r="L37" s="10">
        <v>8.6721246211176481E-2</v>
      </c>
      <c r="M37" s="10">
        <v>3.4774996178876208E-2</v>
      </c>
      <c r="O37" s="7">
        <f>M36</f>
        <v>3.4349622600908409</v>
      </c>
      <c r="Q37" s="9">
        <f>(L36+L37)/(M36-M37)</f>
        <v>1.9922028323461507</v>
      </c>
      <c r="R37" s="9">
        <f>(L36-L37)/(M36+M37)</f>
        <v>1.9022824259455375</v>
      </c>
      <c r="S37" s="7">
        <f>AVERAGE(Q37:R37)</f>
        <v>1.947242629145844</v>
      </c>
      <c r="X37">
        <f>Y37*60</f>
        <v>37.202864191261554</v>
      </c>
      <c r="Y37">
        <f>(2.22*PI()*2.54^2/4*100)/(1000*0.386*4.7)</f>
        <v>0.62004773652102585</v>
      </c>
      <c r="Z37">
        <f>Y37*10^(-6)</f>
        <v>6.2004773652102578E-7</v>
      </c>
    </row>
    <row r="38" spans="1:39" x14ac:dyDescent="0.3">
      <c r="A38" s="8">
        <v>79.7</v>
      </c>
      <c r="B38">
        <v>366</v>
      </c>
      <c r="D38" s="5">
        <f t="shared" si="0"/>
        <v>6.1166666666666663</v>
      </c>
      <c r="E38">
        <f t="shared" si="1"/>
        <v>6.4232627780248697</v>
      </c>
      <c r="H38" s="16">
        <f t="shared" si="3"/>
        <v>5.2414647839840338</v>
      </c>
      <c r="I38" s="17">
        <f t="shared" si="2"/>
        <v>0.26942330613980314</v>
      </c>
      <c r="K38">
        <v>150</v>
      </c>
      <c r="L38" s="5">
        <v>0.99398201600583613</v>
      </c>
      <c r="M38" s="10">
        <v>6.341316364579741E-2</v>
      </c>
      <c r="S38" s="1"/>
      <c r="AC38" t="s">
        <v>64</v>
      </c>
      <c r="AD38" t="s">
        <v>65</v>
      </c>
      <c r="AE38" t="s">
        <v>66</v>
      </c>
      <c r="AF38" t="s">
        <v>67</v>
      </c>
      <c r="AG38" t="s">
        <v>11</v>
      </c>
      <c r="AH38" t="s">
        <v>12</v>
      </c>
      <c r="AI38" t="s">
        <v>69</v>
      </c>
      <c r="AJ38" t="s">
        <v>70</v>
      </c>
      <c r="AK38" t="s">
        <v>72</v>
      </c>
      <c r="AL38" t="s">
        <v>71</v>
      </c>
      <c r="AM38" t="s">
        <v>76</v>
      </c>
    </row>
    <row r="39" spans="1:39" x14ac:dyDescent="0.3">
      <c r="A39" s="8">
        <v>81.8</v>
      </c>
      <c r="B39">
        <v>380</v>
      </c>
      <c r="D39" s="5">
        <f t="shared" si="0"/>
        <v>6.35</v>
      </c>
      <c r="E39">
        <f t="shared" si="1"/>
        <v>6.5661592878599029</v>
      </c>
      <c r="H39" s="16">
        <f t="shared" si="3"/>
        <v>5.2015880665577292</v>
      </c>
      <c r="I39" s="17">
        <f t="shared" si="2"/>
        <v>0.26433490545316057</v>
      </c>
      <c r="K39">
        <v>150</v>
      </c>
      <c r="L39">
        <v>5946.0697487584048</v>
      </c>
      <c r="M39">
        <v>36</v>
      </c>
      <c r="O39">
        <f>O37/'[2]Kw,abs150bar'!$AD$115</f>
        <v>2.643416832493795</v>
      </c>
      <c r="AC39">
        <v>0.38600000000000001</v>
      </c>
      <c r="AD39">
        <v>-0.41341269532824498</v>
      </c>
      <c r="AE39" s="6">
        <f>AE43</f>
        <v>8.3333333333333299E-8</v>
      </c>
      <c r="AF39">
        <v>3.86E-4</v>
      </c>
      <c r="AG39">
        <v>5.0790513275686259E-4</v>
      </c>
      <c r="AH39">
        <v>0.18315400000000001</v>
      </c>
      <c r="AI39">
        <v>5.0380000000000001E-2</v>
      </c>
      <c r="AJ39">
        <v>0</v>
      </c>
      <c r="AK39" s="6">
        <f>(AE39*AF39)/(AG39*AH39*AI39*COS(AJ39))</f>
        <v>6.8635513281994062E-6</v>
      </c>
      <c r="AL39" s="9">
        <f>LOG((AE39*AF39)/(AG39*AH39*AI39*COS(AJ39)))</f>
        <v>-5.1634511141535127</v>
      </c>
    </row>
    <row r="40" spans="1:39" x14ac:dyDescent="0.3">
      <c r="A40" s="8">
        <v>83.3</v>
      </c>
      <c r="B40">
        <v>389</v>
      </c>
      <c r="D40" s="5">
        <f t="shared" si="0"/>
        <v>6.5</v>
      </c>
      <c r="E40">
        <f t="shared" si="1"/>
        <v>6.6682282234563566</v>
      </c>
      <c r="H40" s="16">
        <f t="shared" si="3"/>
        <v>5.1589858840168841</v>
      </c>
      <c r="I40" s="17">
        <f t="shared" si="2"/>
        <v>0.26081644178014896</v>
      </c>
      <c r="K40">
        <v>150</v>
      </c>
      <c r="L40">
        <v>23.910510033691967</v>
      </c>
      <c r="M40">
        <v>0.14476425564847256</v>
      </c>
      <c r="R40" s="9">
        <f>S37-R37</f>
        <v>4.496020320030647E-2</v>
      </c>
      <c r="S40" s="9">
        <f>S37-R37</f>
        <v>4.496020320030647E-2</v>
      </c>
      <c r="X40">
        <v>20</v>
      </c>
      <c r="Y40">
        <v>0.33333333333333331</v>
      </c>
      <c r="Z40">
        <f>Y40*10^(-6)</f>
        <v>3.333333333333333E-7</v>
      </c>
    </row>
    <row r="41" spans="1:39" x14ac:dyDescent="0.3">
      <c r="A41" s="8">
        <v>84.6</v>
      </c>
      <c r="B41">
        <v>398</v>
      </c>
      <c r="D41" s="5">
        <f t="shared" si="0"/>
        <v>6.65</v>
      </c>
      <c r="E41">
        <f t="shared" si="1"/>
        <v>6.7566879676399489</v>
      </c>
      <c r="H41" s="16">
        <f t="shared" si="3"/>
        <v>5.1376672778007055</v>
      </c>
      <c r="I41" s="17">
        <f t="shared" si="2"/>
        <v>0.25784200787034112</v>
      </c>
      <c r="K41">
        <v>150</v>
      </c>
    </row>
    <row r="42" spans="1:39" x14ac:dyDescent="0.3">
      <c r="A42" s="8">
        <v>86.2</v>
      </c>
      <c r="B42">
        <v>407</v>
      </c>
      <c r="D42" s="5">
        <f t="shared" si="0"/>
        <v>6.8</v>
      </c>
      <c r="E42">
        <f t="shared" si="1"/>
        <v>6.8655614989428324</v>
      </c>
      <c r="H42" s="16">
        <f t="shared" si="3"/>
        <v>5.0846718507518851</v>
      </c>
      <c r="I42" s="17">
        <f t="shared" si="2"/>
        <v>0.25427301029542637</v>
      </c>
      <c r="K42">
        <v>150</v>
      </c>
      <c r="AC42" t="s">
        <v>76</v>
      </c>
      <c r="AD42" t="s">
        <v>1</v>
      </c>
      <c r="AE42" t="s">
        <v>59</v>
      </c>
    </row>
    <row r="43" spans="1:39" x14ac:dyDescent="0.3">
      <c r="A43" s="8">
        <v>87.5</v>
      </c>
      <c r="B43">
        <v>416</v>
      </c>
      <c r="D43" s="5">
        <f t="shared" si="0"/>
        <v>6.95</v>
      </c>
      <c r="E43">
        <f t="shared" si="1"/>
        <v>6.9540212431264248</v>
      </c>
      <c r="H43" s="16">
        <f t="shared" si="3"/>
        <v>5.0626863157617521</v>
      </c>
      <c r="I43" s="17">
        <f t="shared" si="2"/>
        <v>0.25144514188069678</v>
      </c>
      <c r="K43">
        <v>150</v>
      </c>
      <c r="T43">
        <f>8-6+3.6+2.8</f>
        <v>8.3999999999999986</v>
      </c>
      <c r="AD43">
        <v>8.3333333333333301E-2</v>
      </c>
      <c r="AE43">
        <f>AD43*10^(-6)</f>
        <v>8.3333333333333299E-8</v>
      </c>
    </row>
    <row r="44" spans="1:39" x14ac:dyDescent="0.3">
      <c r="A44" s="8">
        <v>88.6</v>
      </c>
      <c r="B44">
        <v>423</v>
      </c>
      <c r="D44" s="5">
        <f t="shared" si="0"/>
        <v>7.0666666666666664</v>
      </c>
      <c r="E44">
        <f t="shared" si="1"/>
        <v>7.0288717958971567</v>
      </c>
      <c r="H44" s="16">
        <f t="shared" si="3"/>
        <v>5.0363670670569531</v>
      </c>
      <c r="I44" s="17">
        <f t="shared" si="2"/>
        <v>0.24910100084323458</v>
      </c>
      <c r="K44">
        <v>150</v>
      </c>
      <c r="T44" t="s">
        <v>75</v>
      </c>
    </row>
    <row r="45" spans="1:39" x14ac:dyDescent="0.3">
      <c r="A45" s="8">
        <v>89.5</v>
      </c>
      <c r="B45">
        <v>429</v>
      </c>
      <c r="D45" s="5">
        <f t="shared" si="0"/>
        <v>7.166666666666667</v>
      </c>
      <c r="E45">
        <f t="shared" si="1"/>
        <v>7.0901131572550291</v>
      </c>
      <c r="H45" s="16">
        <f t="shared" si="3"/>
        <v>5.0179992029078546</v>
      </c>
      <c r="I45" s="17">
        <f t="shared" si="2"/>
        <v>0.24721533075300012</v>
      </c>
      <c r="K45">
        <v>150</v>
      </c>
    </row>
    <row r="46" spans="1:39" x14ac:dyDescent="0.3">
      <c r="O46" s="1" t="s">
        <v>74</v>
      </c>
    </row>
    <row r="47" spans="1:39" x14ac:dyDescent="0.3">
      <c r="O47" s="8">
        <f>(1.31-3.43)/3.43*100</f>
        <v>-61.807580174927111</v>
      </c>
    </row>
    <row r="48" spans="1:39" x14ac:dyDescent="0.3">
      <c r="A48" s="1"/>
      <c r="B48" s="1"/>
    </row>
    <row r="49" spans="3:13" x14ac:dyDescent="0.3">
      <c r="C49" s="5"/>
      <c r="D49" s="5"/>
      <c r="E49" s="5"/>
      <c r="F49" s="5"/>
    </row>
    <row r="50" spans="3:13" x14ac:dyDescent="0.3">
      <c r="C50" s="5"/>
      <c r="D50" s="5"/>
      <c r="E50" s="5"/>
      <c r="F50" s="5"/>
    </row>
    <row r="51" spans="3:13" x14ac:dyDescent="0.3">
      <c r="C51" s="5"/>
      <c r="D51" s="5"/>
      <c r="E51" s="5"/>
      <c r="F51" s="5"/>
      <c r="L51">
        <f>3.4/1.31</f>
        <v>2.5954198473282442</v>
      </c>
      <c r="M51">
        <f>16.9/14</f>
        <v>1.2071428571428571</v>
      </c>
    </row>
    <row r="52" spans="3:13" x14ac:dyDescent="0.3">
      <c r="C52" s="5"/>
      <c r="D52" s="5"/>
      <c r="E52" s="5"/>
      <c r="F52" s="5"/>
    </row>
    <row r="53" spans="3:13" x14ac:dyDescent="0.3">
      <c r="C53" s="5"/>
      <c r="D53" s="5"/>
      <c r="E53" s="5"/>
      <c r="F53" s="5"/>
    </row>
    <row r="54" spans="3:13" x14ac:dyDescent="0.3">
      <c r="C54" s="5"/>
      <c r="D54" s="5"/>
      <c r="E54" s="5"/>
      <c r="F54" s="5"/>
    </row>
    <row r="55" spans="3:13" x14ac:dyDescent="0.3">
      <c r="C55" s="5"/>
      <c r="D55" s="5"/>
      <c r="E55" s="5"/>
      <c r="F55" s="5"/>
    </row>
    <row r="56" spans="3:13" x14ac:dyDescent="0.3">
      <c r="C56" s="5"/>
      <c r="D56" s="5"/>
      <c r="E56" s="5"/>
      <c r="F56" s="5"/>
    </row>
    <row r="57" spans="3:13" x14ac:dyDescent="0.3">
      <c r="C57" s="5"/>
      <c r="D57" s="5"/>
      <c r="E57" s="5"/>
      <c r="F57" s="5"/>
    </row>
    <row r="58" spans="3:13" x14ac:dyDescent="0.3">
      <c r="C58" s="5"/>
      <c r="D58" s="5"/>
      <c r="E58" s="5"/>
      <c r="F58" s="5"/>
    </row>
    <row r="59" spans="3:13" x14ac:dyDescent="0.3">
      <c r="C59" s="5"/>
      <c r="D59" s="5"/>
      <c r="E59" s="5"/>
      <c r="F59" s="5"/>
    </row>
    <row r="60" spans="3:13" x14ac:dyDescent="0.3">
      <c r="C60" s="5"/>
      <c r="D60" s="5"/>
      <c r="E60" s="5"/>
      <c r="F60" s="5"/>
    </row>
    <row r="61" spans="3:13" x14ac:dyDescent="0.3">
      <c r="C61" s="5"/>
      <c r="D61" s="5"/>
      <c r="E61" s="5"/>
      <c r="F61" s="5"/>
    </row>
    <row r="62" spans="3:13" x14ac:dyDescent="0.3">
      <c r="C62" s="5"/>
      <c r="D62" s="5"/>
      <c r="E62" s="5"/>
      <c r="F62" s="5"/>
    </row>
    <row r="63" spans="3:13" x14ac:dyDescent="0.3">
      <c r="C63" s="5"/>
      <c r="D63" s="5"/>
      <c r="E63" s="5"/>
      <c r="F63" s="5"/>
    </row>
    <row r="64" spans="3:13" x14ac:dyDescent="0.3">
      <c r="C64" s="5"/>
      <c r="D64" s="5"/>
      <c r="E64" s="5"/>
      <c r="F64" s="5"/>
    </row>
    <row r="65" spans="3:6" x14ac:dyDescent="0.3">
      <c r="C65" s="5"/>
      <c r="D65" s="5"/>
      <c r="E65" s="5"/>
      <c r="F65" s="5"/>
    </row>
    <row r="66" spans="3:6" x14ac:dyDescent="0.3">
      <c r="C66" s="5"/>
      <c r="D66" s="5"/>
      <c r="E66" s="5"/>
      <c r="F66" s="5"/>
    </row>
    <row r="67" spans="3:6" x14ac:dyDescent="0.3">
      <c r="C67" s="5"/>
      <c r="D67" s="5"/>
      <c r="E67" s="5"/>
      <c r="F67" s="5"/>
    </row>
    <row r="68" spans="3:6" x14ac:dyDescent="0.3">
      <c r="C68" s="5"/>
      <c r="D68" s="5"/>
      <c r="E68" s="5"/>
      <c r="F68" s="5"/>
    </row>
    <row r="69" spans="3:6" x14ac:dyDescent="0.3">
      <c r="C69" s="5"/>
      <c r="D69" s="5"/>
      <c r="E69" s="5"/>
      <c r="F69" s="5"/>
    </row>
    <row r="70" spans="3:6" x14ac:dyDescent="0.3">
      <c r="C70" s="5"/>
      <c r="D70" s="5"/>
      <c r="E70" s="5"/>
      <c r="F70" s="5"/>
    </row>
    <row r="71" spans="3:6" x14ac:dyDescent="0.3">
      <c r="C71" s="5"/>
      <c r="D71" s="5"/>
      <c r="E71" s="5"/>
      <c r="F71" s="5"/>
    </row>
    <row r="72" spans="3:6" x14ac:dyDescent="0.3">
      <c r="C72" s="5"/>
      <c r="D72" s="5"/>
      <c r="E72" s="5"/>
      <c r="F72" s="5"/>
    </row>
    <row r="73" spans="3:6" x14ac:dyDescent="0.3">
      <c r="C73" s="5"/>
      <c r="D73" s="5"/>
      <c r="E73" s="5"/>
      <c r="F73" s="5"/>
    </row>
    <row r="74" spans="3:6" x14ac:dyDescent="0.3">
      <c r="C74" s="5"/>
      <c r="D74" s="5"/>
      <c r="E74" s="5"/>
      <c r="F74" s="5"/>
    </row>
    <row r="75" spans="3:6" x14ac:dyDescent="0.3">
      <c r="C75" s="5"/>
      <c r="D75" s="5"/>
      <c r="E75" s="5"/>
      <c r="F75" s="5"/>
    </row>
    <row r="76" spans="3:6" x14ac:dyDescent="0.3">
      <c r="C76" s="5"/>
      <c r="D76" s="5"/>
      <c r="E76" s="5"/>
      <c r="F76" s="5"/>
    </row>
    <row r="77" spans="3:6" x14ac:dyDescent="0.3">
      <c r="C77" s="5"/>
      <c r="D77" s="5"/>
      <c r="E77" s="5"/>
      <c r="F77" s="5"/>
    </row>
    <row r="78" spans="3:6" x14ac:dyDescent="0.3">
      <c r="C78" s="5"/>
      <c r="D78" s="5"/>
      <c r="E78" s="5"/>
      <c r="F78" s="5"/>
    </row>
    <row r="79" spans="3:6" x14ac:dyDescent="0.3">
      <c r="C79" s="5"/>
      <c r="D79" s="5"/>
      <c r="E79" s="5"/>
      <c r="F79" s="5"/>
    </row>
    <row r="80" spans="3:6" x14ac:dyDescent="0.3">
      <c r="C80" s="5"/>
      <c r="D80" s="5"/>
      <c r="E80" s="5"/>
      <c r="F80" s="5"/>
    </row>
    <row r="81" spans="3:6" x14ac:dyDescent="0.3">
      <c r="C81" s="5"/>
      <c r="D81" s="5"/>
      <c r="E81" s="5"/>
      <c r="F81" s="5"/>
    </row>
    <row r="82" spans="3:6" x14ac:dyDescent="0.3">
      <c r="C82" s="5"/>
      <c r="D82" s="5"/>
      <c r="E82" s="5"/>
      <c r="F82" s="5"/>
    </row>
    <row r="83" spans="3:6" x14ac:dyDescent="0.3">
      <c r="C83" s="5"/>
      <c r="D83" s="5"/>
      <c r="E83" s="5"/>
      <c r="F83" s="5"/>
    </row>
    <row r="84" spans="3:6" x14ac:dyDescent="0.3">
      <c r="C84" s="5"/>
      <c r="D84" s="5"/>
      <c r="E84" s="5"/>
      <c r="F84" s="5"/>
    </row>
    <row r="85" spans="3:6" x14ac:dyDescent="0.3">
      <c r="C85" s="5"/>
      <c r="D85" s="5"/>
      <c r="E85" s="5"/>
      <c r="F85" s="5"/>
    </row>
    <row r="86" spans="3:6" x14ac:dyDescent="0.3">
      <c r="C86" s="5"/>
      <c r="D86" s="5"/>
      <c r="E86" s="5"/>
      <c r="F86" s="5"/>
    </row>
    <row r="87" spans="3:6" x14ac:dyDescent="0.3">
      <c r="C87" s="5"/>
      <c r="D87" s="5"/>
      <c r="E87" s="5"/>
      <c r="F87" s="5"/>
    </row>
    <row r="88" spans="3:6" x14ac:dyDescent="0.3">
      <c r="C88" s="5"/>
      <c r="D88" s="5"/>
      <c r="E88" s="5"/>
      <c r="F88" s="5"/>
    </row>
    <row r="89" spans="3:6" x14ac:dyDescent="0.3">
      <c r="C89" s="5"/>
      <c r="D89" s="5"/>
      <c r="E89" s="5"/>
      <c r="F89" s="5"/>
    </row>
    <row r="90" spans="3:6" x14ac:dyDescent="0.3">
      <c r="C90" s="5"/>
      <c r="D90" s="5"/>
      <c r="E90" s="5"/>
      <c r="F90" s="5"/>
    </row>
    <row r="91" spans="3:6" x14ac:dyDescent="0.3">
      <c r="C91" s="5"/>
      <c r="D91" s="5"/>
      <c r="E91" s="5"/>
      <c r="F91" s="5"/>
    </row>
    <row r="92" spans="3:6" x14ac:dyDescent="0.3">
      <c r="C92" s="5"/>
      <c r="D92" s="5"/>
      <c r="E92" s="5"/>
      <c r="F92" s="5"/>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3</vt:i4>
      </vt:variant>
    </vt:vector>
  </HeadingPairs>
  <TitlesOfParts>
    <vt:vector size="3" baseType="lpstr">
      <vt:lpstr>Klinkenberg60bar</vt:lpstr>
      <vt:lpstr>second order slip equation</vt:lpstr>
      <vt:lpstr>Klinkenberg150bar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Γιώργος Νικολάου</cp:lastModifiedBy>
  <dcterms:created xsi:type="dcterms:W3CDTF">2020-02-05T14:15:23Z</dcterms:created>
  <dcterms:modified xsi:type="dcterms:W3CDTF">2021-01-15T20:52:37Z</dcterms:modified>
</cp:coreProperties>
</file>