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6.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7.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8.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9.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0.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11.xml" ContentType="application/vnd.openxmlformats-officedocument.drawing+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style32.xml" ContentType="application/vnd.ms-office.chartstyle+xml"/>
  <Override PartName="/xl/charts/colors3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24226"/>
  <mc:AlternateContent xmlns:mc="http://schemas.openxmlformats.org/markup-compatibility/2006">
    <mc:Choice Requires="x15">
      <x15ac:absPath xmlns:x15ac="http://schemas.microsoft.com/office/spreadsheetml/2010/11/ac" url="https://d.docs.live.net/2f5872cf2fea88fa/Υπολογιστής/διπλωματική/"/>
    </mc:Choice>
  </mc:AlternateContent>
  <xr:revisionPtr revIDLastSave="4" documentId="114_{8A3DFB38-71A1-485E-897E-F32EE52FAB11}" xr6:coauthVersionLast="46" xr6:coauthVersionMax="46" xr10:uidLastSave="{06A20183-C715-4EAF-A693-4E08F42DB3C4}"/>
  <bookViews>
    <workbookView xWindow="-108" yWindow="-108" windowWidth="23256" windowHeight="12576" xr2:uid="{00000000-000D-0000-FFFF-FFFF00000000}"/>
  </bookViews>
  <sheets>
    <sheet name="Kw60bar1" sheetId="17" r:id="rId1"/>
    <sheet name="Kw60bar2" sheetId="18" r:id="rId2"/>
    <sheet name="Kw220bar" sheetId="10" r:id="rId3"/>
    <sheet name="Keo@Swi60bar" sheetId="19" r:id="rId4"/>
    <sheet name="Kw,abs150bar" sheetId="28" r:id="rId5"/>
    <sheet name="Keo@Swi150bar" sheetId="22" r:id="rId6"/>
    <sheet name="Κe@Sw2" sheetId="23" r:id="rId7"/>
    <sheet name="Ke@Sw1" sheetId="21" r:id="rId8"/>
    <sheet name="Ke@Sw3" sheetId="26" r:id="rId9"/>
    <sheet name="Kew@1-Sor" sheetId="20" r:id="rId10"/>
    <sheet name="διαγραμμα" sheetId="27" r:id="rId11"/>
  </sheets>
  <calcPr calcId="181029"/>
</workbook>
</file>

<file path=xl/calcChain.xml><?xml version="1.0" encoding="utf-8"?>
<calcChain xmlns="http://schemas.openxmlformats.org/spreadsheetml/2006/main">
  <c r="R73" i="19" l="1"/>
  <c r="D3" i="17" l="1"/>
  <c r="J15" i="27"/>
  <c r="M91" i="21"/>
  <c r="M90" i="21"/>
  <c r="M89" i="21"/>
  <c r="M88" i="21"/>
  <c r="M87" i="21"/>
  <c r="J12" i="27"/>
  <c r="I4" i="27"/>
  <c r="I12" i="27" s="1"/>
  <c r="J5" i="27"/>
  <c r="I5" i="27"/>
  <c r="N8" i="22"/>
  <c r="N9" i="22"/>
  <c r="AD73" i="23"/>
  <c r="AD72" i="23"/>
  <c r="AD71" i="23"/>
  <c r="AD70" i="23"/>
  <c r="AD69" i="23"/>
  <c r="AD68" i="23"/>
  <c r="C66" i="21" l="1"/>
  <c r="E66" i="21"/>
  <c r="F66" i="21"/>
  <c r="M102" i="22"/>
  <c r="AC144" i="28"/>
  <c r="E49" i="18" l="1"/>
  <c r="L35" i="18"/>
  <c r="AB107" i="28"/>
  <c r="AA107" i="28"/>
  <c r="Z107" i="28"/>
  <c r="J13" i="27" l="1"/>
  <c r="I14" i="27"/>
  <c r="I13" i="27"/>
  <c r="I7" i="27"/>
  <c r="I6" i="27"/>
  <c r="J14" i="27"/>
  <c r="N60" i="22"/>
  <c r="H6" i="27"/>
  <c r="H5" i="27"/>
  <c r="H4" i="27"/>
  <c r="L108" i="22"/>
  <c r="J108" i="22"/>
  <c r="I108" i="22"/>
  <c r="C102" i="22"/>
  <c r="P3" i="22" l="1"/>
  <c r="P4" i="22"/>
  <c r="P5" i="22"/>
  <c r="P6" i="22"/>
  <c r="P7" i="22"/>
  <c r="P8" i="22"/>
  <c r="P9" i="22"/>
  <c r="P2" i="22"/>
  <c r="AD198" i="28" l="1"/>
  <c r="AC198" i="28"/>
  <c r="F2" i="19"/>
  <c r="Z46" i="17" l="1"/>
  <c r="AD7" i="19"/>
  <c r="Z7" i="19"/>
  <c r="AD2" i="19"/>
  <c r="AB51" i="17"/>
  <c r="AB50" i="17"/>
  <c r="AB49" i="17"/>
  <c r="AB48" i="17"/>
  <c r="AB47" i="17"/>
  <c r="AB46" i="17"/>
  <c r="AA51" i="17"/>
  <c r="AA50" i="17"/>
  <c r="AA49" i="17"/>
  <c r="AA48" i="17"/>
  <c r="AA47" i="17"/>
  <c r="AA46" i="17"/>
  <c r="Z51" i="17"/>
  <c r="Z50" i="17"/>
  <c r="Z49" i="17"/>
  <c r="Z48" i="17"/>
  <c r="Z47" i="17"/>
  <c r="R49" i="17"/>
  <c r="O49" i="17"/>
  <c r="N49" i="17"/>
  <c r="P46" i="17"/>
  <c r="Q36" i="22"/>
  <c r="P36" i="22"/>
  <c r="O36" i="22"/>
  <c r="N36" i="22"/>
  <c r="AK199" i="28" l="1"/>
  <c r="AK200" i="28"/>
  <c r="AK201" i="28"/>
  <c r="AK202" i="28"/>
  <c r="AK203" i="28"/>
  <c r="AK204" i="28"/>
  <c r="AK205" i="28"/>
  <c r="AK206" i="28"/>
  <c r="AK207" i="28"/>
  <c r="AK208" i="28"/>
  <c r="AK209" i="28"/>
  <c r="AK210" i="28"/>
  <c r="AK211" i="28"/>
  <c r="AK212" i="28"/>
  <c r="AK213" i="28"/>
  <c r="AK214" i="28"/>
  <c r="AK215" i="28"/>
  <c r="AK216" i="28"/>
  <c r="AK198" i="28"/>
  <c r="AJ199" i="28"/>
  <c r="AJ200" i="28"/>
  <c r="AJ201" i="28"/>
  <c r="AJ202" i="28"/>
  <c r="AJ203" i="28"/>
  <c r="AJ204" i="28"/>
  <c r="AJ205" i="28"/>
  <c r="AJ206" i="28"/>
  <c r="AJ207" i="28"/>
  <c r="AJ208" i="28"/>
  <c r="AJ209" i="28"/>
  <c r="AJ210" i="28"/>
  <c r="AJ211" i="28"/>
  <c r="AJ212" i="28"/>
  <c r="AJ213" i="28"/>
  <c r="AJ214" i="28"/>
  <c r="AJ215" i="28"/>
  <c r="AJ216" i="28"/>
  <c r="AJ198" i="28"/>
  <c r="AF198" i="28"/>
  <c r="AE198" i="28"/>
  <c r="AA198" i="28"/>
  <c r="AB198" i="28"/>
  <c r="Z198" i="28"/>
  <c r="Y198" i="28"/>
  <c r="X198" i="28"/>
  <c r="AB197" i="28"/>
  <c r="AA197" i="28"/>
  <c r="Z197" i="28"/>
  <c r="Y197" i="28"/>
  <c r="X197" i="28"/>
  <c r="V197" i="28"/>
  <c r="U198" i="28"/>
  <c r="U199" i="28"/>
  <c r="U200" i="28"/>
  <c r="U201" i="28"/>
  <c r="U202" i="28"/>
  <c r="U203" i="28"/>
  <c r="U204" i="28"/>
  <c r="U197" i="28"/>
  <c r="T197" i="28"/>
  <c r="S202" i="28"/>
  <c r="S204" i="28"/>
  <c r="S198" i="28"/>
  <c r="S199" i="28"/>
  <c r="S200" i="28"/>
  <c r="S201" i="28"/>
  <c r="S203" i="28"/>
  <c r="S197" i="28"/>
  <c r="Z187" i="28"/>
  <c r="Y193" i="28"/>
  <c r="Y188" i="28"/>
  <c r="Y189" i="28"/>
  <c r="Y190" i="28"/>
  <c r="Y191" i="28"/>
  <c r="Y192" i="28"/>
  <c r="Y194" i="28"/>
  <c r="Y187" i="28"/>
  <c r="X187" i="28"/>
  <c r="W190" i="28"/>
  <c r="W188" i="28"/>
  <c r="W189" i="28"/>
  <c r="W191" i="28"/>
  <c r="W192" i="28"/>
  <c r="W193" i="28"/>
  <c r="W194" i="28"/>
  <c r="W187" i="28"/>
  <c r="V187" i="28"/>
  <c r="U193" i="28"/>
  <c r="U188" i="28"/>
  <c r="U189" i="28"/>
  <c r="U190" i="28"/>
  <c r="U191" i="28"/>
  <c r="U192" i="28"/>
  <c r="U194" i="28"/>
  <c r="U187" i="28"/>
  <c r="R187" i="28"/>
  <c r="S187" i="28"/>
  <c r="T187" i="28"/>
  <c r="S191" i="28"/>
  <c r="S188" i="28"/>
  <c r="S189" i="28"/>
  <c r="S190" i="28"/>
  <c r="S192" i="28"/>
  <c r="S193" i="28"/>
  <c r="S194" i="28"/>
  <c r="P187" i="28"/>
  <c r="N194" i="28"/>
  <c r="N188" i="28"/>
  <c r="N189" i="28"/>
  <c r="N190" i="28"/>
  <c r="N191" i="28"/>
  <c r="N192" i="28"/>
  <c r="N193" i="28"/>
  <c r="N187" i="28"/>
  <c r="AE97" i="28"/>
  <c r="AD97" i="28"/>
  <c r="J63" i="18"/>
  <c r="I63" i="18" s="1"/>
  <c r="L63" i="18" s="1"/>
  <c r="J62" i="18"/>
  <c r="I62" i="18" s="1"/>
  <c r="L62" i="18" s="1"/>
  <c r="J61" i="18"/>
  <c r="I61" i="18" s="1"/>
  <c r="L61" i="18" s="1"/>
  <c r="J60" i="18"/>
  <c r="I60" i="18" s="1"/>
  <c r="L60" i="18" s="1"/>
  <c r="J59" i="18"/>
  <c r="I59" i="18" s="1"/>
  <c r="L59" i="18" s="1"/>
  <c r="J58" i="18"/>
  <c r="I58" i="18" s="1"/>
  <c r="L58" i="18" s="1"/>
  <c r="J57" i="18"/>
  <c r="I57" i="18" s="1"/>
  <c r="L57" i="18" s="1"/>
  <c r="J56" i="18"/>
  <c r="I56" i="18"/>
  <c r="L56" i="18" s="1"/>
  <c r="J55" i="18"/>
  <c r="I55" i="18" s="1"/>
  <c r="L55" i="18" s="1"/>
  <c r="L47" i="18"/>
  <c r="L48" i="18"/>
  <c r="L49" i="18"/>
  <c r="L50" i="18"/>
  <c r="L51" i="18"/>
  <c r="L52" i="18"/>
  <c r="L53" i="18"/>
  <c r="L54" i="18"/>
  <c r="I54" i="18"/>
  <c r="I47" i="18"/>
  <c r="I48" i="18"/>
  <c r="I49" i="18"/>
  <c r="I50" i="18"/>
  <c r="I51" i="18"/>
  <c r="I52" i="18"/>
  <c r="I53" i="18"/>
  <c r="J54" i="18"/>
  <c r="J47" i="18"/>
  <c r="J48" i="18"/>
  <c r="J49" i="18"/>
  <c r="J50" i="18"/>
  <c r="J51" i="18"/>
  <c r="J52" i="18"/>
  <c r="J53" i="18"/>
  <c r="J46" i="18"/>
  <c r="I46" i="18" s="1"/>
  <c r="L46" i="18" s="1"/>
  <c r="L45" i="18"/>
  <c r="J35" i="18"/>
  <c r="I35" i="18"/>
  <c r="AF45" i="19"/>
  <c r="O39" i="22" l="1"/>
  <c r="N39" i="22"/>
  <c r="P39" i="22"/>
  <c r="Q39" i="22"/>
  <c r="K42" i="22" l="1"/>
  <c r="A26" i="18"/>
  <c r="M9" i="22" l="1"/>
  <c r="M8" i="22"/>
  <c r="M7" i="22"/>
  <c r="M6" i="22"/>
  <c r="M5" i="22"/>
  <c r="M4" i="22"/>
  <c r="M3" i="22"/>
  <c r="M2" i="22"/>
  <c r="M42" i="22" l="1"/>
  <c r="X96" i="28" l="1"/>
  <c r="N103" i="28" l="1"/>
  <c r="N102" i="28"/>
  <c r="N101" i="28"/>
  <c r="N100" i="28"/>
  <c r="N99" i="28"/>
  <c r="N98" i="28"/>
  <c r="N97" i="28"/>
  <c r="N96" i="28"/>
  <c r="N95" i="28"/>
  <c r="N94" i="28"/>
  <c r="N93" i="28"/>
  <c r="AE98" i="28"/>
  <c r="AD96" i="28"/>
  <c r="AE96" i="28"/>
  <c r="F3" i="28"/>
  <c r="E35" i="18" l="1"/>
  <c r="C35" i="18"/>
  <c r="A44" i="18"/>
  <c r="F23" i="18"/>
  <c r="F22" i="18"/>
  <c r="AG2" i="18"/>
  <c r="C23" i="18"/>
  <c r="D23" i="18" s="1"/>
  <c r="AL2" i="18"/>
  <c r="B23" i="18"/>
  <c r="C22" i="18"/>
  <c r="U4" i="18" s="1"/>
  <c r="B22" i="18"/>
  <c r="AB6" i="18" s="1"/>
  <c r="U3" i="18" l="1"/>
  <c r="J8" i="27"/>
  <c r="J7" i="27"/>
  <c r="J6" i="27"/>
  <c r="H8" i="27"/>
  <c r="H7" i="27"/>
  <c r="L72" i="22"/>
  <c r="I124" i="20"/>
  <c r="E114" i="20"/>
  <c r="D8" i="20"/>
  <c r="Y32" i="26"/>
  <c r="U28" i="26"/>
  <c r="S28" i="26"/>
  <c r="R59" i="23"/>
  <c r="K3" i="21"/>
  <c r="O6" i="21"/>
  <c r="E3" i="21"/>
  <c r="E5" i="21"/>
  <c r="H3" i="23"/>
  <c r="G3" i="23"/>
  <c r="G3" i="26"/>
  <c r="H11" i="26"/>
  <c r="H4" i="26"/>
  <c r="H5" i="26"/>
  <c r="H6" i="26"/>
  <c r="H7" i="26"/>
  <c r="H8" i="26"/>
  <c r="H9" i="26"/>
  <c r="H10" i="26"/>
  <c r="H12" i="26"/>
  <c r="H13" i="26"/>
  <c r="H14" i="26"/>
  <c r="H15" i="26"/>
  <c r="H16" i="26"/>
  <c r="H17" i="26"/>
  <c r="H18" i="26"/>
  <c r="G4" i="26"/>
  <c r="G5" i="26"/>
  <c r="G6" i="26"/>
  <c r="G7" i="26"/>
  <c r="G8" i="26"/>
  <c r="G9" i="26"/>
  <c r="G10" i="26"/>
  <c r="G11" i="26"/>
  <c r="G12" i="26"/>
  <c r="G13" i="26"/>
  <c r="G14" i="26"/>
  <c r="G15" i="26"/>
  <c r="G16" i="26"/>
  <c r="G17" i="26"/>
  <c r="G18" i="26"/>
  <c r="H3" i="26"/>
  <c r="V63" i="23" l="1"/>
  <c r="R55" i="17"/>
  <c r="S49" i="17"/>
  <c r="T58" i="17"/>
  <c r="T52" i="17"/>
  <c r="T46" i="17"/>
  <c r="P58" i="17"/>
  <c r="P52" i="17"/>
  <c r="S2" i="17"/>
  <c r="R5" i="17"/>
  <c r="Q5" i="17"/>
  <c r="W63" i="23"/>
  <c r="W64" i="23"/>
  <c r="F102" i="22"/>
  <c r="E102" i="22"/>
  <c r="N80" i="19"/>
  <c r="O80" i="19" s="1"/>
  <c r="D66" i="21"/>
  <c r="H4" i="21"/>
  <c r="H5" i="21"/>
  <c r="H6" i="21"/>
  <c r="H7" i="21"/>
  <c r="H8" i="21"/>
  <c r="H9" i="21"/>
  <c r="H10" i="21"/>
  <c r="H11" i="21"/>
  <c r="H12" i="21"/>
  <c r="H13" i="21"/>
  <c r="H14" i="21"/>
  <c r="H15" i="21"/>
  <c r="H16" i="21"/>
  <c r="H17" i="21"/>
  <c r="H18" i="21"/>
  <c r="H19" i="21"/>
  <c r="H20" i="21"/>
  <c r="H21" i="21"/>
  <c r="H22" i="21"/>
  <c r="H23" i="21"/>
  <c r="H24" i="21"/>
  <c r="H25" i="21"/>
  <c r="H26" i="21"/>
  <c r="H27" i="21"/>
  <c r="H28" i="21"/>
  <c r="H29" i="21"/>
  <c r="H30" i="21"/>
  <c r="H31" i="21"/>
  <c r="H32" i="21"/>
  <c r="H33" i="21"/>
  <c r="H34" i="21"/>
  <c r="H35" i="21"/>
  <c r="H36" i="21"/>
  <c r="H37" i="21"/>
  <c r="H38" i="21"/>
  <c r="H39" i="21"/>
  <c r="H40" i="21"/>
  <c r="H41" i="21"/>
  <c r="H42" i="21"/>
  <c r="H43" i="21"/>
  <c r="H44" i="21"/>
  <c r="H45" i="21"/>
  <c r="H46" i="21"/>
  <c r="H47" i="21"/>
  <c r="H48" i="21"/>
  <c r="H49" i="21"/>
  <c r="H50" i="21"/>
  <c r="H51" i="21"/>
  <c r="H52" i="21"/>
  <c r="H53" i="21"/>
  <c r="H54" i="21"/>
  <c r="H55" i="21"/>
  <c r="H3" i="21"/>
  <c r="G4" i="21"/>
  <c r="G5" i="21"/>
  <c r="G6" i="21"/>
  <c r="G7" i="21"/>
  <c r="G8" i="21"/>
  <c r="G9" i="21"/>
  <c r="G10" i="21"/>
  <c r="G11" i="2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G38" i="21"/>
  <c r="G39" i="21"/>
  <c r="G40" i="21"/>
  <c r="G41" i="21"/>
  <c r="G42" i="21"/>
  <c r="G43" i="21"/>
  <c r="G44" i="21"/>
  <c r="G45" i="21"/>
  <c r="G46" i="21"/>
  <c r="G47" i="21"/>
  <c r="G48" i="21"/>
  <c r="G49" i="21"/>
  <c r="G50" i="21"/>
  <c r="G51" i="21"/>
  <c r="G52" i="21"/>
  <c r="G53" i="21"/>
  <c r="G54" i="21"/>
  <c r="G55" i="21"/>
  <c r="G3" i="21"/>
  <c r="Z63" i="23"/>
  <c r="X63" i="23"/>
  <c r="S59" i="23"/>
  <c r="G94" i="22"/>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 i="23"/>
  <c r="E94" i="22"/>
  <c r="D97" i="22"/>
  <c r="L71" i="22"/>
  <c r="F2" i="22"/>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AA120" i="28"/>
  <c r="AA118" i="28"/>
  <c r="D3" i="28"/>
  <c r="N83" i="19"/>
  <c r="L83" i="19"/>
  <c r="R7" i="28" l="1"/>
  <c r="T4" i="28"/>
  <c r="L80" i="19"/>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5" i="28"/>
  <c r="F36" i="28"/>
  <c r="F37" i="28"/>
  <c r="F38" i="28"/>
  <c r="F39" i="28"/>
  <c r="F40" i="28"/>
  <c r="F41" i="28"/>
  <c r="F42" i="28"/>
  <c r="F43" i="28"/>
  <c r="F44" i="28"/>
  <c r="F45" i="28"/>
  <c r="F46" i="28"/>
  <c r="F47" i="28"/>
  <c r="F48" i="28"/>
  <c r="F49" i="28"/>
  <c r="F50" i="28"/>
  <c r="F51" i="28"/>
  <c r="F52" i="28"/>
  <c r="F53" i="28"/>
  <c r="F54" i="28"/>
  <c r="F55" i="28"/>
  <c r="F56" i="28"/>
  <c r="F57" i="28"/>
  <c r="F58" i="28"/>
  <c r="F59" i="28"/>
  <c r="F60" i="28"/>
  <c r="F61" i="28"/>
  <c r="F62" i="28"/>
  <c r="F63" i="28"/>
  <c r="F64" i="28"/>
  <c r="F65" i="28"/>
  <c r="F66" i="28"/>
  <c r="F67" i="28"/>
  <c r="F68" i="28"/>
  <c r="F69" i="28"/>
  <c r="F70" i="28"/>
  <c r="F71" i="28"/>
  <c r="F72" i="28"/>
  <c r="F73" i="28"/>
  <c r="F74" i="28"/>
  <c r="F75" i="28"/>
  <c r="F76" i="28"/>
  <c r="F77" i="28"/>
  <c r="F78" i="28"/>
  <c r="F79" i="28"/>
  <c r="F80" i="28"/>
  <c r="F81" i="28"/>
  <c r="F82" i="28"/>
  <c r="F83" i="28"/>
  <c r="F84" i="28"/>
  <c r="F85" i="28"/>
  <c r="F86" i="28"/>
  <c r="F87" i="28"/>
  <c r="F88" i="28"/>
  <c r="F89" i="28"/>
  <c r="F90" i="28"/>
  <c r="F91" i="28"/>
  <c r="F92" i="28"/>
  <c r="F93" i="28"/>
  <c r="F94" i="28"/>
  <c r="F95" i="28"/>
  <c r="F96" i="28"/>
  <c r="F97" i="28"/>
  <c r="F98" i="28"/>
  <c r="F99" i="28"/>
  <c r="F100" i="28"/>
  <c r="F101" i="28"/>
  <c r="F102" i="28"/>
  <c r="F103" i="28"/>
  <c r="F104" i="28"/>
  <c r="F105" i="28"/>
  <c r="F106" i="28"/>
  <c r="F107" i="28"/>
  <c r="F108" i="28"/>
  <c r="F109" i="28"/>
  <c r="F110" i="28"/>
  <c r="F111" i="28"/>
  <c r="F112" i="28"/>
  <c r="F113" i="28"/>
  <c r="F114" i="28"/>
  <c r="F115" i="28"/>
  <c r="F116" i="28"/>
  <c r="F117" i="28"/>
  <c r="F118" i="28"/>
  <c r="F119" i="28"/>
  <c r="F120" i="28"/>
  <c r="F121" i="28"/>
  <c r="F122" i="28"/>
  <c r="F123" i="28"/>
  <c r="F124" i="28"/>
  <c r="F125" i="28"/>
  <c r="F126" i="28"/>
  <c r="F127" i="28"/>
  <c r="F128" i="28"/>
  <c r="F129" i="28"/>
  <c r="F130" i="28"/>
  <c r="F131" i="28"/>
  <c r="F4" i="28"/>
  <c r="AC2" i="19"/>
  <c r="AB4" i="19"/>
  <c r="AB2" i="19"/>
  <c r="AK7" i="19"/>
  <c r="AJ7" i="19"/>
  <c r="AI7" i="19"/>
  <c r="Z2" i="19"/>
  <c r="AG2" i="19"/>
  <c r="AD4" i="19"/>
  <c r="AD3" i="19"/>
  <c r="Z4" i="19"/>
  <c r="Z3" i="19"/>
  <c r="F14" i="19"/>
  <c r="F3" i="19"/>
  <c r="F4" i="19"/>
  <c r="F5" i="19"/>
  <c r="F6" i="19"/>
  <c r="F7" i="19"/>
  <c r="F8" i="19"/>
  <c r="F9" i="19"/>
  <c r="F10" i="19"/>
  <c r="F11" i="19"/>
  <c r="F12" i="19"/>
  <c r="F13"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C28" i="18"/>
  <c r="D38" i="18"/>
  <c r="E45" i="18"/>
  <c r="E56" i="18" s="1"/>
  <c r="E23" i="18"/>
  <c r="E22" i="18"/>
  <c r="D22" i="18"/>
  <c r="A23" i="18"/>
  <c r="A22" i="18"/>
  <c r="J40" i="18"/>
  <c r="C26" i="18" l="1"/>
  <c r="B26" i="18"/>
  <c r="E54" i="18"/>
  <c r="E51" i="18"/>
  <c r="E55" i="18"/>
  <c r="E53" i="18"/>
  <c r="E52" i="18"/>
  <c r="E50" i="18"/>
  <c r="E58" i="18"/>
  <c r="E59" i="18"/>
  <c r="E57" i="18"/>
  <c r="G27" i="18" l="1"/>
  <c r="F27" i="18"/>
  <c r="C31" i="18" s="1"/>
  <c r="H27" i="18" s="1"/>
  <c r="I27" i="18" l="1"/>
  <c r="D31" i="18" s="1"/>
  <c r="U2" i="18"/>
  <c r="F3" i="17"/>
  <c r="R61" i="17"/>
  <c r="N61" i="17"/>
  <c r="N55" i="17"/>
  <c r="D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4" i="17"/>
  <c r="K3" i="17"/>
  <c r="L106" i="28" a="1"/>
  <c r="L106" i="28" s="1"/>
  <c r="AX184" i="28"/>
  <c r="AR163" i="28"/>
  <c r="AP182" i="28"/>
  <c r="AH164" i="28"/>
  <c r="AH183" i="28"/>
  <c r="AB182" i="28"/>
  <c r="U182" i="28"/>
  <c r="AB164" i="28"/>
  <c r="U164" i="28"/>
  <c r="J27" i="18" l="1"/>
  <c r="L109" i="28"/>
  <c r="M108" i="28"/>
  <c r="M107" i="28"/>
  <c r="L107" i="28"/>
  <c r="M109" i="28"/>
  <c r="L108" i="28"/>
  <c r="M110" i="28"/>
  <c r="M106" i="28"/>
  <c r="L110" i="28"/>
  <c r="G22" i="18"/>
  <c r="R81" i="17"/>
  <c r="R80" i="17"/>
  <c r="R79" i="17"/>
  <c r="R78" i="17"/>
  <c r="R77" i="17"/>
  <c r="P77" i="17"/>
  <c r="I7" i="17" l="1"/>
  <c r="I3" i="17"/>
  <c r="AA141" i="28" l="1"/>
  <c r="AB141" i="28"/>
  <c r="L75" i="22" l="1"/>
  <c r="L74" i="22"/>
  <c r="L73" i="22"/>
  <c r="AJ62" i="22" a="1"/>
  <c r="AJ62" i="22" s="1"/>
  <c r="AJ63" i="22" l="1"/>
  <c r="AJ66" i="22"/>
  <c r="AJ64" i="22"/>
  <c r="AK65" i="22"/>
  <c r="AK63" i="22"/>
  <c r="AJ65" i="22"/>
  <c r="AK66" i="22"/>
  <c r="AK64" i="22"/>
  <c r="AK62" i="22"/>
  <c r="Z68" i="22" s="1"/>
  <c r="L42" i="22" l="1"/>
  <c r="D4" i="20"/>
  <c r="D5" i="20"/>
  <c r="D6" i="20"/>
  <c r="D7"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D44" i="20"/>
  <c r="D45" i="20"/>
  <c r="D46" i="20"/>
  <c r="D47" i="20"/>
  <c r="D48" i="20"/>
  <c r="D49" i="20"/>
  <c r="D50" i="20"/>
  <c r="D51" i="20"/>
  <c r="D52" i="20"/>
  <c r="D53" i="20"/>
  <c r="D54" i="20"/>
  <c r="D55" i="20"/>
  <c r="D56" i="20"/>
  <c r="D57" i="20"/>
  <c r="D58" i="20"/>
  <c r="D59" i="20"/>
  <c r="D60" i="20"/>
  <c r="D61" i="20"/>
  <c r="D62" i="20"/>
  <c r="D63" i="20"/>
  <c r="D64" i="20"/>
  <c r="D65" i="20"/>
  <c r="D66" i="20"/>
  <c r="D67" i="20"/>
  <c r="D68" i="20"/>
  <c r="D69" i="20"/>
  <c r="D70" i="20"/>
  <c r="D71" i="20"/>
  <c r="D72" i="20"/>
  <c r="D73" i="20"/>
  <c r="D74" i="20"/>
  <c r="D75" i="20"/>
  <c r="D76" i="20"/>
  <c r="D77" i="20"/>
  <c r="D78" i="20"/>
  <c r="D79" i="20"/>
  <c r="D80" i="20"/>
  <c r="D3" i="20"/>
  <c r="L86" i="19" l="1"/>
  <c r="M95" i="19"/>
  <c r="L95" i="19"/>
  <c r="L92" i="19"/>
  <c r="N92" i="19" s="1"/>
  <c r="O92" i="19" s="1"/>
  <c r="M92" i="19"/>
  <c r="L89" i="19"/>
  <c r="M89" i="19"/>
  <c r="N89" i="19"/>
  <c r="O89" i="19" s="1"/>
  <c r="M86" i="19"/>
  <c r="M83" i="19"/>
  <c r="O61" i="17"/>
  <c r="O55" i="17"/>
  <c r="N95" i="19" l="1"/>
  <c r="O95" i="19" s="1"/>
  <c r="O83" i="19"/>
  <c r="N86" i="19"/>
  <c r="O86" i="19" s="1"/>
  <c r="S55" i="17"/>
  <c r="Q66" i="17" s="1"/>
  <c r="S61" i="17"/>
  <c r="R86" i="19" l="1"/>
  <c r="S86" i="19" s="1"/>
  <c r="R67" i="17"/>
  <c r="R68" i="17"/>
  <c r="R66" i="17"/>
  <c r="R69" i="17"/>
  <c r="R71" i="17"/>
  <c r="R70" i="17"/>
  <c r="S66" i="17" l="1"/>
  <c r="U66" i="17" s="1"/>
  <c r="V66" i="17" s="1"/>
  <c r="W66" i="17" l="1"/>
  <c r="U2" i="17" l="1"/>
  <c r="S40" i="26" l="1"/>
  <c r="U40" i="26" s="1"/>
  <c r="V40" i="26" s="1"/>
  <c r="S37" i="26"/>
  <c r="U37" i="26" s="1"/>
  <c r="V37" i="26" s="1"/>
  <c r="S34" i="26"/>
  <c r="U34" i="26" s="1"/>
  <c r="V34" i="26" s="1"/>
  <c r="S31" i="26"/>
  <c r="U31" i="26" s="1"/>
  <c r="V31" i="26" s="1"/>
  <c r="V28" i="26"/>
  <c r="E17" i="26"/>
  <c r="F17" i="26" s="1"/>
  <c r="E18" i="26"/>
  <c r="F18" i="26" s="1"/>
  <c r="F52" i="21"/>
  <c r="K49" i="21"/>
  <c r="K50" i="21"/>
  <c r="K51" i="21"/>
  <c r="K52" i="21"/>
  <c r="K53" i="21"/>
  <c r="K54" i="21"/>
  <c r="L49" i="21"/>
  <c r="L50" i="21"/>
  <c r="L51" i="21"/>
  <c r="L52" i="21"/>
  <c r="L53" i="21"/>
  <c r="L54" i="21"/>
  <c r="E50" i="21"/>
  <c r="F50" i="21" s="1"/>
  <c r="E51" i="21"/>
  <c r="F51" i="21" s="1"/>
  <c r="E52" i="21"/>
  <c r="E53" i="21"/>
  <c r="F53" i="21" s="1"/>
  <c r="E54" i="21"/>
  <c r="F54" i="21" s="1"/>
  <c r="E49" i="21"/>
  <c r="F49" i="21" s="1"/>
  <c r="D126" i="20"/>
  <c r="C126" i="20"/>
  <c r="E126" i="20" s="1"/>
  <c r="F126" i="20" s="1"/>
  <c r="D123" i="20"/>
  <c r="C123" i="20"/>
  <c r="C120" i="20"/>
  <c r="E120" i="20" s="1"/>
  <c r="F120" i="20" s="1"/>
  <c r="D120" i="20"/>
  <c r="E76" i="20"/>
  <c r="E77" i="20"/>
  <c r="F77" i="20" s="1"/>
  <c r="E78" i="20"/>
  <c r="E79" i="20"/>
  <c r="E80" i="20"/>
  <c r="I76" i="20"/>
  <c r="I77" i="20"/>
  <c r="I78" i="20"/>
  <c r="I79" i="20"/>
  <c r="I80" i="20"/>
  <c r="H3" i="22"/>
  <c r="H4" i="22" s="1"/>
  <c r="H5" i="22" s="1"/>
  <c r="H6" i="22" s="1"/>
  <c r="H7" i="22" s="1"/>
  <c r="H8" i="22" s="1"/>
  <c r="H9" i="22" s="1"/>
  <c r="H10" i="22" s="1"/>
  <c r="H11" i="22" s="1"/>
  <c r="H12" i="22" s="1"/>
  <c r="H13" i="22" s="1"/>
  <c r="H14" i="22" s="1"/>
  <c r="H15" i="22" s="1"/>
  <c r="H16" i="22" s="1"/>
  <c r="H17" i="22" s="1"/>
  <c r="H18" i="22" s="1"/>
  <c r="H19" i="22" s="1"/>
  <c r="H20" i="22" s="1"/>
  <c r="H21" i="22" s="1"/>
  <c r="H22" i="22" s="1"/>
  <c r="H23" i="22" s="1"/>
  <c r="H24" i="22" s="1"/>
  <c r="H25" i="22" s="1"/>
  <c r="H26" i="22" s="1"/>
  <c r="H27" i="22" s="1"/>
  <c r="H28" i="22" s="1"/>
  <c r="H29" i="22" s="1"/>
  <c r="H30" i="22" s="1"/>
  <c r="H31" i="22" s="1"/>
  <c r="H32" i="22" s="1"/>
  <c r="H33" i="22" s="1"/>
  <c r="H34" i="22" s="1"/>
  <c r="H35" i="22" s="1"/>
  <c r="H36" i="22" s="1"/>
  <c r="H37" i="22" s="1"/>
  <c r="H38" i="22" s="1"/>
  <c r="H39" i="22" s="1"/>
  <c r="H40" i="22" s="1"/>
  <c r="H41" i="22" s="1"/>
  <c r="H42" i="22" s="1"/>
  <c r="H43" i="22" s="1"/>
  <c r="H44" i="22" s="1"/>
  <c r="H45" i="22" s="1"/>
  <c r="H46" i="22" s="1"/>
  <c r="H47" i="22" s="1"/>
  <c r="H48" i="22" s="1"/>
  <c r="H49" i="22" s="1"/>
  <c r="H50" i="22" s="1"/>
  <c r="H51" i="22" s="1"/>
  <c r="H52" i="22" s="1"/>
  <c r="H53" i="22" s="1"/>
  <c r="H54" i="22" s="1"/>
  <c r="H55" i="22" s="1"/>
  <c r="H56" i="22" s="1"/>
  <c r="H57" i="22" s="1"/>
  <c r="H58" i="22" s="1"/>
  <c r="H59" i="22" s="1"/>
  <c r="H60" i="22" s="1"/>
  <c r="H61" i="22" s="1"/>
  <c r="H62" i="22" s="1"/>
  <c r="H63" i="22" s="1"/>
  <c r="H64" i="22" s="1"/>
  <c r="H65" i="22" s="1"/>
  <c r="H66" i="22" s="1"/>
  <c r="H67" i="22" s="1"/>
  <c r="H68" i="22" s="1"/>
  <c r="H69" i="22" s="1"/>
  <c r="H70" i="22" s="1"/>
  <c r="H71" i="22" s="1"/>
  <c r="I11" i="22"/>
  <c r="D11" i="22"/>
  <c r="E11" i="22" s="1"/>
  <c r="S7" i="28"/>
  <c r="H4" i="28"/>
  <c r="H5" i="28" s="1"/>
  <c r="H6" i="28" s="1"/>
  <c r="H7" i="28" s="1"/>
  <c r="D129" i="28"/>
  <c r="E129" i="28" s="1"/>
  <c r="D130" i="28"/>
  <c r="E130" i="28" s="1"/>
  <c r="D131" i="28"/>
  <c r="E131" i="28" s="1"/>
  <c r="I129" i="28"/>
  <c r="I130" i="28"/>
  <c r="I131" i="28"/>
  <c r="E125" i="28"/>
  <c r="E126" i="28"/>
  <c r="D125" i="28"/>
  <c r="D126" i="28"/>
  <c r="D127" i="28"/>
  <c r="E127" i="28" s="1"/>
  <c r="I125" i="28"/>
  <c r="I126" i="28"/>
  <c r="I127" i="28"/>
  <c r="D123" i="28"/>
  <c r="E123" i="28" s="1"/>
  <c r="I123" i="28"/>
  <c r="I122" i="28"/>
  <c r="D122" i="28"/>
  <c r="E122" i="28" s="1"/>
  <c r="I121" i="28"/>
  <c r="D121" i="28"/>
  <c r="E121" i="28" s="1"/>
  <c r="I120" i="28"/>
  <c r="D120" i="28"/>
  <c r="E120" i="28" s="1"/>
  <c r="I119" i="28"/>
  <c r="D119" i="28"/>
  <c r="E119" i="28" s="1"/>
  <c r="I118" i="28"/>
  <c r="D118" i="28"/>
  <c r="E118" i="28" s="1"/>
  <c r="I117" i="28"/>
  <c r="D117" i="28"/>
  <c r="E117" i="28" s="1"/>
  <c r="I116" i="28"/>
  <c r="E116" i="28"/>
  <c r="D116" i="28"/>
  <c r="D115" i="28"/>
  <c r="E115" i="28" s="1"/>
  <c r="I115" i="28"/>
  <c r="D111" i="28"/>
  <c r="E111" i="28" s="1"/>
  <c r="I111" i="28"/>
  <c r="E98" i="28"/>
  <c r="E101" i="28"/>
  <c r="E102" i="28"/>
  <c r="D98" i="28"/>
  <c r="D99" i="28"/>
  <c r="E99" i="28" s="1"/>
  <c r="D100" i="28"/>
  <c r="E100" i="28" s="1"/>
  <c r="D101" i="28"/>
  <c r="D102" i="28"/>
  <c r="D103" i="28"/>
  <c r="E103" i="28" s="1"/>
  <c r="I98" i="28"/>
  <c r="I99" i="28"/>
  <c r="I100" i="28"/>
  <c r="I101" i="28"/>
  <c r="I102" i="28"/>
  <c r="I103" i="28"/>
  <c r="I93" i="28"/>
  <c r="I94" i="28"/>
  <c r="I95" i="28"/>
  <c r="I96" i="28"/>
  <c r="E94" i="28"/>
  <c r="E95" i="28"/>
  <c r="D93" i="28"/>
  <c r="E93" i="28" s="1"/>
  <c r="D94" i="28"/>
  <c r="D95" i="28"/>
  <c r="D96" i="28"/>
  <c r="E96" i="28" s="1"/>
  <c r="E87" i="28"/>
  <c r="E88" i="28"/>
  <c r="D84" i="28"/>
  <c r="E84" i="28" s="1"/>
  <c r="D85" i="28"/>
  <c r="E85" i="28" s="1"/>
  <c r="D86" i="28"/>
  <c r="E86" i="28" s="1"/>
  <c r="D87" i="28"/>
  <c r="D88" i="28"/>
  <c r="D89" i="28"/>
  <c r="E89" i="28" s="1"/>
  <c r="I89" i="28"/>
  <c r="I84" i="28"/>
  <c r="I85" i="28"/>
  <c r="I86" i="28"/>
  <c r="I87" i="28"/>
  <c r="I88" i="28"/>
  <c r="I83" i="28"/>
  <c r="D83" i="28"/>
  <c r="E83" i="28" s="1"/>
  <c r="E77" i="28"/>
  <c r="E78" i="28"/>
  <c r="D77" i="28"/>
  <c r="D78" i="28"/>
  <c r="D79" i="28"/>
  <c r="E79" i="28" s="1"/>
  <c r="D80" i="28"/>
  <c r="E80" i="28" s="1"/>
  <c r="D81" i="28"/>
  <c r="E81" i="28" s="1"/>
  <c r="D82" i="28"/>
  <c r="E82" i="28" s="1"/>
  <c r="I77" i="28"/>
  <c r="I78" i="28"/>
  <c r="I79" i="28"/>
  <c r="I80" i="28"/>
  <c r="I81" i="28"/>
  <c r="I82" i="28"/>
  <c r="I107" i="28"/>
  <c r="AD98" i="28"/>
  <c r="AD99" i="28"/>
  <c r="AE99" i="28"/>
  <c r="AD100" i="28"/>
  <c r="AE100" i="28"/>
  <c r="AD101" i="28"/>
  <c r="AE101" i="28"/>
  <c r="AD102" i="28"/>
  <c r="AE102" i="28"/>
  <c r="AD103" i="28"/>
  <c r="AE103" i="28"/>
  <c r="AA110" i="28" l="1"/>
  <c r="Y38" i="26"/>
  <c r="H8" i="28"/>
  <c r="H9" i="28" s="1"/>
  <c r="H10" i="28" s="1"/>
  <c r="H11" i="28" s="1"/>
  <c r="F76" i="20"/>
  <c r="Y41" i="26"/>
  <c r="Y40" i="26"/>
  <c r="Y39" i="26"/>
  <c r="Y37" i="26"/>
  <c r="E123" i="20"/>
  <c r="F123" i="20" s="1"/>
  <c r="F80" i="20"/>
  <c r="F79" i="20"/>
  <c r="F78" i="20"/>
  <c r="H72" i="22"/>
  <c r="H73" i="22" s="1"/>
  <c r="H74" i="22" s="1"/>
  <c r="H75" i="22" s="1"/>
  <c r="H76" i="22" s="1"/>
  <c r="H77" i="22" s="1"/>
  <c r="Z37" i="26" l="1"/>
  <c r="AB37" i="26" s="1"/>
  <c r="AC37" i="26" s="1"/>
  <c r="H12" i="28"/>
  <c r="H13" i="28" s="1"/>
  <c r="H14" i="28" s="1"/>
  <c r="H78" i="22"/>
  <c r="H79" i="22" s="1"/>
  <c r="H80" i="22" s="1"/>
  <c r="H81" i="22" s="1"/>
  <c r="H82" i="22" s="1"/>
  <c r="H83" i="22" s="1"/>
  <c r="H84" i="22" s="1"/>
  <c r="H85" i="22" s="1"/>
  <c r="H86" i="22" s="1"/>
  <c r="H87" i="22" s="1"/>
  <c r="AB110" i="28"/>
  <c r="AC110" i="28" s="1"/>
  <c r="AE110" i="28" s="1"/>
  <c r="AD37" i="26" l="1"/>
  <c r="H15" i="28"/>
  <c r="H16" i="28" s="1"/>
  <c r="H17" i="28" s="1"/>
  <c r="H18" i="28" s="1"/>
  <c r="H19" i="28" s="1"/>
  <c r="H20" i="28" s="1"/>
  <c r="H21" i="28" s="1"/>
  <c r="H22" i="28" s="1"/>
  <c r="H23" i="28" s="1"/>
  <c r="H24" i="28" s="1"/>
  <c r="H25" i="28" s="1"/>
  <c r="H26" i="28" s="1"/>
  <c r="H27" i="28" s="1"/>
  <c r="H28" i="28" s="1"/>
  <c r="H29" i="28" s="1"/>
  <c r="H30" i="28" s="1"/>
  <c r="H31" i="28" s="1"/>
  <c r="H32" i="28" s="1"/>
  <c r="H33" i="28" s="1"/>
  <c r="H34" i="28" s="1"/>
  <c r="H35" i="28" s="1"/>
  <c r="H36" i="28" s="1"/>
  <c r="H37" i="28" s="1"/>
  <c r="H38" i="28" s="1"/>
  <c r="H39" i="28" s="1"/>
  <c r="H40" i="28" s="1"/>
  <c r="H41" i="28" s="1"/>
  <c r="H42" i="28" s="1"/>
  <c r="H43" i="28" s="1"/>
  <c r="H44" i="28" s="1"/>
  <c r="H45" i="28" s="1"/>
  <c r="H46" i="28" s="1"/>
  <c r="H47" i="28" s="1"/>
  <c r="H48" i="28" s="1"/>
  <c r="H49" i="28" s="1"/>
  <c r="H50" i="28" s="1"/>
  <c r="H51" i="28" s="1"/>
  <c r="H52" i="28" s="1"/>
  <c r="H53" i="28" s="1"/>
  <c r="H54" i="28" s="1"/>
  <c r="H55" i="28" s="1"/>
  <c r="H56" i="28" s="1"/>
  <c r="H57" i="28" s="1"/>
  <c r="H58" i="28" s="1"/>
  <c r="H59" i="28" s="1"/>
  <c r="H60" i="28" s="1"/>
  <c r="H61" i="28" s="1"/>
  <c r="H62" i="28" s="1"/>
  <c r="H63" i="28" s="1"/>
  <c r="H64" i="28" s="1"/>
  <c r="H65" i="28" s="1"/>
  <c r="H66" i="28" s="1"/>
  <c r="H67" i="28" s="1"/>
  <c r="H68" i="28" s="1"/>
  <c r="H69" i="28" s="1"/>
  <c r="H70" i="28" s="1"/>
  <c r="H71" i="28" s="1"/>
  <c r="H72" i="28" s="1"/>
  <c r="H73" i="28" s="1"/>
  <c r="H74" i="28" s="1"/>
  <c r="H75" i="28" s="1"/>
  <c r="H76" i="28" s="1"/>
  <c r="H77" i="28" s="1"/>
  <c r="H78" i="28" s="1"/>
  <c r="H79" i="28" s="1"/>
  <c r="H80" i="28" s="1"/>
  <c r="H81" i="28" s="1"/>
  <c r="H82" i="28" s="1"/>
  <c r="H83" i="28" s="1"/>
  <c r="H84" i="28" s="1"/>
  <c r="H85" i="28" s="1"/>
  <c r="H86" i="28" s="1"/>
  <c r="H87" i="28" s="1"/>
  <c r="H88" i="28" s="1"/>
  <c r="H89" i="28" s="1"/>
  <c r="H90" i="28" s="1"/>
  <c r="H91" i="28" s="1"/>
  <c r="H92" i="28" s="1"/>
  <c r="H93" i="28" s="1"/>
  <c r="H94" i="28" s="1"/>
  <c r="H95" i="28" s="1"/>
  <c r="H96" i="28" s="1"/>
  <c r="H97" i="28" s="1"/>
  <c r="H98" i="28" s="1"/>
  <c r="H99" i="28" s="1"/>
  <c r="H100" i="28" s="1"/>
  <c r="H101" i="28" s="1"/>
  <c r="H102" i="28" s="1"/>
  <c r="H103" i="28" s="1"/>
  <c r="H104" i="28" s="1"/>
  <c r="H105" i="28" s="1"/>
  <c r="H106" i="28" s="1"/>
  <c r="H107" i="28" s="1"/>
  <c r="H108" i="28" s="1"/>
  <c r="H109" i="28" s="1"/>
  <c r="H110" i="28" s="1"/>
  <c r="H111" i="28" s="1"/>
  <c r="H112" i="28" s="1"/>
  <c r="H113" i="28" s="1"/>
  <c r="H114" i="28" s="1"/>
  <c r="H115" i="28" s="1"/>
  <c r="H116" i="28" s="1"/>
  <c r="H117" i="28" s="1"/>
  <c r="H118" i="28" s="1"/>
  <c r="H119" i="28" s="1"/>
  <c r="H120" i="28" s="1"/>
  <c r="H121" i="28" s="1"/>
  <c r="H122" i="28" s="1"/>
  <c r="H123" i="28" s="1"/>
  <c r="H124" i="28" s="1"/>
  <c r="H125" i="28" s="1"/>
  <c r="H126" i="28" s="1"/>
  <c r="H127" i="28" s="1"/>
  <c r="H128" i="28" s="1"/>
  <c r="H129" i="28" s="1"/>
  <c r="H130" i="28" s="1"/>
  <c r="H131" i="28" s="1"/>
  <c r="H135" i="28" s="1"/>
  <c r="AD110" i="28"/>
  <c r="AF110" i="28" s="1"/>
  <c r="AG110" i="28" s="1"/>
  <c r="Z112" i="28" l="1"/>
  <c r="AA112" i="28" l="1"/>
  <c r="Z115" i="28" s="1"/>
  <c r="AA115" i="28" s="1"/>
  <c r="AC115" i="28" l="1"/>
  <c r="AD115" i="28" s="1"/>
  <c r="AB115" i="28"/>
  <c r="AB118" i="28"/>
  <c r="AC118" i="28" s="1"/>
  <c r="X141" i="28" s="1"/>
  <c r="AB112" i="28"/>
  <c r="AA119" i="28"/>
  <c r="AB119" i="28" s="1"/>
  <c r="AC119" i="28" s="1"/>
  <c r="AB120" i="28"/>
  <c r="AC120" i="28" s="1"/>
  <c r="AA121" i="28"/>
  <c r="AB121" i="28" s="1"/>
  <c r="AC121" i="28" s="1"/>
  <c r="AA122" i="28"/>
  <c r="AB122" i="28" s="1"/>
  <c r="AC122" i="28" s="1"/>
  <c r="AA123" i="28"/>
  <c r="AB123" i="28" s="1"/>
  <c r="AC123" i="28" s="1"/>
  <c r="AA124" i="28"/>
  <c r="AB124" i="28" s="1"/>
  <c r="AC124" i="28" s="1"/>
  <c r="AA125" i="28"/>
  <c r="AB125" i="28" s="1"/>
  <c r="AC125" i="28" s="1"/>
  <c r="AA126" i="28"/>
  <c r="AB126" i="28" s="1"/>
  <c r="AC126" i="28" s="1"/>
  <c r="AA127" i="28"/>
  <c r="AB127" i="28" s="1"/>
  <c r="AC127" i="28" s="1"/>
  <c r="Y141" i="28" s="1"/>
  <c r="AA128" i="28"/>
  <c r="AB128" i="28" s="1"/>
  <c r="AC128" i="28" s="1"/>
  <c r="AA129" i="28"/>
  <c r="AB129" i="28" s="1"/>
  <c r="AC129" i="28" s="1"/>
  <c r="AA130" i="28"/>
  <c r="AB130" i="28" s="1"/>
  <c r="AC130" i="28" s="1"/>
  <c r="AA131" i="28"/>
  <c r="AB131" i="28" s="1"/>
  <c r="AC131" i="28" s="1"/>
  <c r="AA132" i="28"/>
  <c r="AB132" i="28" s="1"/>
  <c r="AC132" i="28" s="1"/>
  <c r="AA133" i="28"/>
  <c r="AB133" i="28" s="1"/>
  <c r="AC133" i="28" s="1"/>
  <c r="AA134" i="28"/>
  <c r="AB134" i="28" s="1"/>
  <c r="AC134" i="28" s="1"/>
  <c r="AA135" i="28"/>
  <c r="AB135" i="28" s="1"/>
  <c r="AC135" i="28" s="1"/>
  <c r="AA136" i="28"/>
  <c r="AB136" i="28" s="1"/>
  <c r="AC136" i="28" s="1"/>
  <c r="D117" i="20" l="1"/>
  <c r="C117" i="20"/>
  <c r="E117" i="20" s="1"/>
  <c r="F117" i="20" s="1"/>
  <c r="C114" i="20"/>
  <c r="D128" i="28"/>
  <c r="E128" i="28" s="1"/>
  <c r="I128" i="28"/>
  <c r="D124" i="28"/>
  <c r="E124" i="28" s="1"/>
  <c r="I124" i="28"/>
  <c r="D113" i="28"/>
  <c r="E113" i="28" s="1"/>
  <c r="D114" i="28"/>
  <c r="E114" i="28" s="1"/>
  <c r="D112" i="28"/>
  <c r="E112" i="28" s="1"/>
  <c r="D109" i="28"/>
  <c r="E109" i="28" s="1"/>
  <c r="D110" i="28"/>
  <c r="E110" i="28" s="1"/>
  <c r="D108" i="28"/>
  <c r="E108" i="28" s="1"/>
  <c r="D105" i="28"/>
  <c r="E105" i="28" s="1"/>
  <c r="D106" i="28"/>
  <c r="E106" i="28" s="1"/>
  <c r="D107" i="28"/>
  <c r="E107" i="28" s="1"/>
  <c r="D104" i="28"/>
  <c r="E104" i="28" s="1"/>
  <c r="D97" i="28"/>
  <c r="E97" i="28" s="1"/>
  <c r="D92" i="28"/>
  <c r="E92" i="28" s="1"/>
  <c r="D91" i="28"/>
  <c r="E91" i="28" s="1"/>
  <c r="D90" i="28"/>
  <c r="E90" i="28" s="1"/>
  <c r="D76" i="28"/>
  <c r="E76" i="28" s="1"/>
  <c r="D75" i="28"/>
  <c r="E75" i="28" s="1"/>
  <c r="D74" i="28"/>
  <c r="E74" i="28" s="1"/>
  <c r="D73" i="28"/>
  <c r="E73" i="28" s="1"/>
  <c r="D72" i="28"/>
  <c r="E72" i="28" s="1"/>
  <c r="D71" i="28"/>
  <c r="E71" i="28" s="1"/>
  <c r="D70" i="28"/>
  <c r="E70" i="28" s="1"/>
  <c r="D69" i="28"/>
  <c r="E69" i="28" s="1"/>
  <c r="I70" i="28"/>
  <c r="I71" i="28"/>
  <c r="I72" i="28"/>
  <c r="I73" i="28"/>
  <c r="I74" i="28"/>
  <c r="I75" i="28"/>
  <c r="I76" i="28"/>
  <c r="I90" i="28"/>
  <c r="I91" i="28"/>
  <c r="I92" i="28"/>
  <c r="I97" i="28"/>
  <c r="I104" i="28"/>
  <c r="I105" i="28"/>
  <c r="I106" i="28"/>
  <c r="I108" i="28"/>
  <c r="I109" i="28"/>
  <c r="I110" i="28"/>
  <c r="I112" i="28"/>
  <c r="I113" i="28"/>
  <c r="I114" i="28"/>
  <c r="D68" i="28"/>
  <c r="E68" i="28" s="1"/>
  <c r="D67" i="28"/>
  <c r="E67" i="28"/>
  <c r="D66" i="28"/>
  <c r="E66" i="28" s="1"/>
  <c r="D65" i="28"/>
  <c r="E65" i="28" s="1"/>
  <c r="D64" i="28"/>
  <c r="E64" i="28" s="1"/>
  <c r="D63" i="28"/>
  <c r="E63" i="28" s="1"/>
  <c r="D62" i="28"/>
  <c r="E62" i="28" s="1"/>
  <c r="D61" i="28"/>
  <c r="E61" i="28" s="1"/>
  <c r="D60" i="28"/>
  <c r="E60" i="28" s="1"/>
  <c r="D59" i="28"/>
  <c r="E59" i="28" s="1"/>
  <c r="D58" i="28"/>
  <c r="E58" i="28" s="1"/>
  <c r="D57" i="28"/>
  <c r="E57" i="28" s="1"/>
  <c r="D56" i="28"/>
  <c r="E56" i="28" s="1"/>
  <c r="D55" i="28"/>
  <c r="E55" i="28" s="1"/>
  <c r="D54" i="28"/>
  <c r="E54" i="28" s="1"/>
  <c r="D53" i="28"/>
  <c r="E53" i="28"/>
  <c r="D52" i="28"/>
  <c r="E52" i="28" s="1"/>
  <c r="I52" i="28"/>
  <c r="I53" i="28"/>
  <c r="I54" i="28"/>
  <c r="I55" i="28"/>
  <c r="I56" i="28"/>
  <c r="I57" i="28"/>
  <c r="I58" i="28"/>
  <c r="I59" i="28"/>
  <c r="I60" i="28"/>
  <c r="I61" i="28"/>
  <c r="I62" i="28"/>
  <c r="I63" i="28"/>
  <c r="I64" i="28"/>
  <c r="I65" i="28"/>
  <c r="I66" i="28"/>
  <c r="I67" i="28"/>
  <c r="I68" i="28"/>
  <c r="I69" i="28"/>
  <c r="D51" i="28"/>
  <c r="E51" i="28" s="1"/>
  <c r="I51" i="28"/>
  <c r="D50" i="28"/>
  <c r="E50" i="28" s="1"/>
  <c r="D49" i="28"/>
  <c r="E49" i="28"/>
  <c r="D48" i="28"/>
  <c r="E48" i="28" s="1"/>
  <c r="D47" i="28"/>
  <c r="E47" i="28" s="1"/>
  <c r="D46" i="28"/>
  <c r="E46" i="28" s="1"/>
  <c r="D45" i="28"/>
  <c r="E45" i="28"/>
  <c r="D44" i="28"/>
  <c r="E44" i="28" s="1"/>
  <c r="I43" i="28"/>
  <c r="I44" i="28"/>
  <c r="I45" i="28"/>
  <c r="I46" i="28"/>
  <c r="I47" i="28"/>
  <c r="I48" i="28"/>
  <c r="I49" i="28"/>
  <c r="I50" i="28"/>
  <c r="D43" i="28"/>
  <c r="E43" i="28" s="1"/>
  <c r="D42" i="28"/>
  <c r="E42" i="28"/>
  <c r="D41" i="28"/>
  <c r="E41" i="28" s="1"/>
  <c r="D40" i="28"/>
  <c r="E40" i="28" s="1"/>
  <c r="D38" i="28"/>
  <c r="E38" i="28" s="1"/>
  <c r="D39" i="28"/>
  <c r="E39" i="28" s="1"/>
  <c r="D37" i="28"/>
  <c r="E37" i="28"/>
  <c r="D36" i="28"/>
  <c r="E36" i="28" s="1"/>
  <c r="D35" i="28"/>
  <c r="E35" i="28" s="1"/>
  <c r="D34" i="28"/>
  <c r="E34" i="28" s="1"/>
  <c r="I35" i="28"/>
  <c r="I36" i="28"/>
  <c r="I37" i="28"/>
  <c r="I38" i="28"/>
  <c r="I39" i="28"/>
  <c r="I40" i="28"/>
  <c r="I41" i="28"/>
  <c r="I42" i="28"/>
  <c r="D33" i="28"/>
  <c r="E33" i="28" s="1"/>
  <c r="I34" i="28"/>
  <c r="D32" i="28"/>
  <c r="E32" i="28" s="1"/>
  <c r="D31" i="28"/>
  <c r="E31" i="28" s="1"/>
  <c r="D30" i="28"/>
  <c r="E30" i="28" s="1"/>
  <c r="D29" i="28"/>
  <c r="E29" i="28" s="1"/>
  <c r="D28" i="28"/>
  <c r="E28" i="28" s="1"/>
  <c r="D27" i="28"/>
  <c r="E27" i="28" s="1"/>
  <c r="D26" i="28"/>
  <c r="E26" i="28" s="1"/>
  <c r="D25" i="28"/>
  <c r="E25" i="28" s="1"/>
  <c r="D23" i="28"/>
  <c r="E23" i="28" s="1"/>
  <c r="D24" i="28"/>
  <c r="E24" i="28" s="1"/>
  <c r="D22" i="28"/>
  <c r="E22" i="28" s="1"/>
  <c r="D21" i="28"/>
  <c r="E21" i="28" s="1"/>
  <c r="D20" i="28"/>
  <c r="E20" i="28" s="1"/>
  <c r="I19" i="28"/>
  <c r="I20" i="28"/>
  <c r="I21" i="28"/>
  <c r="I22" i="28"/>
  <c r="I23" i="28"/>
  <c r="I24" i="28"/>
  <c r="I25" i="28"/>
  <c r="I26" i="28"/>
  <c r="I27" i="28"/>
  <c r="I28" i="28"/>
  <c r="I29" i="28"/>
  <c r="I30" i="28"/>
  <c r="I31" i="28"/>
  <c r="I32" i="28"/>
  <c r="I33" i="28"/>
  <c r="D19" i="28"/>
  <c r="E19" i="28" s="1"/>
  <c r="D18" i="28"/>
  <c r="E18" i="28" s="1"/>
  <c r="D17" i="28"/>
  <c r="E17" i="28" s="1"/>
  <c r="D16" i="28"/>
  <c r="E16" i="28" s="1"/>
  <c r="D15" i="28"/>
  <c r="E15" i="28" s="1"/>
  <c r="D14" i="28"/>
  <c r="E14" i="28" s="1"/>
  <c r="D13" i="28"/>
  <c r="E13" i="28" s="1"/>
  <c r="D12" i="28"/>
  <c r="E12" i="28" s="1"/>
  <c r="D11" i="28"/>
  <c r="E11" i="28" s="1"/>
  <c r="D10" i="28"/>
  <c r="E10" i="28" s="1"/>
  <c r="D9" i="28"/>
  <c r="E9" i="28" s="1"/>
  <c r="D8" i="28"/>
  <c r="E8" i="28" s="1"/>
  <c r="D7" i="28"/>
  <c r="E7" i="28" s="1"/>
  <c r="D5" i="28"/>
  <c r="E5" i="28" s="1"/>
  <c r="D6" i="28"/>
  <c r="E6" i="28" s="1"/>
  <c r="I5" i="28"/>
  <c r="I6" i="28"/>
  <c r="I7" i="28"/>
  <c r="I8" i="28"/>
  <c r="I9" i="28"/>
  <c r="I10" i="28"/>
  <c r="I11" i="28"/>
  <c r="I12" i="28"/>
  <c r="I13" i="28"/>
  <c r="I14" i="28"/>
  <c r="I15" i="28"/>
  <c r="I16" i="28"/>
  <c r="I17" i="28"/>
  <c r="I18" i="28"/>
  <c r="E3" i="28"/>
  <c r="I4" i="28"/>
  <c r="D4" i="28"/>
  <c r="E4" i="28" s="1"/>
  <c r="I3" i="28"/>
  <c r="D114" i="20" l="1"/>
  <c r="F114" i="20" s="1"/>
  <c r="C82" i="21"/>
  <c r="E82" i="21" s="1"/>
  <c r="F82" i="21" s="1"/>
  <c r="C78" i="21"/>
  <c r="E78" i="21" s="1"/>
  <c r="F78" i="21" s="1"/>
  <c r="C74" i="21"/>
  <c r="E74" i="21" s="1"/>
  <c r="F74" i="21" s="1"/>
  <c r="E55" i="21"/>
  <c r="F55" i="21" s="1"/>
  <c r="L55" i="21"/>
  <c r="K55" i="21"/>
  <c r="C70" i="21"/>
  <c r="E70" i="21" s="1"/>
  <c r="F70" i="21" s="1"/>
  <c r="Q74" i="23"/>
  <c r="P74" i="23"/>
  <c r="R74" i="23" s="1"/>
  <c r="S74" i="23" s="1"/>
  <c r="Q71" i="23"/>
  <c r="P71" i="23"/>
  <c r="R71" i="23" s="1"/>
  <c r="S71" i="23" s="1"/>
  <c r="Q68" i="23"/>
  <c r="P68" i="23"/>
  <c r="R68" i="23" s="1"/>
  <c r="S68" i="23" s="1"/>
  <c r="E47" i="23"/>
  <c r="F47" i="23" s="1"/>
  <c r="L47" i="23"/>
  <c r="K47" i="23"/>
  <c r="Q65" i="23"/>
  <c r="P65" i="23"/>
  <c r="Q62" i="23"/>
  <c r="P62" i="23"/>
  <c r="P59" i="23"/>
  <c r="Q59" i="23"/>
  <c r="C120" i="22"/>
  <c r="E120" i="22" s="1"/>
  <c r="F120" i="22" s="1"/>
  <c r="C114" i="22"/>
  <c r="E114" i="22" s="1"/>
  <c r="F114" i="22" s="1"/>
  <c r="C117" i="22"/>
  <c r="E117" i="22" s="1"/>
  <c r="C111" i="22"/>
  <c r="E111" i="22" s="1"/>
  <c r="F111" i="22" s="1"/>
  <c r="C108" i="22"/>
  <c r="E108" i="22" s="1"/>
  <c r="F108" i="22" s="1"/>
  <c r="C105" i="22"/>
  <c r="E105" i="22" s="1"/>
  <c r="F105" i="22" s="1"/>
  <c r="J126" i="20" l="1"/>
  <c r="J125" i="20"/>
  <c r="J124" i="20"/>
  <c r="J128" i="20"/>
  <c r="J127" i="20"/>
  <c r="R62" i="23"/>
  <c r="S62" i="23" s="1"/>
  <c r="R65" i="23"/>
  <c r="S65" i="23" s="1"/>
  <c r="K124" i="20" l="1"/>
  <c r="M124" i="20" s="1"/>
  <c r="W65" i="23"/>
  <c r="W68" i="23"/>
  <c r="W67" i="23"/>
  <c r="W66" i="23"/>
  <c r="A3" i="27"/>
  <c r="A2" i="27"/>
  <c r="A1" i="27"/>
  <c r="E16" i="26"/>
  <c r="F16" i="26" s="1"/>
  <c r="E15" i="26"/>
  <c r="F15" i="26" s="1"/>
  <c r="E14" i="26"/>
  <c r="F14" i="26" s="1"/>
  <c r="E13" i="26"/>
  <c r="F13" i="26" s="1"/>
  <c r="L12" i="26"/>
  <c r="L13" i="26"/>
  <c r="L14" i="26"/>
  <c r="L15" i="26"/>
  <c r="L16" i="26"/>
  <c r="L17" i="26"/>
  <c r="L18" i="26"/>
  <c r="K12" i="26"/>
  <c r="K13" i="26"/>
  <c r="K14" i="26"/>
  <c r="K15" i="26"/>
  <c r="K16" i="26"/>
  <c r="K17" i="26"/>
  <c r="K18" i="26"/>
  <c r="E12" i="26"/>
  <c r="F12" i="26" s="1"/>
  <c r="E11" i="26"/>
  <c r="F11" i="26" s="1"/>
  <c r="E10" i="26"/>
  <c r="F10" i="26"/>
  <c r="E9" i="26"/>
  <c r="F9" i="26"/>
  <c r="E8" i="26"/>
  <c r="F8" i="26" s="1"/>
  <c r="E7" i="26"/>
  <c r="F7" i="26" s="1"/>
  <c r="E6" i="26"/>
  <c r="F6" i="26" s="1"/>
  <c r="L5" i="26"/>
  <c r="L6" i="26"/>
  <c r="L7" i="26"/>
  <c r="L8" i="26"/>
  <c r="L9" i="26"/>
  <c r="L10" i="26"/>
  <c r="L11" i="26"/>
  <c r="K5" i="26"/>
  <c r="K6" i="26"/>
  <c r="K7" i="26"/>
  <c r="K8" i="26"/>
  <c r="K9" i="26"/>
  <c r="K10" i="26"/>
  <c r="K11" i="26"/>
  <c r="E5" i="26"/>
  <c r="F5" i="26" s="1"/>
  <c r="L4" i="26"/>
  <c r="K4" i="26"/>
  <c r="E4" i="26"/>
  <c r="F4" i="26" s="1"/>
  <c r="L3" i="26"/>
  <c r="K3" i="26"/>
  <c r="E3" i="26"/>
  <c r="F3" i="26" s="1"/>
  <c r="N124" i="20" l="1"/>
  <c r="O124" i="20"/>
  <c r="AB63" i="23"/>
  <c r="AA63" i="23" l="1"/>
  <c r="N40" i="23"/>
  <c r="N39" i="23"/>
  <c r="J76" i="21" l="1"/>
  <c r="K80" i="21" l="1"/>
  <c r="K79" i="21"/>
  <c r="K78" i="21"/>
  <c r="K77" i="21"/>
  <c r="K76" i="21"/>
  <c r="L70" i="22"/>
  <c r="L69" i="22"/>
  <c r="L68" i="22"/>
  <c r="L67" i="22"/>
  <c r="L66" i="22"/>
  <c r="L65" i="22"/>
  <c r="L64" i="22"/>
  <c r="L63" i="22"/>
  <c r="L76" i="21" l="1"/>
  <c r="N76" i="21" s="1"/>
  <c r="P76" i="21" s="1"/>
  <c r="L61" i="22"/>
  <c r="L54" i="22"/>
  <c r="L55" i="22"/>
  <c r="L56" i="22"/>
  <c r="L57" i="22"/>
  <c r="L58" i="22"/>
  <c r="L59" i="22"/>
  <c r="L60" i="22"/>
  <c r="L62" i="22"/>
  <c r="L53" i="22"/>
  <c r="O76" i="21" l="1"/>
  <c r="E75" i="20" l="1"/>
  <c r="E74" i="20"/>
  <c r="E73" i="20"/>
  <c r="E72" i="20"/>
  <c r="E71" i="20"/>
  <c r="E70" i="20"/>
  <c r="E69" i="20"/>
  <c r="E68" i="20"/>
  <c r="E67" i="20"/>
  <c r="E66" i="20"/>
  <c r="E65" i="20"/>
  <c r="F65" i="20" s="1"/>
  <c r="E64" i="20"/>
  <c r="E63" i="20"/>
  <c r="F63" i="20" s="1"/>
  <c r="E62" i="20"/>
  <c r="I63" i="20"/>
  <c r="I64" i="20"/>
  <c r="I65" i="20"/>
  <c r="I66" i="20"/>
  <c r="I67" i="20"/>
  <c r="I68" i="20"/>
  <c r="I69" i="20"/>
  <c r="I70" i="20"/>
  <c r="I71" i="20"/>
  <c r="I72" i="20"/>
  <c r="I73" i="20"/>
  <c r="I74" i="20"/>
  <c r="I75" i="20"/>
  <c r="E61" i="20"/>
  <c r="E46" i="23"/>
  <c r="F46" i="23" s="1"/>
  <c r="E45" i="23"/>
  <c r="F45" i="23" s="1"/>
  <c r="E44" i="23"/>
  <c r="F44" i="23" s="1"/>
  <c r="E43" i="23"/>
  <c r="F43" i="23" s="1"/>
  <c r="E42" i="23"/>
  <c r="F42" i="23" s="1"/>
  <c r="E41" i="23"/>
  <c r="F41" i="23" s="1"/>
  <c r="E40" i="23"/>
  <c r="F40" i="23" s="1"/>
  <c r="E60" i="20"/>
  <c r="E59" i="20"/>
  <c r="F59" i="20" s="1"/>
  <c r="E58" i="20"/>
  <c r="E57" i="20"/>
  <c r="F57" i="20" s="1"/>
  <c r="E56" i="20"/>
  <c r="E55" i="20"/>
  <c r="E54" i="20"/>
  <c r="E53" i="20"/>
  <c r="F53" i="20" s="1"/>
  <c r="E52" i="20"/>
  <c r="E51" i="20"/>
  <c r="F51" i="20" s="1"/>
  <c r="E50" i="20"/>
  <c r="I50" i="20"/>
  <c r="I51" i="20"/>
  <c r="I52" i="20"/>
  <c r="I53" i="20"/>
  <c r="I54" i="20"/>
  <c r="I55" i="20"/>
  <c r="I56" i="20"/>
  <c r="I57" i="20"/>
  <c r="I58" i="20"/>
  <c r="I59" i="20"/>
  <c r="I60" i="20"/>
  <c r="I61" i="20"/>
  <c r="I62" i="20"/>
  <c r="E49" i="20"/>
  <c r="I49" i="20"/>
  <c r="M45" i="22" l="1"/>
  <c r="L45" i="22"/>
  <c r="F61" i="20"/>
  <c r="F55" i="20"/>
  <c r="F75" i="20"/>
  <c r="F60" i="20"/>
  <c r="F66" i="20"/>
  <c r="F70" i="20"/>
  <c r="F74" i="20"/>
  <c r="F50" i="20"/>
  <c r="F54" i="20"/>
  <c r="F58" i="20"/>
  <c r="F64" i="20"/>
  <c r="F67" i="20"/>
  <c r="F71" i="20"/>
  <c r="F62" i="20"/>
  <c r="F68" i="20"/>
  <c r="F72" i="20"/>
  <c r="F49" i="20"/>
  <c r="F52" i="20"/>
  <c r="F56" i="20"/>
  <c r="F69" i="20"/>
  <c r="F73" i="20"/>
  <c r="N45" i="22" l="1"/>
  <c r="E39" i="23"/>
  <c r="F39" i="23" s="1"/>
  <c r="O45" i="22" l="1"/>
  <c r="P45" i="22"/>
  <c r="E38" i="23"/>
  <c r="F38" i="23" s="1"/>
  <c r="L40" i="23"/>
  <c r="L41" i="23"/>
  <c r="L42" i="23"/>
  <c r="L43" i="23"/>
  <c r="L44" i="23"/>
  <c r="L45" i="23"/>
  <c r="L46" i="23"/>
  <c r="K40" i="23"/>
  <c r="K41" i="23"/>
  <c r="K42" i="23"/>
  <c r="K43" i="23"/>
  <c r="K44" i="23"/>
  <c r="K45" i="23"/>
  <c r="K46" i="23"/>
  <c r="E37" i="23"/>
  <c r="F37" i="23" s="1"/>
  <c r="E36" i="23"/>
  <c r="F36" i="23" s="1"/>
  <c r="E35" i="23"/>
  <c r="F35" i="23" s="1"/>
  <c r="E34" i="23"/>
  <c r="F34" i="23" s="1"/>
  <c r="E33" i="23"/>
  <c r="F33" i="23" s="1"/>
  <c r="E32" i="23"/>
  <c r="F32" i="23" s="1"/>
  <c r="E31" i="23"/>
  <c r="F31" i="23" s="1"/>
  <c r="E30" i="23"/>
  <c r="F30" i="23" s="1"/>
  <c r="E29" i="23"/>
  <c r="F29" i="23" s="1"/>
  <c r="E28" i="23"/>
  <c r="F28" i="23" s="1"/>
  <c r="E27" i="23"/>
  <c r="F27" i="23" s="1"/>
  <c r="E26" i="23"/>
  <c r="F26" i="23" s="1"/>
  <c r="E25" i="23"/>
  <c r="F25" i="23" s="1"/>
  <c r="K24" i="23"/>
  <c r="K25" i="23"/>
  <c r="K26" i="23"/>
  <c r="K27" i="23"/>
  <c r="K28" i="23"/>
  <c r="K29" i="23"/>
  <c r="K30" i="23"/>
  <c r="K31" i="23"/>
  <c r="K32" i="23"/>
  <c r="K33" i="23"/>
  <c r="K34" i="23"/>
  <c r="K35" i="23"/>
  <c r="K36" i="23"/>
  <c r="K37" i="23"/>
  <c r="K38" i="23"/>
  <c r="K39" i="23"/>
  <c r="L24" i="23"/>
  <c r="L25" i="23"/>
  <c r="L26" i="23"/>
  <c r="L27" i="23"/>
  <c r="L28" i="23"/>
  <c r="L29" i="23"/>
  <c r="L30" i="23"/>
  <c r="L31" i="23"/>
  <c r="L32" i="23"/>
  <c r="L33" i="23"/>
  <c r="L34" i="23"/>
  <c r="L35" i="23"/>
  <c r="L36" i="23"/>
  <c r="L37" i="23"/>
  <c r="L38" i="23"/>
  <c r="L39" i="23"/>
  <c r="E24" i="23"/>
  <c r="F24" i="23" s="1"/>
  <c r="E23" i="23"/>
  <c r="F23" i="23" s="1"/>
  <c r="K23" i="23"/>
  <c r="L23" i="23"/>
  <c r="E22" i="23"/>
  <c r="F22" i="23" s="1"/>
  <c r="E21" i="23"/>
  <c r="F21" i="23" s="1"/>
  <c r="E20" i="23"/>
  <c r="F20" i="23" s="1"/>
  <c r="E19" i="23"/>
  <c r="F19" i="23" s="1"/>
  <c r="E18" i="23"/>
  <c r="F18" i="23" s="1"/>
  <c r="E17" i="23"/>
  <c r="F17" i="23" s="1"/>
  <c r="L18" i="23"/>
  <c r="L19" i="23"/>
  <c r="L20" i="23"/>
  <c r="L21" i="23"/>
  <c r="L22" i="23"/>
  <c r="K18" i="23"/>
  <c r="K19" i="23"/>
  <c r="K20" i="23"/>
  <c r="K21" i="23"/>
  <c r="K22" i="23"/>
  <c r="E16" i="23"/>
  <c r="F16" i="23" s="1"/>
  <c r="E15" i="23"/>
  <c r="F15" i="23" s="1"/>
  <c r="E14" i="23"/>
  <c r="F14" i="23" s="1"/>
  <c r="E13" i="23"/>
  <c r="F13" i="23" s="1"/>
  <c r="E12" i="23"/>
  <c r="F12" i="23" s="1"/>
  <c r="E11" i="23"/>
  <c r="F11" i="23" s="1"/>
  <c r="E10" i="23"/>
  <c r="F10" i="23" s="1"/>
  <c r="E9" i="23"/>
  <c r="F9" i="23" s="1"/>
  <c r="E8" i="23"/>
  <c r="F8" i="23" s="1"/>
  <c r="E7" i="23"/>
  <c r="F7" i="23" s="1"/>
  <c r="E6" i="23"/>
  <c r="F6" i="23" s="1"/>
  <c r="E5" i="23"/>
  <c r="F5" i="23" s="1"/>
  <c r="L17" i="23"/>
  <c r="L5" i="23"/>
  <c r="L6" i="23"/>
  <c r="L7" i="23"/>
  <c r="L8" i="23"/>
  <c r="L9" i="23"/>
  <c r="L10" i="23"/>
  <c r="L11" i="23"/>
  <c r="L12" i="23"/>
  <c r="L13" i="23"/>
  <c r="L14" i="23"/>
  <c r="L15" i="23"/>
  <c r="L16" i="23"/>
  <c r="K5" i="23"/>
  <c r="K6" i="23"/>
  <c r="K7" i="23"/>
  <c r="K8" i="23"/>
  <c r="K9" i="23"/>
  <c r="K10" i="23"/>
  <c r="K11" i="23"/>
  <c r="K12" i="23"/>
  <c r="K13" i="23"/>
  <c r="K14" i="23"/>
  <c r="K15" i="23"/>
  <c r="K16" i="23"/>
  <c r="K17" i="23"/>
  <c r="L4" i="23"/>
  <c r="K4" i="23"/>
  <c r="E4" i="23"/>
  <c r="F4" i="23" s="1"/>
  <c r="L3" i="23"/>
  <c r="K3" i="23"/>
  <c r="E3" i="23"/>
  <c r="F3" i="23" s="1"/>
  <c r="Q45" i="22" l="1"/>
  <c r="L47" i="22" s="1"/>
  <c r="D102" i="22"/>
  <c r="H108" i="22" s="1"/>
  <c r="D87" i="22"/>
  <c r="E87" i="22" s="1"/>
  <c r="D86" i="22"/>
  <c r="E86" i="22" s="1"/>
  <c r="D85" i="22"/>
  <c r="E85" i="22" s="1"/>
  <c r="D84" i="22"/>
  <c r="E84" i="22" s="1"/>
  <c r="D83" i="22"/>
  <c r="E83" i="22" s="1"/>
  <c r="D82" i="22"/>
  <c r="E82" i="22" s="1"/>
  <c r="D81" i="22"/>
  <c r="E81" i="22" s="1"/>
  <c r="D80" i="22"/>
  <c r="E80" i="22" s="1"/>
  <c r="D79" i="22"/>
  <c r="E79" i="22" s="1"/>
  <c r="D78" i="22"/>
  <c r="E78" i="22" s="1"/>
  <c r="D77" i="22"/>
  <c r="E77" i="22" s="1"/>
  <c r="D76" i="22"/>
  <c r="E76" i="22" s="1"/>
  <c r="D75" i="22"/>
  <c r="E75" i="22" s="1"/>
  <c r="I76" i="22"/>
  <c r="I77" i="22"/>
  <c r="I78" i="22"/>
  <c r="I79" i="22"/>
  <c r="I80" i="22"/>
  <c r="I81" i="22"/>
  <c r="I82" i="22"/>
  <c r="I83" i="22"/>
  <c r="I84" i="22"/>
  <c r="I85" i="22"/>
  <c r="I86" i="22"/>
  <c r="I87" i="22"/>
  <c r="I75" i="22"/>
  <c r="D2" i="22"/>
  <c r="D71" i="22"/>
  <c r="E71" i="22" s="1"/>
  <c r="D72" i="22"/>
  <c r="E72" i="22" s="1"/>
  <c r="D73" i="22"/>
  <c r="E73" i="22" s="1"/>
  <c r="D74" i="22"/>
  <c r="E74" i="22" s="1"/>
  <c r="I70" i="22"/>
  <c r="I71" i="22"/>
  <c r="I72" i="22"/>
  <c r="I73" i="22"/>
  <c r="I74" i="22"/>
  <c r="D70" i="22"/>
  <c r="E70" i="22" s="1"/>
  <c r="D69" i="22"/>
  <c r="E69" i="22" s="1"/>
  <c r="I69" i="22"/>
  <c r="D64" i="22"/>
  <c r="E64" i="22" s="1"/>
  <c r="D65" i="22"/>
  <c r="E65" i="22" s="1"/>
  <c r="D66" i="22"/>
  <c r="E66" i="22" s="1"/>
  <c r="D67" i="22"/>
  <c r="E67" i="22" s="1"/>
  <c r="D68" i="22"/>
  <c r="E68" i="22" s="1"/>
  <c r="I68" i="22"/>
  <c r="D63" i="22"/>
  <c r="E63" i="22" s="1"/>
  <c r="I67" i="22"/>
  <c r="I62" i="22"/>
  <c r="I63" i="22"/>
  <c r="I64" i="22"/>
  <c r="I65" i="22"/>
  <c r="I66" i="22"/>
  <c r="D62" i="22"/>
  <c r="E62" i="22" s="1"/>
  <c r="I58" i="22"/>
  <c r="I59" i="22"/>
  <c r="I60" i="22"/>
  <c r="I61" i="22"/>
  <c r="D60" i="22"/>
  <c r="E60" i="22" s="1"/>
  <c r="D61" i="22"/>
  <c r="E61" i="22" s="1"/>
  <c r="D59" i="22"/>
  <c r="E59" i="22" s="1"/>
  <c r="D58" i="22"/>
  <c r="E58" i="22" s="1"/>
  <c r="D57" i="22"/>
  <c r="E57" i="22" s="1"/>
  <c r="I57" i="22"/>
  <c r="I56" i="22"/>
  <c r="D56" i="22"/>
  <c r="E56" i="22" s="1"/>
  <c r="D55" i="22"/>
  <c r="E55" i="22" s="1"/>
  <c r="I55" i="22"/>
  <c r="I53" i="22"/>
  <c r="I54" i="22"/>
  <c r="D53" i="22"/>
  <c r="E53" i="22" s="1"/>
  <c r="D54" i="22"/>
  <c r="E54" i="22" s="1"/>
  <c r="D49" i="22"/>
  <c r="E49" i="22" s="1"/>
  <c r="D50" i="22"/>
  <c r="E50" i="22" s="1"/>
  <c r="D51" i="22"/>
  <c r="E51" i="22" s="1"/>
  <c r="D52" i="22"/>
  <c r="E52" i="22" s="1"/>
  <c r="I52" i="22"/>
  <c r="D48" i="22"/>
  <c r="E48" i="22" s="1"/>
  <c r="D45" i="22"/>
  <c r="E45" i="22" s="1"/>
  <c r="D46" i="22"/>
  <c r="E46" i="22" s="1"/>
  <c r="D47" i="22"/>
  <c r="E47" i="22" s="1"/>
  <c r="D44" i="22"/>
  <c r="E44" i="22" s="1"/>
  <c r="I43" i="22"/>
  <c r="I44" i="22"/>
  <c r="I45" i="22"/>
  <c r="I46" i="22"/>
  <c r="I47" i="22"/>
  <c r="I48" i="22"/>
  <c r="I49" i="22"/>
  <c r="I50" i="22"/>
  <c r="I51" i="22"/>
  <c r="D43" i="22"/>
  <c r="E43" i="22" s="1"/>
  <c r="D42" i="22"/>
  <c r="E42" i="22" s="1"/>
  <c r="I42" i="22"/>
  <c r="D41" i="22"/>
  <c r="E41" i="22" s="1"/>
  <c r="I41" i="22"/>
  <c r="D40" i="22"/>
  <c r="E40" i="22" s="1"/>
  <c r="I40" i="22"/>
  <c r="D39" i="22"/>
  <c r="E39" i="22" s="1"/>
  <c r="D38" i="22"/>
  <c r="E38" i="22" s="1"/>
  <c r="D37" i="22"/>
  <c r="E37" i="22" s="1"/>
  <c r="D36" i="22"/>
  <c r="E36" i="22" s="1"/>
  <c r="D35" i="22"/>
  <c r="E35" i="22" s="1"/>
  <c r="D34" i="22"/>
  <c r="E34" i="22" s="1"/>
  <c r="D33" i="22"/>
  <c r="E33" i="22" s="1"/>
  <c r="D32" i="22"/>
  <c r="E32" i="22" s="1"/>
  <c r="I34" i="22"/>
  <c r="I35" i="22"/>
  <c r="I36" i="22"/>
  <c r="I37" i="22"/>
  <c r="I38" i="22"/>
  <c r="I39" i="22"/>
  <c r="D31" i="22"/>
  <c r="E31" i="22" s="1"/>
  <c r="D30" i="22"/>
  <c r="E30" i="22" s="1"/>
  <c r="D29" i="22"/>
  <c r="E29" i="22" s="1"/>
  <c r="D28" i="22"/>
  <c r="E28" i="22" s="1"/>
  <c r="D27" i="22"/>
  <c r="E27" i="22" s="1"/>
  <c r="D26" i="22"/>
  <c r="E26" i="22" s="1"/>
  <c r="D25" i="22"/>
  <c r="E25" i="22" s="1"/>
  <c r="D24" i="22"/>
  <c r="E24" i="22" s="1"/>
  <c r="I26" i="22"/>
  <c r="I27" i="22"/>
  <c r="I28" i="22"/>
  <c r="I29" i="22"/>
  <c r="I30" i="22"/>
  <c r="I31" i="22"/>
  <c r="I32" i="22"/>
  <c r="I33" i="22"/>
  <c r="D23" i="22"/>
  <c r="E23" i="22" s="1"/>
  <c r="D22" i="22"/>
  <c r="E22" i="22" s="1"/>
  <c r="D21" i="22"/>
  <c r="E21" i="22" s="1"/>
  <c r="D20" i="22"/>
  <c r="E20" i="22" s="1"/>
  <c r="I24" i="22"/>
  <c r="I25" i="22"/>
  <c r="D19" i="22"/>
  <c r="E19" i="22" s="1"/>
  <c r="D18" i="22"/>
  <c r="E18" i="22" s="1"/>
  <c r="D17" i="22"/>
  <c r="E17" i="22" s="1"/>
  <c r="D16" i="22"/>
  <c r="E16" i="22" s="1"/>
  <c r="D15" i="22"/>
  <c r="E15" i="22" s="1"/>
  <c r="D14" i="22"/>
  <c r="E14" i="22" s="1"/>
  <c r="I17" i="22"/>
  <c r="I18" i="22"/>
  <c r="I19" i="22"/>
  <c r="I20" i="22"/>
  <c r="I21" i="22"/>
  <c r="I22" i="22"/>
  <c r="I23" i="22"/>
  <c r="D13" i="22"/>
  <c r="E13" i="22" s="1"/>
  <c r="D12" i="22"/>
  <c r="E12" i="22" s="1"/>
  <c r="D10" i="22"/>
  <c r="E10" i="22" s="1"/>
  <c r="D9" i="22"/>
  <c r="E9" i="22" s="1"/>
  <c r="I9" i="22"/>
  <c r="I10" i="22"/>
  <c r="I12" i="22"/>
  <c r="I13" i="22"/>
  <c r="I14" i="22"/>
  <c r="I15" i="22"/>
  <c r="I16" i="22"/>
  <c r="D8" i="22"/>
  <c r="E8" i="22" s="1"/>
  <c r="D7" i="22"/>
  <c r="E7" i="22" s="1"/>
  <c r="D6" i="22"/>
  <c r="E6" i="22" s="1"/>
  <c r="D5" i="22"/>
  <c r="E5" i="22" s="1"/>
  <c r="I5" i="22"/>
  <c r="I6" i="22"/>
  <c r="I7" i="22"/>
  <c r="I8" i="22"/>
  <c r="K47" i="22" l="1"/>
  <c r="M47" i="22" s="1"/>
  <c r="N47" i="22" s="1"/>
  <c r="I109" i="22"/>
  <c r="I110" i="22"/>
  <c r="I113" i="22"/>
  <c r="I112" i="22"/>
  <c r="I111" i="22"/>
  <c r="O47" i="22" l="1"/>
  <c r="P47" i="22" s="1"/>
  <c r="K50" i="22" s="1"/>
  <c r="D3" i="22"/>
  <c r="E3" i="22" s="1"/>
  <c r="I3" i="22"/>
  <c r="D4" i="22"/>
  <c r="E4" i="22" s="1"/>
  <c r="I4" i="22"/>
  <c r="I2" i="22"/>
  <c r="E2" i="22"/>
  <c r="P70" i="22" l="1"/>
  <c r="M56" i="22"/>
  <c r="N56" i="22" s="1"/>
  <c r="M68" i="22"/>
  <c r="N68" i="22" s="1"/>
  <c r="Q47" i="22"/>
  <c r="M108" i="22"/>
  <c r="N108" i="22"/>
  <c r="M63" i="22" l="1"/>
  <c r="N63" i="22" s="1"/>
  <c r="M65" i="22"/>
  <c r="N65" i="22" s="1"/>
  <c r="M64" i="22"/>
  <c r="N64" i="22" s="1"/>
  <c r="M53" i="22"/>
  <c r="N53" i="22" s="1"/>
  <c r="M57" i="22"/>
  <c r="N57" i="22" s="1"/>
  <c r="M54" i="22"/>
  <c r="N54" i="22" s="1"/>
  <c r="M61" i="22"/>
  <c r="N61" i="22" s="1"/>
  <c r="M50" i="22"/>
  <c r="M74" i="22"/>
  <c r="N74" i="22" s="1"/>
  <c r="M75" i="22"/>
  <c r="N75" i="22" s="1"/>
  <c r="M70" i="22"/>
  <c r="N70" i="22" s="1"/>
  <c r="M60" i="22"/>
  <c r="M66" i="22"/>
  <c r="N66" i="22" s="1"/>
  <c r="M59" i="22"/>
  <c r="N59" i="22" s="1"/>
  <c r="M67" i="22"/>
  <c r="N67" i="22" s="1"/>
  <c r="M62" i="22"/>
  <c r="N62" i="22" s="1"/>
  <c r="M55" i="22"/>
  <c r="N55" i="22" s="1"/>
  <c r="M69" i="22"/>
  <c r="N69" i="22" s="1"/>
  <c r="M73" i="22"/>
  <c r="N73" i="22" s="1"/>
  <c r="M58" i="22"/>
  <c r="N58" i="22" s="1"/>
  <c r="M71" i="22"/>
  <c r="N71" i="22" s="1"/>
  <c r="M72" i="22"/>
  <c r="N72" i="22" s="1"/>
  <c r="Q70" i="22"/>
  <c r="L50" i="22"/>
  <c r="E48" i="21"/>
  <c r="F48" i="21" s="1"/>
  <c r="E47" i="21"/>
  <c r="F47" i="21" s="1"/>
  <c r="E46" i="21"/>
  <c r="F46" i="21" s="1"/>
  <c r="L47" i="21"/>
  <c r="L48" i="21"/>
  <c r="K47" i="21"/>
  <c r="K48" i="21"/>
  <c r="E45" i="21"/>
  <c r="F45" i="21" s="1"/>
  <c r="E44" i="21"/>
  <c r="F44" i="21" s="1"/>
  <c r="E43" i="21"/>
  <c r="F43" i="21" s="1"/>
  <c r="E42" i="21"/>
  <c r="F42" i="21" s="1"/>
  <c r="E41" i="21"/>
  <c r="F41" i="21" s="1"/>
  <c r="J40" i="21"/>
  <c r="E40" i="21"/>
  <c r="F40" i="21" s="1"/>
  <c r="E39" i="21"/>
  <c r="F39" i="21" s="1"/>
  <c r="E38" i="21"/>
  <c r="F38" i="21" s="1"/>
  <c r="E37" i="21"/>
  <c r="F37" i="21" s="1"/>
  <c r="E36" i="21"/>
  <c r="F36" i="21" s="1"/>
  <c r="E35" i="21"/>
  <c r="F35" i="21" s="1"/>
  <c r="E34" i="21"/>
  <c r="F34" i="21" s="1"/>
  <c r="E33" i="21"/>
  <c r="F33" i="21" s="1"/>
  <c r="J30" i="21"/>
  <c r="J31" i="21" s="1"/>
  <c r="J32" i="21" s="1"/>
  <c r="E32" i="21"/>
  <c r="F32" i="21" s="1"/>
  <c r="E31" i="21"/>
  <c r="F31" i="21" s="1"/>
  <c r="J28" i="21"/>
  <c r="L43" i="21"/>
  <c r="L44" i="21"/>
  <c r="L45" i="21"/>
  <c r="L46" i="21"/>
  <c r="K43" i="21"/>
  <c r="K44" i="21"/>
  <c r="K45" i="21"/>
  <c r="K46" i="21"/>
  <c r="K30" i="21"/>
  <c r="K31" i="21"/>
  <c r="K32" i="21"/>
  <c r="K33" i="21"/>
  <c r="K34" i="21"/>
  <c r="K35" i="21"/>
  <c r="K36" i="21"/>
  <c r="K37" i="21"/>
  <c r="K38" i="21"/>
  <c r="K39" i="21"/>
  <c r="K40" i="21"/>
  <c r="K41" i="21"/>
  <c r="K42" i="21"/>
  <c r="L41" i="21"/>
  <c r="L42" i="21"/>
  <c r="L30" i="21"/>
  <c r="L31" i="21"/>
  <c r="L32" i="21"/>
  <c r="L33" i="21"/>
  <c r="L34" i="21"/>
  <c r="L35" i="21"/>
  <c r="L36" i="21"/>
  <c r="L37" i="21"/>
  <c r="L38" i="21"/>
  <c r="L39" i="21"/>
  <c r="L40" i="21"/>
  <c r="E30" i="21"/>
  <c r="F30" i="21" s="1"/>
  <c r="E29" i="21"/>
  <c r="F29" i="21" s="1"/>
  <c r="E28" i="21"/>
  <c r="F28" i="21" s="1"/>
  <c r="K25" i="21"/>
  <c r="K6" i="21"/>
  <c r="J26" i="21"/>
  <c r="J25" i="21"/>
  <c r="E27" i="21"/>
  <c r="F27" i="21" s="1"/>
  <c r="E26" i="21"/>
  <c r="F26" i="21"/>
  <c r="E25" i="21"/>
  <c r="F25" i="21" s="1"/>
  <c r="E24" i="21"/>
  <c r="F24" i="21" s="1"/>
  <c r="E23" i="21"/>
  <c r="F23" i="21" s="1"/>
  <c r="L24" i="21"/>
  <c r="L25" i="21"/>
  <c r="L26" i="21"/>
  <c r="L27" i="21"/>
  <c r="L28" i="21"/>
  <c r="L29" i="21"/>
  <c r="K24" i="21"/>
  <c r="K26" i="21"/>
  <c r="K27" i="21"/>
  <c r="K28" i="21"/>
  <c r="K29" i="21"/>
  <c r="E22" i="21"/>
  <c r="F22" i="21" s="1"/>
  <c r="E21" i="21"/>
  <c r="F21" i="21" s="1"/>
  <c r="E20" i="21"/>
  <c r="F20" i="21" s="1"/>
  <c r="L21" i="21"/>
  <c r="L22" i="21"/>
  <c r="L23" i="21"/>
  <c r="K21" i="21"/>
  <c r="K22" i="21"/>
  <c r="K23" i="21"/>
  <c r="E19" i="21"/>
  <c r="F19" i="21" s="1"/>
  <c r="E18" i="21"/>
  <c r="F18" i="21" s="1"/>
  <c r="E17" i="21"/>
  <c r="F17" i="21" s="1"/>
  <c r="J16" i="21"/>
  <c r="E16" i="21"/>
  <c r="F16" i="21" s="1"/>
  <c r="E15" i="21"/>
  <c r="F15" i="21" s="1"/>
  <c r="E14" i="21"/>
  <c r="F14" i="21" s="1"/>
  <c r="E13" i="21"/>
  <c r="F13" i="21" s="1"/>
  <c r="J12" i="21"/>
  <c r="J13" i="21" s="1"/>
  <c r="J11" i="21"/>
  <c r="E12" i="21"/>
  <c r="F12" i="21" s="1"/>
  <c r="E11" i="21"/>
  <c r="F11" i="21" s="1"/>
  <c r="E10" i="21"/>
  <c r="F10" i="21" s="1"/>
  <c r="E9" i="21"/>
  <c r="F9" i="21" s="1"/>
  <c r="E8" i="21"/>
  <c r="F8" i="21" s="1"/>
  <c r="E7" i="21"/>
  <c r="F7" i="21" s="1"/>
  <c r="E6" i="21"/>
  <c r="F6" i="21" s="1"/>
  <c r="F5" i="21"/>
  <c r="E4" i="21"/>
  <c r="F4" i="21" s="1"/>
  <c r="L4" i="21"/>
  <c r="L5" i="21"/>
  <c r="L6" i="21"/>
  <c r="L7" i="21"/>
  <c r="L8" i="21"/>
  <c r="L9" i="21"/>
  <c r="L10" i="21"/>
  <c r="L11" i="21"/>
  <c r="L12" i="21"/>
  <c r="L13" i="21"/>
  <c r="L14" i="21"/>
  <c r="L15" i="21"/>
  <c r="L16" i="21"/>
  <c r="L17" i="21"/>
  <c r="L18" i="21"/>
  <c r="L19" i="21"/>
  <c r="L20" i="21"/>
  <c r="K4" i="21"/>
  <c r="K5" i="21"/>
  <c r="K7" i="21"/>
  <c r="K8" i="21"/>
  <c r="K9" i="21"/>
  <c r="K10" i="21"/>
  <c r="K11" i="21"/>
  <c r="K12" i="21"/>
  <c r="K13" i="21"/>
  <c r="K14" i="21"/>
  <c r="K15" i="21"/>
  <c r="K16" i="21"/>
  <c r="K17" i="21"/>
  <c r="K18" i="21"/>
  <c r="K19" i="21"/>
  <c r="K20" i="21"/>
  <c r="L3" i="21"/>
  <c r="F3" i="21"/>
  <c r="M80" i="19" l="1"/>
  <c r="S90" i="19" l="1"/>
  <c r="S88" i="19"/>
  <c r="S91" i="19"/>
  <c r="S89" i="19"/>
  <c r="S87" i="19"/>
  <c r="T86" i="19" l="1"/>
  <c r="V86" i="19" s="1"/>
  <c r="I17" i="18"/>
  <c r="X86" i="19" l="1"/>
  <c r="W86" i="19"/>
  <c r="AB47" i="19" a="1"/>
  <c r="AB47" i="19" s="1"/>
  <c r="AB49" i="19" l="1"/>
  <c r="AB51" i="19"/>
  <c r="AB50" i="19"/>
  <c r="AB48" i="19"/>
  <c r="AB3" i="19" l="1"/>
  <c r="AC3" i="19" s="1"/>
  <c r="U5" i="18" l="1"/>
  <c r="U9" i="18"/>
  <c r="E3" i="17"/>
  <c r="AB3" i="18" l="1"/>
  <c r="AB8" i="18"/>
  <c r="AB13" i="18"/>
  <c r="AB17" i="18"/>
  <c r="AB4" i="18"/>
  <c r="AB10" i="18"/>
  <c r="AB14" i="18"/>
  <c r="AB2" i="18"/>
  <c r="AB9" i="18"/>
  <c r="AB5" i="18"/>
  <c r="AB11" i="18"/>
  <c r="AB15" i="18"/>
  <c r="AB7" i="18"/>
  <c r="AB12" i="18"/>
  <c r="AB16" i="18"/>
  <c r="U14" i="18" l="1"/>
  <c r="U10" i="18"/>
  <c r="U17" i="18"/>
  <c r="U13" i="18"/>
  <c r="U8" i="18"/>
  <c r="U16" i="18"/>
  <c r="U12" i="18"/>
  <c r="U7" i="18"/>
  <c r="U15" i="18"/>
  <c r="U11" i="18"/>
  <c r="U6" i="18"/>
  <c r="AD2" i="18"/>
  <c r="AE2" i="18" s="1"/>
  <c r="V2" i="18" l="1"/>
  <c r="W2" i="18" s="1"/>
  <c r="Y2" i="18" l="1"/>
  <c r="I20" i="18"/>
  <c r="J45" i="18" l="1"/>
  <c r="AA2" i="18"/>
  <c r="Z2" i="18"/>
  <c r="J37" i="18"/>
  <c r="J41" i="18"/>
  <c r="J42" i="18"/>
  <c r="J38" i="18"/>
  <c r="J43" i="18"/>
  <c r="J39" i="18"/>
  <c r="J44" i="18"/>
  <c r="J36" i="18"/>
  <c r="AF7" i="18" l="1"/>
  <c r="AK2" i="18"/>
  <c r="AL6" i="18"/>
  <c r="AL15" i="18"/>
  <c r="AL11" i="18"/>
  <c r="AL12" i="18"/>
  <c r="AL4" i="18"/>
  <c r="AL7" i="18"/>
  <c r="AL16" i="18"/>
  <c r="AL10" i="18"/>
  <c r="AL8" i="18"/>
  <c r="AL3" i="18"/>
  <c r="AL5" i="18"/>
  <c r="AL9" i="18"/>
  <c r="AL13" i="18"/>
  <c r="AL14" i="18"/>
  <c r="W21" i="18" a="1"/>
  <c r="AF4" i="18"/>
  <c r="AF8" i="18"/>
  <c r="AF12" i="18"/>
  <c r="AF2" i="18"/>
  <c r="AF5" i="18"/>
  <c r="AF9" i="18"/>
  <c r="AF13" i="18"/>
  <c r="AF16" i="18"/>
  <c r="AF6" i="18"/>
  <c r="AF10" i="18"/>
  <c r="AF14" i="18"/>
  <c r="AF3" i="18"/>
  <c r="AF11" i="18"/>
  <c r="AF15" i="18"/>
  <c r="AM2" i="18" l="1"/>
  <c r="AN2" i="18" s="1"/>
  <c r="AH2" i="18"/>
  <c r="AJ2" i="18" s="1"/>
  <c r="W21" i="18"/>
  <c r="W25" i="18"/>
  <c r="W24" i="18"/>
  <c r="X25" i="18"/>
  <c r="W22" i="18"/>
  <c r="W23" i="18"/>
  <c r="X24" i="18"/>
  <c r="X22" i="18"/>
  <c r="X23" i="18"/>
  <c r="X21" i="18"/>
  <c r="I48" i="20"/>
  <c r="E48" i="20"/>
  <c r="I47" i="20"/>
  <c r="E47" i="20"/>
  <c r="F47" i="20" s="1"/>
  <c r="I46" i="20"/>
  <c r="E46" i="20"/>
  <c r="I45" i="20"/>
  <c r="E45" i="20"/>
  <c r="I44" i="20"/>
  <c r="E44" i="20"/>
  <c r="I43" i="20"/>
  <c r="E43" i="20"/>
  <c r="I42" i="20"/>
  <c r="E42" i="20"/>
  <c r="I41" i="20"/>
  <c r="E41" i="20"/>
  <c r="I40" i="20"/>
  <c r="E40" i="20"/>
  <c r="I39" i="20"/>
  <c r="E39" i="20"/>
  <c r="I38" i="20"/>
  <c r="E38" i="20"/>
  <c r="I37" i="20"/>
  <c r="E37" i="20"/>
  <c r="I36" i="20"/>
  <c r="E36" i="20"/>
  <c r="I35" i="20"/>
  <c r="E35" i="20"/>
  <c r="I34" i="20"/>
  <c r="E34" i="20"/>
  <c r="F34" i="20" s="1"/>
  <c r="I33" i="20"/>
  <c r="E33" i="20"/>
  <c r="I32" i="20"/>
  <c r="E32" i="20"/>
  <c r="I31" i="20"/>
  <c r="E31" i="20"/>
  <c r="E30" i="20"/>
  <c r="I30" i="20"/>
  <c r="I29" i="20"/>
  <c r="E29" i="20"/>
  <c r="I28" i="20"/>
  <c r="E28" i="20"/>
  <c r="I27" i="20"/>
  <c r="E27" i="20"/>
  <c r="I26" i="20"/>
  <c r="E26" i="20"/>
  <c r="I25" i="20"/>
  <c r="E25" i="20"/>
  <c r="I24" i="20"/>
  <c r="E24" i="20"/>
  <c r="F24" i="20" s="1"/>
  <c r="I23" i="20"/>
  <c r="E23" i="20"/>
  <c r="I22" i="20"/>
  <c r="E22" i="20"/>
  <c r="H21" i="20"/>
  <c r="H22" i="20" s="1"/>
  <c r="H23" i="20" s="1"/>
  <c r="H24" i="20" s="1"/>
  <c r="H25" i="20" s="1"/>
  <c r="H26" i="20" s="1"/>
  <c r="H27" i="20" s="1"/>
  <c r="H28" i="20" s="1"/>
  <c r="H29" i="20" s="1"/>
  <c r="H30" i="20" s="1"/>
  <c r="H31" i="20" s="1"/>
  <c r="H32" i="20" s="1"/>
  <c r="H33" i="20" s="1"/>
  <c r="H34" i="20" s="1"/>
  <c r="H35" i="20" s="1"/>
  <c r="H36" i="20" s="1"/>
  <c r="H37" i="20" s="1"/>
  <c r="H38" i="20" s="1"/>
  <c r="H39" i="20" s="1"/>
  <c r="H40" i="20" s="1"/>
  <c r="H41" i="20" s="1"/>
  <c r="H42" i="20" s="1"/>
  <c r="H43" i="20" s="1"/>
  <c r="H44" i="20" s="1"/>
  <c r="H45" i="20" s="1"/>
  <c r="H46" i="20" s="1"/>
  <c r="H47" i="20" s="1"/>
  <c r="H48" i="20" s="1"/>
  <c r="I21" i="20"/>
  <c r="E21" i="20"/>
  <c r="H20" i="20"/>
  <c r="E20" i="20"/>
  <c r="I20" i="20"/>
  <c r="I19" i="20"/>
  <c r="E19" i="20"/>
  <c r="F19" i="20" s="1"/>
  <c r="H18" i="20"/>
  <c r="I18" i="20"/>
  <c r="E18" i="20"/>
  <c r="I17" i="20"/>
  <c r="E17" i="20"/>
  <c r="I16" i="20"/>
  <c r="E16" i="20"/>
  <c r="I15" i="20"/>
  <c r="E15" i="20"/>
  <c r="F15" i="20" s="1"/>
  <c r="E14" i="20"/>
  <c r="F14" i="20" s="1"/>
  <c r="I14" i="20"/>
  <c r="I13" i="20"/>
  <c r="E13" i="20"/>
  <c r="I12" i="20"/>
  <c r="E12" i="20"/>
  <c r="I11" i="20"/>
  <c r="E11" i="20"/>
  <c r="H9" i="20"/>
  <c r="I10" i="20"/>
  <c r="E10" i="20"/>
  <c r="H8" i="20"/>
  <c r="I9" i="20"/>
  <c r="E9" i="20"/>
  <c r="I8" i="20"/>
  <c r="E8" i="20"/>
  <c r="I7" i="20"/>
  <c r="E7" i="20"/>
  <c r="E6" i="20"/>
  <c r="F6" i="20" s="1"/>
  <c r="I6" i="20"/>
  <c r="H6" i="20"/>
  <c r="I5" i="20"/>
  <c r="E5" i="20"/>
  <c r="F5" i="20" s="1"/>
  <c r="I4" i="20"/>
  <c r="E4" i="20"/>
  <c r="I3" i="20"/>
  <c r="E3" i="20"/>
  <c r="U23" i="18" l="1"/>
  <c r="F30" i="20"/>
  <c r="F13" i="20"/>
  <c r="F20" i="20"/>
  <c r="F7" i="20"/>
  <c r="F37" i="20"/>
  <c r="F28" i="20"/>
  <c r="F38" i="20"/>
  <c r="F46" i="20"/>
  <c r="F27" i="20"/>
  <c r="F32" i="20"/>
  <c r="F41" i="20"/>
  <c r="F44" i="20"/>
  <c r="F16" i="20"/>
  <c r="F25" i="20"/>
  <c r="F31" i="20"/>
  <c r="F35" i="20"/>
  <c r="F36" i="20"/>
  <c r="F18" i="20"/>
  <c r="F22" i="20"/>
  <c r="F33" i="20"/>
  <c r="F12" i="20"/>
  <c r="F39" i="20"/>
  <c r="F9" i="20"/>
  <c r="F11" i="20"/>
  <c r="F29" i="20"/>
  <c r="F42" i="20"/>
  <c r="F45" i="20"/>
  <c r="F40" i="20"/>
  <c r="F43" i="20"/>
  <c r="F8" i="20"/>
  <c r="F10" i="20"/>
  <c r="F17" i="20"/>
  <c r="F48" i="20"/>
  <c r="F23" i="20"/>
  <c r="F26" i="20"/>
  <c r="F21" i="20"/>
  <c r="F4" i="20"/>
  <c r="F3" i="20"/>
  <c r="AC4" i="19"/>
  <c r="AG3" i="19"/>
  <c r="AG4" i="19"/>
  <c r="I44" i="19"/>
  <c r="I43" i="19"/>
  <c r="D44" i="19"/>
  <c r="E44" i="19" s="1"/>
  <c r="D43" i="19"/>
  <c r="E43" i="19" s="1"/>
  <c r="D42" i="19"/>
  <c r="E42" i="19" s="1"/>
  <c r="I42" i="19"/>
  <c r="Z15" i="19" l="1"/>
  <c r="Z16" i="19"/>
  <c r="Z8" i="19"/>
  <c r="D54" i="19"/>
  <c r="E54" i="19" s="1"/>
  <c r="AI16" i="19" s="1"/>
  <c r="I54" i="19"/>
  <c r="I53" i="19"/>
  <c r="D53" i="19"/>
  <c r="E53" i="19" s="1"/>
  <c r="AI15" i="19" s="1"/>
  <c r="I52" i="19"/>
  <c r="D52" i="19"/>
  <c r="E52" i="19" s="1"/>
  <c r="AI14" i="19" s="1"/>
  <c r="H51" i="19"/>
  <c r="H52" i="19" s="1"/>
  <c r="H53" i="19" s="1"/>
  <c r="I51" i="19"/>
  <c r="D51" i="19"/>
  <c r="E51" i="19" s="1"/>
  <c r="AI13" i="19" s="1"/>
  <c r="I50" i="19"/>
  <c r="D50" i="19"/>
  <c r="E50" i="19" s="1"/>
  <c r="AI12" i="19" s="1"/>
  <c r="D22" i="19"/>
  <c r="E22" i="19" s="1"/>
  <c r="D49" i="19"/>
  <c r="E49" i="19" s="1"/>
  <c r="AI11" i="19" s="1"/>
  <c r="I49" i="19"/>
  <c r="D48" i="19"/>
  <c r="E48" i="19" s="1"/>
  <c r="AI10" i="19" s="1"/>
  <c r="I48" i="19"/>
  <c r="H46" i="19"/>
  <c r="I47" i="19"/>
  <c r="D47" i="19"/>
  <c r="E47" i="19" s="1"/>
  <c r="AI9" i="19" s="1"/>
  <c r="I46" i="19"/>
  <c r="D46" i="19"/>
  <c r="E46" i="19" s="1"/>
  <c r="AI8" i="19" s="1"/>
  <c r="I45" i="19"/>
  <c r="D45" i="19"/>
  <c r="E45" i="19" s="1"/>
  <c r="D41" i="19"/>
  <c r="E41" i="19" s="1"/>
  <c r="I41" i="19"/>
  <c r="H40" i="19"/>
  <c r="H41" i="19" s="1"/>
  <c r="D40" i="19"/>
  <c r="E40" i="19" s="1"/>
  <c r="I40" i="19"/>
  <c r="I39" i="19"/>
  <c r="D39" i="19"/>
  <c r="E39" i="19" s="1"/>
  <c r="I38" i="19"/>
  <c r="D38" i="19"/>
  <c r="E38" i="19" s="1"/>
  <c r="I37" i="19"/>
  <c r="D37" i="19"/>
  <c r="E37" i="19" s="1"/>
  <c r="I36" i="19"/>
  <c r="D36" i="19"/>
  <c r="E36" i="19" s="1"/>
  <c r="I35" i="19"/>
  <c r="D35" i="19"/>
  <c r="E35" i="19" s="1"/>
  <c r="I34" i="19"/>
  <c r="D34" i="19"/>
  <c r="E34" i="19" s="1"/>
  <c r="I33" i="19"/>
  <c r="I22" i="19"/>
  <c r="I21" i="19"/>
  <c r="I20" i="19"/>
  <c r="D21" i="19"/>
  <c r="E21" i="19" s="1"/>
  <c r="D20" i="19"/>
  <c r="E20" i="19" s="1"/>
  <c r="D33" i="19"/>
  <c r="E33" i="19" s="1"/>
  <c r="I32" i="19"/>
  <c r="D32" i="19"/>
  <c r="E32" i="19" s="1"/>
  <c r="D31" i="19"/>
  <c r="E31" i="19" s="1"/>
  <c r="I31" i="19"/>
  <c r="D30" i="19"/>
  <c r="E30" i="19" s="1"/>
  <c r="AD13" i="19" s="1"/>
  <c r="I30" i="19"/>
  <c r="I29" i="19"/>
  <c r="D29" i="19"/>
  <c r="E29" i="19" s="1"/>
  <c r="AD12" i="19" s="1"/>
  <c r="I28" i="19"/>
  <c r="D28" i="19"/>
  <c r="E28" i="19" s="1"/>
  <c r="AD11" i="19" s="1"/>
  <c r="D27" i="19"/>
  <c r="E27" i="19" s="1"/>
  <c r="AD10" i="19" s="1"/>
  <c r="I27" i="19"/>
  <c r="I26" i="19"/>
  <c r="D26" i="19"/>
  <c r="E26" i="19" s="1"/>
  <c r="AD9" i="19" s="1"/>
  <c r="H24" i="19"/>
  <c r="H25" i="19" s="1"/>
  <c r="H26" i="19" s="1"/>
  <c r="H27" i="19" s="1"/>
  <c r="H28" i="19" s="1"/>
  <c r="H29" i="19" s="1"/>
  <c r="H30" i="19" s="1"/>
  <c r="H31" i="19" s="1"/>
  <c r="H32" i="19" s="1"/>
  <c r="H33" i="19" s="1"/>
  <c r="H34" i="19" s="1"/>
  <c r="H35" i="19" s="1"/>
  <c r="H36" i="19" s="1"/>
  <c r="H37" i="19" s="1"/>
  <c r="H38" i="19" s="1"/>
  <c r="I25" i="19"/>
  <c r="D25" i="19"/>
  <c r="E25" i="19" s="1"/>
  <c r="AD8" i="19" s="1"/>
  <c r="I24" i="19"/>
  <c r="D24" i="19"/>
  <c r="E24" i="19" s="1"/>
  <c r="D23" i="19"/>
  <c r="E23" i="19" s="1"/>
  <c r="I23" i="19"/>
  <c r="I19" i="19"/>
  <c r="D19" i="19"/>
  <c r="E19" i="19" s="1"/>
  <c r="Z17" i="19" s="1"/>
  <c r="D18" i="19"/>
  <c r="E18" i="19" s="1"/>
  <c r="I18" i="19"/>
  <c r="I17" i="19"/>
  <c r="D17" i="19"/>
  <c r="E17" i="19" s="1"/>
  <c r="I15" i="19"/>
  <c r="I16" i="19"/>
  <c r="D16" i="19"/>
  <c r="E16" i="19" s="1"/>
  <c r="Z14" i="19" s="1"/>
  <c r="D15" i="19"/>
  <c r="E15" i="19" s="1"/>
  <c r="Z13" i="19" s="1"/>
  <c r="H14" i="19"/>
  <c r="H15" i="19" s="1"/>
  <c r="H16" i="19" s="1"/>
  <c r="H17" i="19" s="1"/>
  <c r="H18" i="19" s="1"/>
  <c r="H19" i="19" s="1"/>
  <c r="I14" i="19"/>
  <c r="D14" i="19"/>
  <c r="E14" i="19" s="1"/>
  <c r="Z12" i="19" s="1"/>
  <c r="D13" i="19"/>
  <c r="E13" i="19" s="1"/>
  <c r="Z11" i="19" s="1"/>
  <c r="I13" i="19"/>
  <c r="D12" i="19"/>
  <c r="E12" i="19" s="1"/>
  <c r="Z10" i="19" s="1"/>
  <c r="I12" i="19"/>
  <c r="I11" i="19"/>
  <c r="D11" i="19"/>
  <c r="E11" i="19" s="1"/>
  <c r="Z9" i="19" s="1"/>
  <c r="D10" i="19"/>
  <c r="E10" i="19" s="1"/>
  <c r="I10" i="19"/>
  <c r="D9" i="19"/>
  <c r="E9" i="19" s="1"/>
  <c r="I9" i="19"/>
  <c r="H4" i="19"/>
  <c r="H5" i="19" s="1"/>
  <c r="H6" i="19" s="1"/>
  <c r="H7" i="19" s="1"/>
  <c r="H8" i="19" s="1"/>
  <c r="H9" i="19" s="1"/>
  <c r="H10" i="19" s="1"/>
  <c r="H11" i="19" s="1"/>
  <c r="H12" i="19" s="1"/>
  <c r="I8" i="19"/>
  <c r="D8" i="19"/>
  <c r="E8" i="19" s="1"/>
  <c r="I7" i="19"/>
  <c r="D7" i="19"/>
  <c r="E7" i="19" s="1"/>
  <c r="I6" i="19"/>
  <c r="D6" i="19"/>
  <c r="E6" i="19" s="1"/>
  <c r="D5" i="19"/>
  <c r="E5" i="19" s="1"/>
  <c r="I5" i="19"/>
  <c r="AA7" i="19" l="1"/>
  <c r="AB7" i="19" s="1"/>
  <c r="AE7" i="19"/>
  <c r="AF7" i="19" s="1"/>
  <c r="I4" i="19" l="1"/>
  <c r="D4" i="19"/>
  <c r="E4" i="19" s="1"/>
  <c r="K27" i="18" l="1"/>
  <c r="E31" i="18" s="1"/>
  <c r="D3" i="19"/>
  <c r="E3" i="19" s="1"/>
  <c r="D2" i="19"/>
  <c r="E2" i="19" s="1"/>
  <c r="I3" i="19"/>
  <c r="I2" i="19"/>
  <c r="L27" i="18" l="1"/>
  <c r="I182" i="17"/>
  <c r="D182" i="17"/>
  <c r="E182" i="17" s="1"/>
  <c r="I181" i="17"/>
  <c r="D181" i="17"/>
  <c r="E181" i="17" s="1"/>
  <c r="I180" i="17"/>
  <c r="D180" i="17"/>
  <c r="E180" i="17" s="1"/>
  <c r="I179" i="17"/>
  <c r="D179" i="17"/>
  <c r="E179" i="17" s="1"/>
  <c r="I178" i="17"/>
  <c r="D178" i="17"/>
  <c r="E178" i="17" s="1"/>
  <c r="I177" i="17"/>
  <c r="D177" i="17"/>
  <c r="E177" i="17" s="1"/>
  <c r="I176" i="17"/>
  <c r="D176" i="17"/>
  <c r="E176" i="17" s="1"/>
  <c r="D175" i="17"/>
  <c r="I175" i="17"/>
  <c r="I174" i="17"/>
  <c r="D174" i="17"/>
  <c r="E174" i="17" s="1"/>
  <c r="I173" i="17"/>
  <c r="D173" i="17"/>
  <c r="E173" i="17" s="1"/>
  <c r="I172" i="17"/>
  <c r="D172" i="17"/>
  <c r="E172" i="17" s="1"/>
  <c r="I167" i="17"/>
  <c r="I168" i="17"/>
  <c r="I169" i="17"/>
  <c r="I170" i="17"/>
  <c r="I171" i="17"/>
  <c r="D170" i="17"/>
  <c r="E170" i="17" s="1"/>
  <c r="D171" i="17"/>
  <c r="E171" i="17" s="1"/>
  <c r="D169" i="17"/>
  <c r="E169" i="17" s="1"/>
  <c r="D168" i="17"/>
  <c r="E168" i="17" s="1"/>
  <c r="D167" i="17"/>
  <c r="E167" i="17" s="1"/>
  <c r="I166" i="17"/>
  <c r="D166" i="17"/>
  <c r="E166" i="17" s="1"/>
  <c r="I165" i="17"/>
  <c r="D165" i="17"/>
  <c r="E165" i="17" s="1"/>
  <c r="I164" i="17"/>
  <c r="D164" i="17"/>
  <c r="E164" i="17" s="1"/>
  <c r="D163" i="17"/>
  <c r="E163" i="17" s="1"/>
  <c r="I163" i="17"/>
  <c r="I162" i="17"/>
  <c r="D162" i="17"/>
  <c r="E162" i="17" s="1"/>
  <c r="I161" i="17"/>
  <c r="D161" i="17"/>
  <c r="E161" i="17" s="1"/>
  <c r="D160" i="17"/>
  <c r="E160" i="17" s="1"/>
  <c r="I160" i="17"/>
  <c r="H159" i="17"/>
  <c r="H160" i="17" s="1"/>
  <c r="H161" i="17" s="1"/>
  <c r="H162" i="17" s="1"/>
  <c r="H163" i="17" s="1"/>
  <c r="H164" i="17" s="1"/>
  <c r="H165" i="17" s="1"/>
  <c r="H166" i="17" s="1"/>
  <c r="H167" i="17" s="1"/>
  <c r="H168" i="17" s="1"/>
  <c r="H169" i="17" s="1"/>
  <c r="H170" i="17" s="1"/>
  <c r="H171" i="17" s="1"/>
  <c r="H172" i="17" s="1"/>
  <c r="H173" i="17" s="1"/>
  <c r="H174" i="17" s="1"/>
  <c r="I159" i="17"/>
  <c r="D159" i="17"/>
  <c r="E159" i="17" s="1"/>
  <c r="I158" i="17"/>
  <c r="D158" i="17"/>
  <c r="E158" i="17" s="1"/>
  <c r="I157" i="17"/>
  <c r="D157" i="17"/>
  <c r="E157" i="17" s="1"/>
  <c r="D156" i="17"/>
  <c r="E156" i="17" s="1"/>
  <c r="I156" i="17"/>
  <c r="I155" i="17"/>
  <c r="D155" i="17"/>
  <c r="E155" i="17" s="1"/>
  <c r="I154" i="17"/>
  <c r="D154" i="17"/>
  <c r="E154" i="17" s="1"/>
  <c r="H153" i="17"/>
  <c r="I153" i="17"/>
  <c r="D153" i="17"/>
  <c r="E153" i="17" s="1"/>
  <c r="I152" i="17"/>
  <c r="D152" i="17"/>
  <c r="E152" i="17" s="1"/>
  <c r="D151" i="17"/>
  <c r="E151" i="17" s="1"/>
  <c r="I151" i="17"/>
  <c r="D150" i="17"/>
  <c r="E150" i="17" s="1"/>
  <c r="I150" i="17"/>
  <c r="I149" i="17"/>
  <c r="D149" i="17"/>
  <c r="E149" i="17" s="1"/>
  <c r="I148" i="17"/>
  <c r="D148" i="17"/>
  <c r="E148" i="17" s="1"/>
  <c r="D147" i="17"/>
  <c r="E147" i="17" s="1"/>
  <c r="I147" i="17"/>
  <c r="I146" i="17"/>
  <c r="D146" i="17"/>
  <c r="E146" i="17" s="1"/>
  <c r="I145" i="17"/>
  <c r="D145" i="17"/>
  <c r="E145" i="17" s="1"/>
  <c r="I144" i="17"/>
  <c r="D144" i="17"/>
  <c r="E144" i="17" s="1"/>
  <c r="D143" i="17"/>
  <c r="E143" i="17" s="1"/>
  <c r="I143" i="17"/>
  <c r="H142" i="17"/>
  <c r="H143" i="17" s="1"/>
  <c r="H144" i="17" s="1"/>
  <c r="H145" i="17" s="1"/>
  <c r="H146" i="17" s="1"/>
  <c r="H147" i="17" s="1"/>
  <c r="H148" i="17" s="1"/>
  <c r="H149" i="17" s="1"/>
  <c r="H150" i="17" s="1"/>
  <c r="H151" i="17" s="1"/>
  <c r="H140" i="17"/>
  <c r="H141" i="17" s="1"/>
  <c r="I142" i="17"/>
  <c r="D142" i="17"/>
  <c r="E142" i="17" s="1"/>
  <c r="D141" i="17"/>
  <c r="E141" i="17" s="1"/>
  <c r="I141" i="17"/>
  <c r="I140" i="17"/>
  <c r="D140" i="17"/>
  <c r="E140" i="17" s="1"/>
  <c r="D139" i="17"/>
  <c r="E139" i="17" s="1"/>
  <c r="I139" i="17"/>
  <c r="D138" i="17"/>
  <c r="E138" i="17" s="1"/>
  <c r="I138" i="17"/>
  <c r="D137" i="17"/>
  <c r="E137" i="17" s="1"/>
  <c r="I137" i="17"/>
  <c r="I136" i="17"/>
  <c r="D136" i="17"/>
  <c r="E136" i="17" s="1"/>
  <c r="I135" i="17"/>
  <c r="D135" i="17"/>
  <c r="E135" i="17" s="1"/>
  <c r="I134" i="17"/>
  <c r="D134" i="17"/>
  <c r="E134" i="17" s="1"/>
  <c r="D133" i="17"/>
  <c r="E133" i="17" s="1"/>
  <c r="I133" i="17"/>
  <c r="I132" i="17"/>
  <c r="D132" i="17"/>
  <c r="E132" i="17" s="1"/>
  <c r="I131" i="17"/>
  <c r="D131" i="17"/>
  <c r="E131" i="17" s="1"/>
  <c r="I130" i="17"/>
  <c r="D130" i="17"/>
  <c r="E130" i="17" s="1"/>
  <c r="I129" i="17"/>
  <c r="D129" i="17"/>
  <c r="E129" i="17" s="1"/>
  <c r="I128" i="17"/>
  <c r="D128" i="17"/>
  <c r="E128" i="17" s="1"/>
  <c r="D127" i="17"/>
  <c r="E127" i="17" s="1"/>
  <c r="I127" i="17"/>
  <c r="I126" i="17"/>
  <c r="D126" i="17"/>
  <c r="E126" i="17" s="1"/>
  <c r="I125" i="17"/>
  <c r="D125" i="17"/>
  <c r="E125" i="17" s="1"/>
  <c r="I124" i="17"/>
  <c r="D124" i="17"/>
  <c r="E124" i="17" s="1"/>
  <c r="H123" i="17"/>
  <c r="H124" i="17" s="1"/>
  <c r="H125" i="17" s="1"/>
  <c r="H126" i="17" s="1"/>
  <c r="H127" i="17" s="1"/>
  <c r="H128" i="17" s="1"/>
  <c r="H129" i="17" s="1"/>
  <c r="H130" i="17" s="1"/>
  <c r="H131" i="17" s="1"/>
  <c r="H132" i="17" s="1"/>
  <c r="H133" i="17" s="1"/>
  <c r="H134" i="17" s="1"/>
  <c r="H135" i="17" s="1"/>
  <c r="H136" i="17" s="1"/>
  <c r="H137" i="17" s="1"/>
  <c r="H138" i="17" s="1"/>
  <c r="D123" i="17"/>
  <c r="E123" i="17" s="1"/>
  <c r="I123" i="17"/>
  <c r="M27" i="18" l="1"/>
  <c r="F31" i="18" s="1"/>
  <c r="H175" i="17"/>
  <c r="H176" i="17" s="1"/>
  <c r="H177" i="17" s="1"/>
  <c r="H178" i="17" s="1"/>
  <c r="H179" i="17" s="1"/>
  <c r="H180" i="17" s="1"/>
  <c r="H181" i="17" s="1"/>
  <c r="H182" i="17" s="1"/>
  <c r="E175" i="17"/>
  <c r="A35" i="18" l="1"/>
  <c r="B35" i="18" s="1"/>
  <c r="F35" i="18" s="1"/>
  <c r="N27" i="18"/>
  <c r="O27" i="18"/>
  <c r="H121" i="17"/>
  <c r="I122" i="17"/>
  <c r="D122" i="17"/>
  <c r="E122" i="17" s="1"/>
  <c r="D121" i="17"/>
  <c r="E121" i="17" s="1"/>
  <c r="I121" i="17"/>
  <c r="D120" i="17"/>
  <c r="E120" i="17" s="1"/>
  <c r="I120" i="17"/>
  <c r="G31" i="18" l="1"/>
  <c r="A39" i="18"/>
  <c r="I40" i="18"/>
  <c r="L40" i="18" s="1"/>
  <c r="I39" i="18"/>
  <c r="L39" i="18" s="1"/>
  <c r="I38" i="18"/>
  <c r="L38" i="18" s="1"/>
  <c r="I37" i="18"/>
  <c r="L37" i="18" s="1"/>
  <c r="I44" i="18"/>
  <c r="L44" i="18" s="1"/>
  <c r="I36" i="18"/>
  <c r="L36" i="18" s="1"/>
  <c r="I43" i="18"/>
  <c r="L43" i="18" s="1"/>
  <c r="I45" i="18"/>
  <c r="I42" i="18"/>
  <c r="L42" i="18" s="1"/>
  <c r="I41" i="18"/>
  <c r="L41" i="18" s="1"/>
  <c r="P27" i="18"/>
  <c r="Q27" i="18"/>
  <c r="I119" i="17"/>
  <c r="D119" i="17"/>
  <c r="E119" i="17" s="1"/>
  <c r="D118" i="17"/>
  <c r="E118" i="17" s="1"/>
  <c r="I118" i="17"/>
  <c r="I117" i="17"/>
  <c r="D117" i="17"/>
  <c r="E117" i="17" s="1"/>
  <c r="D116" i="17"/>
  <c r="E116" i="17" s="1"/>
  <c r="I116" i="17"/>
  <c r="D115" i="17"/>
  <c r="E115" i="17"/>
  <c r="I115" i="17"/>
  <c r="D114" i="17"/>
  <c r="E114" i="17" s="1"/>
  <c r="I114" i="17"/>
  <c r="I113" i="17"/>
  <c r="D113" i="17"/>
  <c r="E113" i="17" s="1"/>
  <c r="I112" i="17"/>
  <c r="D112" i="17"/>
  <c r="E112" i="17" s="1"/>
  <c r="I111" i="17"/>
  <c r="D111" i="17"/>
  <c r="E111" i="17" s="1"/>
  <c r="I110" i="17"/>
  <c r="D110" i="17"/>
  <c r="E110" i="17" s="1"/>
  <c r="I109" i="17"/>
  <c r="D109" i="17"/>
  <c r="E109" i="17" s="1"/>
  <c r="I108" i="17"/>
  <c r="D108" i="17"/>
  <c r="E108" i="17" s="1"/>
  <c r="D107" i="17"/>
  <c r="E107" i="17" s="1"/>
  <c r="I107" i="17"/>
  <c r="H106" i="17"/>
  <c r="H107" i="17" s="1"/>
  <c r="H108" i="17" s="1"/>
  <c r="H109" i="17" s="1"/>
  <c r="H110" i="17" s="1"/>
  <c r="H111" i="17" s="1"/>
  <c r="H112" i="17" s="1"/>
  <c r="H113" i="17" s="1"/>
  <c r="H114" i="17" s="1"/>
  <c r="H115" i="17" s="1"/>
  <c r="D106" i="17"/>
  <c r="E106" i="17" s="1"/>
  <c r="I106" i="17"/>
  <c r="I105" i="17"/>
  <c r="D105" i="17"/>
  <c r="E105" i="17" s="1"/>
  <c r="I104" i="17"/>
  <c r="D104" i="17"/>
  <c r="E104" i="17" s="1"/>
  <c r="I103" i="17"/>
  <c r="D103" i="17"/>
  <c r="E103" i="17" s="1"/>
  <c r="D102" i="17"/>
  <c r="E102" i="17" s="1"/>
  <c r="I102" i="17"/>
  <c r="I101" i="17"/>
  <c r="D101" i="17"/>
  <c r="E101" i="17"/>
  <c r="I100" i="17"/>
  <c r="D100" i="17"/>
  <c r="E100" i="17" s="1"/>
  <c r="I99" i="17"/>
  <c r="D99" i="17"/>
  <c r="E99" i="17" s="1"/>
  <c r="I98" i="17"/>
  <c r="D98" i="17"/>
  <c r="E98" i="17" s="1"/>
  <c r="H97" i="17"/>
  <c r="H98" i="17" s="1"/>
  <c r="H99" i="17" s="1"/>
  <c r="H100" i="17" s="1"/>
  <c r="H101" i="17" s="1"/>
  <c r="H102" i="17" s="1"/>
  <c r="H103" i="17" s="1"/>
  <c r="H104" i="17" s="1"/>
  <c r="I97" i="17"/>
  <c r="D97" i="17"/>
  <c r="E97" i="17" s="1"/>
  <c r="D96" i="17"/>
  <c r="E96" i="17" s="1"/>
  <c r="I96" i="17"/>
  <c r="D95" i="17"/>
  <c r="E95" i="17" s="1"/>
  <c r="I95" i="17"/>
  <c r="D94" i="17"/>
  <c r="E94" i="17" s="1"/>
  <c r="I94" i="17"/>
  <c r="D93" i="17"/>
  <c r="E93" i="17" s="1"/>
  <c r="I93" i="17"/>
  <c r="D92" i="17"/>
  <c r="E92" i="17" s="1"/>
  <c r="I92" i="17"/>
  <c r="D91" i="17"/>
  <c r="E91" i="17" s="1"/>
  <c r="I91" i="17"/>
  <c r="H89" i="17"/>
  <c r="H90" i="17" s="1"/>
  <c r="I90" i="17"/>
  <c r="D90" i="17"/>
  <c r="E90" i="17" s="1"/>
  <c r="I89" i="17"/>
  <c r="D89" i="17"/>
  <c r="E89" i="17"/>
  <c r="I88" i="17"/>
  <c r="D88" i="17"/>
  <c r="E88" i="17" s="1"/>
  <c r="D87" i="17"/>
  <c r="E87" i="17" s="1"/>
  <c r="I87" i="17"/>
  <c r="D86" i="17"/>
  <c r="E86" i="17" s="1"/>
  <c r="I86" i="17"/>
  <c r="D85" i="17"/>
  <c r="E85" i="17" s="1"/>
  <c r="I85" i="17"/>
  <c r="H85" i="17"/>
  <c r="H86" i="17" s="1"/>
  <c r="I84" i="17"/>
  <c r="D84" i="17"/>
  <c r="E84" i="17" s="1"/>
  <c r="I83" i="17"/>
  <c r="D83" i="17"/>
  <c r="E83" i="17" s="1"/>
  <c r="I82" i="17"/>
  <c r="D82" i="17"/>
  <c r="E82" i="17" s="1"/>
  <c r="H81" i="17"/>
  <c r="I81" i="17"/>
  <c r="D81" i="17"/>
  <c r="E81" i="17" s="1"/>
  <c r="I80" i="17"/>
  <c r="D80" i="17"/>
  <c r="E80" i="17" s="1"/>
  <c r="D79" i="17"/>
  <c r="E79" i="17" s="1"/>
  <c r="I79" i="17"/>
  <c r="H78" i="17"/>
  <c r="D78" i="17"/>
  <c r="E78" i="17" s="1"/>
  <c r="I78" i="17"/>
  <c r="I77" i="17"/>
  <c r="D77" i="17"/>
  <c r="E77" i="17" s="1"/>
  <c r="D76" i="17"/>
  <c r="E76" i="17" s="1"/>
  <c r="I76" i="17"/>
  <c r="D75" i="17"/>
  <c r="E75" i="17" s="1"/>
  <c r="I75" i="17"/>
  <c r="D74" i="17"/>
  <c r="E74" i="17" s="1"/>
  <c r="I74" i="17"/>
  <c r="I73" i="17"/>
  <c r="D73" i="17"/>
  <c r="E73" i="17" s="1"/>
  <c r="H72" i="17"/>
  <c r="H73" i="17" s="1"/>
  <c r="H74" i="17" s="1"/>
  <c r="H75" i="17" s="1"/>
  <c r="I72" i="17"/>
  <c r="D72" i="17"/>
  <c r="E72" i="17" s="1"/>
  <c r="D71" i="17"/>
  <c r="E71" i="17" s="1"/>
  <c r="I71" i="17"/>
  <c r="H70" i="17"/>
  <c r="I70" i="17"/>
  <c r="D70" i="17"/>
  <c r="E70" i="17" s="1"/>
  <c r="D69" i="17"/>
  <c r="E69" i="17" s="1"/>
  <c r="I69" i="17"/>
  <c r="H68" i="17"/>
  <c r="I68" i="17"/>
  <c r="D68" i="17"/>
  <c r="E68" i="17" s="1"/>
  <c r="I67" i="17"/>
  <c r="D67" i="17"/>
  <c r="E67" i="17" s="1"/>
  <c r="D66" i="17"/>
  <c r="E66" i="17" s="1"/>
  <c r="I66" i="17"/>
  <c r="I65" i="17"/>
  <c r="D65" i="17"/>
  <c r="E65" i="17" s="1"/>
  <c r="H64" i="17"/>
  <c r="H65" i="17" s="1"/>
  <c r="H66" i="17" s="1"/>
  <c r="I64" i="17"/>
  <c r="D64" i="17"/>
  <c r="E64" i="17" s="1"/>
  <c r="I63" i="17"/>
  <c r="D63" i="17"/>
  <c r="E63" i="17" s="1"/>
  <c r="I62" i="17"/>
  <c r="D62" i="17"/>
  <c r="E62" i="17" s="1"/>
  <c r="B39" i="18" l="1"/>
  <c r="B42" i="18"/>
  <c r="C42" i="18" s="1"/>
  <c r="H31" i="18"/>
  <c r="R27" i="18" s="1"/>
  <c r="H82" i="17"/>
  <c r="H91" i="17"/>
  <c r="H87" i="17"/>
  <c r="I61" i="17"/>
  <c r="D61" i="17"/>
  <c r="E61" i="17" s="1"/>
  <c r="H60" i="17"/>
  <c r="H61" i="17" s="1"/>
  <c r="H62" i="17" s="1"/>
  <c r="I60" i="17"/>
  <c r="D60" i="17"/>
  <c r="E60" i="17" s="1"/>
  <c r="I59" i="17"/>
  <c r="D59" i="17"/>
  <c r="E59" i="17" s="1"/>
  <c r="H58" i="17"/>
  <c r="D58" i="17"/>
  <c r="E58" i="17" s="1"/>
  <c r="I58" i="17"/>
  <c r="H57" i="17"/>
  <c r="I57" i="17"/>
  <c r="D57" i="17"/>
  <c r="E57" i="17" s="1"/>
  <c r="I56" i="17"/>
  <c r="D56" i="17"/>
  <c r="E56" i="17" s="1"/>
  <c r="D55" i="17"/>
  <c r="E55" i="17" s="1"/>
  <c r="I55" i="17"/>
  <c r="S27" i="18" l="1"/>
  <c r="I31" i="18" s="1"/>
  <c r="H92" i="17"/>
  <c r="H83" i="17"/>
  <c r="I54" i="17"/>
  <c r="D54" i="17"/>
  <c r="E54" i="17" s="1"/>
  <c r="I53" i="17"/>
  <c r="D53" i="17"/>
  <c r="E53" i="17" s="1"/>
  <c r="I52" i="17"/>
  <c r="D52" i="17"/>
  <c r="E52" i="17" s="1"/>
  <c r="I51" i="17"/>
  <c r="D51" i="17"/>
  <c r="E51" i="17" s="1"/>
  <c r="I50" i="17"/>
  <c r="H50" i="17"/>
  <c r="H51" i="17" s="1"/>
  <c r="H52" i="17" s="1"/>
  <c r="D50" i="17"/>
  <c r="E50" i="17"/>
  <c r="I49" i="17"/>
  <c r="D49" i="17"/>
  <c r="E49" i="17" s="1"/>
  <c r="I48" i="17"/>
  <c r="D48" i="17"/>
  <c r="E48" i="17" s="1"/>
  <c r="I47" i="17"/>
  <c r="D47" i="17"/>
  <c r="E47" i="17" s="1"/>
  <c r="I46" i="17"/>
  <c r="D46" i="17"/>
  <c r="E46" i="17" s="1"/>
  <c r="D45" i="17"/>
  <c r="E45" i="17" s="1"/>
  <c r="I45" i="17"/>
  <c r="H44" i="17"/>
  <c r="I44" i="17"/>
  <c r="D44" i="17"/>
  <c r="E44" i="17" s="1"/>
  <c r="I43" i="17"/>
  <c r="D43" i="17"/>
  <c r="E43" i="17" s="1"/>
  <c r="I42" i="17"/>
  <c r="D42" i="17"/>
  <c r="E42" i="17" s="1"/>
  <c r="I41" i="17"/>
  <c r="D41" i="17"/>
  <c r="E41" i="17" s="1"/>
  <c r="H40" i="17"/>
  <c r="D40" i="17"/>
  <c r="E40" i="17" s="1"/>
  <c r="I40" i="17"/>
  <c r="D39" i="17"/>
  <c r="E39" i="17" s="1"/>
  <c r="I39" i="17"/>
  <c r="D38" i="17"/>
  <c r="E38" i="17" s="1"/>
  <c r="I38" i="17"/>
  <c r="D37" i="17"/>
  <c r="E37" i="17" s="1"/>
  <c r="I37" i="17"/>
  <c r="I36" i="17"/>
  <c r="D36" i="17"/>
  <c r="E36" i="17" s="1"/>
  <c r="D35" i="17"/>
  <c r="E35" i="17" s="1"/>
  <c r="I35" i="17"/>
  <c r="D34" i="17"/>
  <c r="E34" i="17" s="1"/>
  <c r="I34" i="17"/>
  <c r="I33" i="17"/>
  <c r="D33" i="17"/>
  <c r="E33" i="17" s="1"/>
  <c r="I32" i="17"/>
  <c r="D32" i="17"/>
  <c r="E32" i="17" s="1"/>
  <c r="H31" i="17"/>
  <c r="H32" i="17" s="1"/>
  <c r="I31" i="17"/>
  <c r="D31" i="17"/>
  <c r="E31" i="17" s="1"/>
  <c r="I30" i="17"/>
  <c r="D30" i="17"/>
  <c r="E30" i="17" s="1"/>
  <c r="D29" i="17"/>
  <c r="E29" i="17" s="1"/>
  <c r="I29" i="17"/>
  <c r="I28" i="17"/>
  <c r="D28" i="17"/>
  <c r="E28" i="17" s="1"/>
  <c r="D27" i="17"/>
  <c r="E27" i="17" s="1"/>
  <c r="I27" i="17"/>
  <c r="D26" i="17"/>
  <c r="E26" i="17" s="1"/>
  <c r="I26" i="17"/>
  <c r="I25" i="17"/>
  <c r="D25" i="17"/>
  <c r="E25" i="17" s="1"/>
  <c r="D24" i="17"/>
  <c r="E24" i="17" s="1"/>
  <c r="I24" i="17"/>
  <c r="H23" i="17"/>
  <c r="I23" i="17"/>
  <c r="D23" i="17"/>
  <c r="E23" i="17" s="1"/>
  <c r="I22" i="17"/>
  <c r="D22" i="17"/>
  <c r="E22" i="17" s="1"/>
  <c r="D21" i="17"/>
  <c r="E21" i="17" s="1"/>
  <c r="I21" i="17"/>
  <c r="I20" i="17"/>
  <c r="D20" i="17"/>
  <c r="E20" i="17" s="1"/>
  <c r="I19" i="17"/>
  <c r="D19" i="17"/>
  <c r="E19" i="17" s="1"/>
  <c r="I18" i="17"/>
  <c r="D18" i="17"/>
  <c r="E18" i="17" s="1"/>
  <c r="D17" i="17"/>
  <c r="E17" i="17" s="1"/>
  <c r="I17" i="17"/>
  <c r="H16" i="17"/>
  <c r="D16" i="17"/>
  <c r="E16" i="17" s="1"/>
  <c r="I16" i="17"/>
  <c r="I15" i="17"/>
  <c r="D15" i="17"/>
  <c r="E15" i="17" s="1"/>
  <c r="I14" i="17"/>
  <c r="D14" i="17"/>
  <c r="E14" i="17" s="1"/>
  <c r="I13" i="17"/>
  <c r="D13" i="17"/>
  <c r="E13" i="17" s="1"/>
  <c r="D12" i="17"/>
  <c r="E12" i="17" s="1"/>
  <c r="I12" i="17"/>
  <c r="I11" i="17"/>
  <c r="D11" i="17"/>
  <c r="E11" i="17" s="1"/>
  <c r="I10" i="17"/>
  <c r="D10" i="17"/>
  <c r="E10" i="17" s="1"/>
  <c r="I9" i="17"/>
  <c r="D9" i="17"/>
  <c r="E9" i="17" s="1"/>
  <c r="I8" i="17"/>
  <c r="D8" i="17"/>
  <c r="E8" i="17" s="1"/>
  <c r="D7" i="17"/>
  <c r="E7" i="17" s="1"/>
  <c r="D6" i="17"/>
  <c r="E6" i="17" s="1"/>
  <c r="I6" i="17"/>
  <c r="I5" i="17"/>
  <c r="D5" i="17"/>
  <c r="E5" i="17" s="1"/>
  <c r="I4" i="17"/>
  <c r="E4" i="17"/>
  <c r="F29" i="18" l="1"/>
  <c r="G29" i="18"/>
  <c r="H93" i="17"/>
  <c r="J31" i="18" l="1"/>
  <c r="I29" i="18" s="1"/>
  <c r="H29" i="18" l="1"/>
  <c r="K31" i="18" s="1"/>
  <c r="K29" i="18" s="1"/>
  <c r="J29" i="18" l="1"/>
  <c r="L31" i="18" s="1"/>
  <c r="L29" i="18" s="1"/>
  <c r="M38" i="10"/>
  <c r="M29" i="18" l="1"/>
  <c r="M31" i="18" s="1"/>
  <c r="N29" i="18" s="1"/>
  <c r="G122" i="10" l="1"/>
  <c r="H122" i="10"/>
  <c r="C122" i="10"/>
  <c r="D122" i="10" s="1"/>
  <c r="H121" i="10"/>
  <c r="E121" i="10" s="1"/>
  <c r="C121" i="10"/>
  <c r="D121" i="10" s="1"/>
  <c r="H120" i="10"/>
  <c r="C120" i="10"/>
  <c r="D120" i="10" s="1"/>
  <c r="C119" i="10"/>
  <c r="D119" i="10" s="1"/>
  <c r="H119" i="10"/>
  <c r="H118" i="10"/>
  <c r="C118" i="10"/>
  <c r="D118" i="10" s="1"/>
  <c r="E114" i="10"/>
  <c r="H112" i="10"/>
  <c r="H113" i="10"/>
  <c r="E113" i="10" s="1"/>
  <c r="H114" i="10"/>
  <c r="H115" i="10"/>
  <c r="E115" i="10" s="1"/>
  <c r="H116" i="10"/>
  <c r="E116" i="10" s="1"/>
  <c r="H117" i="10"/>
  <c r="C117" i="10"/>
  <c r="D117" i="10" s="1"/>
  <c r="E117" i="10" s="1"/>
  <c r="G112" i="10"/>
  <c r="G113" i="10" s="1"/>
  <c r="G114" i="10" s="1"/>
  <c r="G115" i="10" s="1"/>
  <c r="G116" i="10" s="1"/>
  <c r="G117" i="10" s="1"/>
  <c r="G118" i="10" s="1"/>
  <c r="C116" i="10"/>
  <c r="D116" i="10" s="1"/>
  <c r="C115" i="10"/>
  <c r="D115" i="10" s="1"/>
  <c r="C114" i="10"/>
  <c r="D114" i="10" s="1"/>
  <c r="C113" i="10"/>
  <c r="D113" i="10"/>
  <c r="C112" i="10"/>
  <c r="D112" i="10" s="1"/>
  <c r="E112" i="10" s="1"/>
  <c r="E111" i="10"/>
  <c r="H111" i="10"/>
  <c r="C111" i="10"/>
  <c r="D111" i="10" s="1"/>
  <c r="H110" i="10"/>
  <c r="C110" i="10"/>
  <c r="D110" i="10" s="1"/>
  <c r="H109" i="10"/>
  <c r="C109" i="10"/>
  <c r="D109" i="10" s="1"/>
  <c r="E109" i="10" s="1"/>
  <c r="E105" i="10"/>
  <c r="H107" i="10"/>
  <c r="E107" i="10" s="1"/>
  <c r="H108" i="10"/>
  <c r="E108" i="10" s="1"/>
  <c r="C108" i="10"/>
  <c r="D108" i="10" s="1"/>
  <c r="C107" i="10"/>
  <c r="D107" i="10"/>
  <c r="H105" i="10"/>
  <c r="H106" i="10"/>
  <c r="E106" i="10" s="1"/>
  <c r="C106" i="10"/>
  <c r="D106" i="10" s="1"/>
  <c r="C105" i="10"/>
  <c r="D105" i="10" s="1"/>
  <c r="H104" i="10"/>
  <c r="E104" i="10" s="1"/>
  <c r="C104" i="10"/>
  <c r="D104" i="10" s="1"/>
  <c r="H103" i="10"/>
  <c r="G103" i="10"/>
  <c r="G104" i="10" s="1"/>
  <c r="G105" i="10" s="1"/>
  <c r="G106" i="10" s="1"/>
  <c r="G107" i="10" s="1"/>
  <c r="G108" i="10" s="1"/>
  <c r="G109" i="10" s="1"/>
  <c r="G100" i="10"/>
  <c r="C103" i="10"/>
  <c r="D103" i="10" s="1"/>
  <c r="H99" i="10"/>
  <c r="E99" i="10" s="1"/>
  <c r="H100" i="10"/>
  <c r="E100" i="10" s="1"/>
  <c r="H101" i="10"/>
  <c r="E101" i="10" s="1"/>
  <c r="H102" i="10"/>
  <c r="E102" i="10" s="1"/>
  <c r="C102" i="10"/>
  <c r="D102" i="10" s="1"/>
  <c r="C101" i="10"/>
  <c r="D101" i="10"/>
  <c r="C100" i="10"/>
  <c r="D100" i="10" s="1"/>
  <c r="C99" i="10"/>
  <c r="D99" i="10" s="1"/>
  <c r="H96" i="10"/>
  <c r="E96" i="10" s="1"/>
  <c r="H97" i="10"/>
  <c r="E97" i="10" s="1"/>
  <c r="H98" i="10"/>
  <c r="E98" i="10" s="1"/>
  <c r="C98" i="10"/>
  <c r="D98" i="10" s="1"/>
  <c r="C97" i="10"/>
  <c r="D97" i="10" s="1"/>
  <c r="G96" i="10"/>
  <c r="G97" i="10" s="1"/>
  <c r="G98" i="10" s="1"/>
  <c r="G99" i="10" s="1"/>
  <c r="C96" i="10"/>
  <c r="D96" i="10" s="1"/>
  <c r="H95" i="10"/>
  <c r="C95" i="10"/>
  <c r="D95" i="10" s="1"/>
  <c r="E95" i="10" s="1"/>
  <c r="H94" i="10"/>
  <c r="E94" i="10" s="1"/>
  <c r="G94" i="10"/>
  <c r="C94" i="10"/>
  <c r="D94" i="10"/>
  <c r="H92" i="10"/>
  <c r="H93" i="10"/>
  <c r="E93" i="10" s="1"/>
  <c r="E92" i="10"/>
  <c r="C93" i="10"/>
  <c r="D93" i="10" s="1"/>
  <c r="C92" i="10"/>
  <c r="D92" i="10" s="1"/>
  <c r="H90" i="10"/>
  <c r="H91" i="10"/>
  <c r="C91" i="10"/>
  <c r="D91" i="10" s="1"/>
  <c r="C90" i="10"/>
  <c r="D90" i="10" s="1"/>
  <c r="H89" i="10"/>
  <c r="C89" i="10"/>
  <c r="D89" i="10" s="1"/>
  <c r="E89" i="10" s="1"/>
  <c r="H88" i="10"/>
  <c r="C88" i="10"/>
  <c r="D88" i="10" s="1"/>
  <c r="H87" i="10"/>
  <c r="C87" i="10"/>
  <c r="D87" i="10" s="1"/>
  <c r="H86" i="10"/>
  <c r="E86" i="10" s="1"/>
  <c r="C86" i="10"/>
  <c r="D86" i="10" s="1"/>
  <c r="H84" i="10"/>
  <c r="H85" i="10"/>
  <c r="G84" i="10"/>
  <c r="G85" i="10" s="1"/>
  <c r="C85" i="10"/>
  <c r="D85" i="10" s="1"/>
  <c r="E85" i="10" s="1"/>
  <c r="C84" i="10"/>
  <c r="D84" i="10"/>
  <c r="E84" i="10" s="1"/>
  <c r="H83" i="10"/>
  <c r="C83" i="10"/>
  <c r="D83" i="10" s="1"/>
  <c r="H80" i="10"/>
  <c r="E80" i="10" s="1"/>
  <c r="H81" i="10"/>
  <c r="E81" i="10" s="1"/>
  <c r="H82" i="10"/>
  <c r="E82" i="10" s="1"/>
  <c r="C82" i="10"/>
  <c r="D82" i="10" s="1"/>
  <c r="C81" i="10"/>
  <c r="D81" i="10"/>
  <c r="C80" i="10"/>
  <c r="D80" i="10" s="1"/>
  <c r="G79" i="10"/>
  <c r="G80" i="10" s="1"/>
  <c r="G81" i="10" s="1"/>
  <c r="G82" i="10" s="1"/>
  <c r="H79" i="10"/>
  <c r="E79" i="10" s="1"/>
  <c r="C79" i="10"/>
  <c r="D79" i="10"/>
  <c r="H78" i="10"/>
  <c r="C78" i="10"/>
  <c r="D78" i="10" s="1"/>
  <c r="H77" i="10"/>
  <c r="C77" i="10"/>
  <c r="D77" i="10" s="1"/>
  <c r="H76" i="10"/>
  <c r="E76" i="10" s="1"/>
  <c r="C76" i="10"/>
  <c r="D76" i="10"/>
  <c r="H75" i="10"/>
  <c r="C75" i="10"/>
  <c r="D75" i="10" s="1"/>
  <c r="E75" i="10" s="1"/>
  <c r="H74" i="10"/>
  <c r="E74" i="10" s="1"/>
  <c r="G74" i="10"/>
  <c r="C74" i="10"/>
  <c r="D74" i="10"/>
  <c r="H73" i="10"/>
  <c r="G73" i="10"/>
  <c r="C73" i="10"/>
  <c r="D73" i="10" s="1"/>
  <c r="E71" i="10"/>
  <c r="E72" i="10"/>
  <c r="H71" i="10"/>
  <c r="H72" i="10"/>
  <c r="C72" i="10"/>
  <c r="D72" i="10" s="1"/>
  <c r="C71" i="10"/>
  <c r="D71" i="10" s="1"/>
  <c r="E70" i="10"/>
  <c r="H70" i="10"/>
  <c r="C70" i="10"/>
  <c r="D70" i="10" s="1"/>
  <c r="H68" i="10"/>
  <c r="E68" i="10" s="1"/>
  <c r="H69" i="10"/>
  <c r="C69" i="10"/>
  <c r="D69" i="10" s="1"/>
  <c r="E69" i="10" s="1"/>
  <c r="C68" i="10"/>
  <c r="D68" i="10" s="1"/>
  <c r="C67" i="10"/>
  <c r="D67" i="10" s="1"/>
  <c r="H67" i="10"/>
  <c r="E67" i="10" s="1"/>
  <c r="E77" i="10" l="1"/>
  <c r="E73" i="10"/>
  <c r="E103" i="10"/>
  <c r="E120" i="10"/>
  <c r="E78" i="10"/>
  <c r="E118" i="10"/>
  <c r="E87" i="10"/>
  <c r="E91" i="10"/>
  <c r="E110" i="10"/>
  <c r="E90" i="10"/>
  <c r="E122" i="10"/>
  <c r="E83" i="10"/>
  <c r="E119" i="10"/>
  <c r="E88" i="10"/>
  <c r="C66" i="10"/>
  <c r="D66" i="10" s="1"/>
  <c r="H66" i="10"/>
  <c r="H65" i="10"/>
  <c r="C65" i="10"/>
  <c r="D65" i="10" s="1"/>
  <c r="H64" i="10"/>
  <c r="C64" i="10"/>
  <c r="D64" i="10" s="1"/>
  <c r="H63" i="10"/>
  <c r="C63" i="10"/>
  <c r="D63" i="10"/>
  <c r="H62" i="10"/>
  <c r="C62" i="10"/>
  <c r="D62" i="10"/>
  <c r="H61" i="10"/>
  <c r="E61" i="10" s="1"/>
  <c r="C61" i="10"/>
  <c r="D61" i="10"/>
  <c r="H60" i="10"/>
  <c r="E60" i="10" s="1"/>
  <c r="C60" i="10"/>
  <c r="D60" i="10" s="1"/>
  <c r="H59" i="10"/>
  <c r="C59" i="10"/>
  <c r="D59" i="10" s="1"/>
  <c r="H58" i="10"/>
  <c r="E58" i="10" s="1"/>
  <c r="C58" i="10"/>
  <c r="D58" i="10" s="1"/>
  <c r="H57" i="10"/>
  <c r="C57" i="10"/>
  <c r="D57" i="10" s="1"/>
  <c r="H56" i="10"/>
  <c r="C56" i="10"/>
  <c r="D56" i="10"/>
  <c r="H55" i="10"/>
  <c r="E55" i="10" s="1"/>
  <c r="C55" i="10"/>
  <c r="D55" i="10"/>
  <c r="H54" i="10"/>
  <c r="E54" i="10" s="1"/>
  <c r="C54" i="10"/>
  <c r="D54" i="10" s="1"/>
  <c r="H53" i="10"/>
  <c r="C53" i="10"/>
  <c r="D53" i="10" s="1"/>
  <c r="H52" i="10"/>
  <c r="C52" i="10"/>
  <c r="D52" i="10"/>
  <c r="H51" i="10"/>
  <c r="E51" i="10" s="1"/>
  <c r="C51" i="10"/>
  <c r="D51" i="10" s="1"/>
  <c r="H50" i="10"/>
  <c r="E50" i="10"/>
  <c r="C50" i="10"/>
  <c r="D50" i="10" s="1"/>
  <c r="H49" i="10"/>
  <c r="C49" i="10"/>
  <c r="D49" i="10" s="1"/>
  <c r="G48" i="10"/>
  <c r="H48" i="10"/>
  <c r="E48" i="10" s="1"/>
  <c r="C48" i="10"/>
  <c r="D48" i="10"/>
  <c r="H47" i="10"/>
  <c r="E47" i="10" s="1"/>
  <c r="C47" i="10"/>
  <c r="D47" i="10" s="1"/>
  <c r="C44" i="10"/>
  <c r="D44" i="10" s="1"/>
  <c r="H44" i="10"/>
  <c r="H46" i="10"/>
  <c r="C46" i="10"/>
  <c r="D46" i="10" s="1"/>
  <c r="C45" i="10"/>
  <c r="D45" i="10" s="1"/>
  <c r="H45" i="10"/>
  <c r="H43" i="10"/>
  <c r="C43" i="10"/>
  <c r="D43" i="10" s="1"/>
  <c r="C42" i="10"/>
  <c r="D42" i="10" s="1"/>
  <c r="H42" i="10"/>
  <c r="H41" i="10"/>
  <c r="H40" i="10"/>
  <c r="E40" i="10" s="1"/>
  <c r="C41" i="10"/>
  <c r="D41" i="10" s="1"/>
  <c r="C40" i="10"/>
  <c r="D40" i="10" s="1"/>
  <c r="H39" i="10"/>
  <c r="C39" i="10"/>
  <c r="D39" i="10" s="1"/>
  <c r="G37" i="10"/>
  <c r="G38" i="10" s="1"/>
  <c r="G39" i="10" s="1"/>
  <c r="G40" i="10" s="1"/>
  <c r="G41" i="10" s="1"/>
  <c r="H38" i="10"/>
  <c r="C38" i="10"/>
  <c r="D38" i="10" s="1"/>
  <c r="E46" i="10" l="1"/>
  <c r="E57" i="10"/>
  <c r="E66" i="10"/>
  <c r="E63" i="10"/>
  <c r="E42" i="10"/>
  <c r="E44" i="10"/>
  <c r="E49" i="10"/>
  <c r="E52" i="10"/>
  <c r="E38" i="10"/>
  <c r="E64" i="10"/>
  <c r="E53" i="10"/>
  <c r="E59" i="10"/>
  <c r="E45" i="10"/>
  <c r="E56" i="10"/>
  <c r="E62" i="10"/>
  <c r="E65" i="10"/>
  <c r="E39" i="10"/>
  <c r="E43" i="10"/>
  <c r="K105" i="10" s="1"/>
  <c r="E41" i="10"/>
  <c r="H37" i="10"/>
  <c r="C37" i="10"/>
  <c r="D37" i="10" s="1"/>
  <c r="E37" i="10" s="1"/>
  <c r="H36" i="10" l="1"/>
  <c r="C36" i="10"/>
  <c r="D36" i="10" s="1"/>
  <c r="H35" i="10"/>
  <c r="C35" i="10"/>
  <c r="D35" i="10" s="1"/>
  <c r="H34" i="10"/>
  <c r="C34" i="10"/>
  <c r="D34" i="10"/>
  <c r="G33" i="10"/>
  <c r="G34" i="10" s="1"/>
  <c r="G35" i="10" s="1"/>
  <c r="H33" i="10"/>
  <c r="C33" i="10"/>
  <c r="D33" i="10" s="1"/>
  <c r="H32" i="10"/>
  <c r="C32" i="10"/>
  <c r="D32" i="10" s="1"/>
  <c r="H31" i="10"/>
  <c r="C31" i="10"/>
  <c r="D31" i="10" s="1"/>
  <c r="C26" i="10"/>
  <c r="D26" i="10" s="1"/>
  <c r="E26" i="10" s="1"/>
  <c r="H26" i="10"/>
  <c r="H30" i="10"/>
  <c r="G28" i="10"/>
  <c r="C30" i="10"/>
  <c r="D30" i="10" s="1"/>
  <c r="H29" i="10"/>
  <c r="C29" i="10"/>
  <c r="D29" i="10" s="1"/>
  <c r="H28" i="10"/>
  <c r="C28" i="10"/>
  <c r="D28" i="10" s="1"/>
  <c r="H27" i="10"/>
  <c r="C27" i="10"/>
  <c r="D27" i="10"/>
  <c r="E34" i="10" l="1"/>
  <c r="E32" i="10"/>
  <c r="E27" i="10"/>
  <c r="E36" i="10"/>
  <c r="E30" i="10"/>
  <c r="E31" i="10"/>
  <c r="E33" i="10"/>
  <c r="E35" i="10"/>
  <c r="E29" i="10"/>
  <c r="E28" i="10"/>
  <c r="C3" i="10" l="1"/>
  <c r="H25" i="10"/>
  <c r="H24" i="10"/>
  <c r="C25" i="10"/>
  <c r="D25" i="10"/>
  <c r="H23" i="10"/>
  <c r="C24" i="10"/>
  <c r="D24" i="10" s="1"/>
  <c r="C23" i="10"/>
  <c r="D23" i="10" s="1"/>
  <c r="C22" i="10"/>
  <c r="D22" i="10" s="1"/>
  <c r="H22" i="10"/>
  <c r="H21" i="10"/>
  <c r="C21" i="10"/>
  <c r="D21" i="10" s="1"/>
  <c r="H20" i="10"/>
  <c r="C20" i="10"/>
  <c r="D20" i="10" s="1"/>
  <c r="H19" i="10"/>
  <c r="C19" i="10"/>
  <c r="D19" i="10" s="1"/>
  <c r="H18" i="10"/>
  <c r="C18" i="10"/>
  <c r="D18" i="10" s="1"/>
  <c r="H17" i="10"/>
  <c r="C17" i="10"/>
  <c r="D17" i="10" s="1"/>
  <c r="H16" i="10"/>
  <c r="C16" i="10"/>
  <c r="D16" i="10" s="1"/>
  <c r="H15" i="10"/>
  <c r="C15" i="10"/>
  <c r="D15" i="10"/>
  <c r="H14" i="10"/>
  <c r="C14" i="10"/>
  <c r="D14" i="10" s="1"/>
  <c r="H13" i="10"/>
  <c r="C13" i="10"/>
  <c r="D13" i="10" s="1"/>
  <c r="H12" i="10"/>
  <c r="C12" i="10"/>
  <c r="D12" i="10" s="1"/>
  <c r="H11" i="10"/>
  <c r="C11" i="10"/>
  <c r="D11" i="10" s="1"/>
  <c r="H10" i="10"/>
  <c r="C10" i="10"/>
  <c r="D10" i="10" s="1"/>
  <c r="H9" i="10"/>
  <c r="C9" i="10"/>
  <c r="D9" i="10" s="1"/>
  <c r="H8" i="10"/>
  <c r="C8" i="10"/>
  <c r="D8" i="10" s="1"/>
  <c r="H7" i="10"/>
  <c r="C7" i="10"/>
  <c r="D7" i="10"/>
  <c r="D3" i="10"/>
  <c r="J6" i="10"/>
  <c r="H6" i="10"/>
  <c r="C6" i="10"/>
  <c r="D6" i="10" s="1"/>
  <c r="H5" i="10"/>
  <c r="C5" i="10"/>
  <c r="D5" i="10" s="1"/>
  <c r="H4" i="10"/>
  <c r="C4" i="10"/>
  <c r="D4" i="10" s="1"/>
  <c r="K3" i="10"/>
  <c r="L3" i="10" s="1"/>
  <c r="H3" i="10"/>
  <c r="E3" i="10" s="1"/>
  <c r="E9" i="10" l="1"/>
  <c r="E23" i="10"/>
  <c r="E14" i="10"/>
  <c r="E24" i="10"/>
  <c r="E22" i="10"/>
  <c r="E15" i="10"/>
  <c r="E20" i="10"/>
  <c r="E25" i="10"/>
  <c r="E16" i="10"/>
  <c r="E19" i="10"/>
  <c r="E8" i="10"/>
  <c r="E13" i="10"/>
  <c r="E18" i="10"/>
  <c r="E7" i="10"/>
  <c r="E10" i="10"/>
  <c r="E17" i="10"/>
  <c r="E21" i="10"/>
  <c r="E11" i="10"/>
  <c r="K6" i="10"/>
  <c r="E12" i="10"/>
  <c r="E5" i="10"/>
  <c r="E4" i="10"/>
  <c r="E6" i="10"/>
</calcChain>
</file>

<file path=xl/sharedStrings.xml><?xml version="1.0" encoding="utf-8"?>
<sst xmlns="http://schemas.openxmlformats.org/spreadsheetml/2006/main" count="916" uniqueCount="265">
  <si>
    <t>Q(ml/min)</t>
  </si>
  <si>
    <t>PV(cc)</t>
  </si>
  <si>
    <t>Vt(cc)</t>
  </si>
  <si>
    <t>φ(%)</t>
  </si>
  <si>
    <r>
      <t>m</t>
    </r>
    <r>
      <rPr>
        <b/>
        <sz val="8"/>
        <color theme="1"/>
        <rFont val="Calibri"/>
        <family val="2"/>
        <charset val="161"/>
        <scheme val="minor"/>
      </rPr>
      <t>rοck</t>
    </r>
    <r>
      <rPr>
        <b/>
        <sz val="11"/>
        <color theme="1"/>
        <rFont val="Calibri"/>
        <family val="2"/>
        <charset val="161"/>
        <scheme val="minor"/>
      </rPr>
      <t>(gr)</t>
    </r>
  </si>
  <si>
    <r>
      <t>m</t>
    </r>
    <r>
      <rPr>
        <b/>
        <sz val="8"/>
        <color theme="1"/>
        <rFont val="Calibri"/>
        <family val="2"/>
        <charset val="161"/>
        <scheme val="minor"/>
      </rPr>
      <t>rock+fluid</t>
    </r>
    <r>
      <rPr>
        <b/>
        <sz val="11"/>
        <color theme="1"/>
        <rFont val="Calibri"/>
        <family val="2"/>
        <charset val="161"/>
        <scheme val="minor"/>
      </rPr>
      <t>(gr)</t>
    </r>
  </si>
  <si>
    <r>
      <t>P</t>
    </r>
    <r>
      <rPr>
        <b/>
        <sz val="8"/>
        <color theme="1"/>
        <rFont val="Calibri"/>
        <family val="2"/>
        <charset val="161"/>
        <scheme val="minor"/>
      </rPr>
      <t>gauge</t>
    </r>
    <r>
      <rPr>
        <b/>
        <sz val="11"/>
        <color theme="1"/>
        <rFont val="Calibri"/>
        <family val="2"/>
        <charset val="161"/>
        <scheme val="minor"/>
      </rPr>
      <t>(barr)</t>
    </r>
  </si>
  <si>
    <r>
      <t>P</t>
    </r>
    <r>
      <rPr>
        <b/>
        <sz val="8"/>
        <color theme="1"/>
        <rFont val="Calibri"/>
        <family val="2"/>
        <charset val="161"/>
        <scheme val="minor"/>
      </rPr>
      <t>abs</t>
    </r>
    <r>
      <rPr>
        <b/>
        <sz val="11"/>
        <color theme="1"/>
        <rFont val="Calibri"/>
        <family val="2"/>
        <charset val="161"/>
        <scheme val="minor"/>
      </rPr>
      <t>(atm)</t>
    </r>
  </si>
  <si>
    <r>
      <t>K</t>
    </r>
    <r>
      <rPr>
        <b/>
        <sz val="8"/>
        <color theme="1"/>
        <rFont val="Calibri"/>
        <family val="2"/>
        <charset val="161"/>
        <scheme val="minor"/>
      </rPr>
      <t>abs</t>
    </r>
    <r>
      <rPr>
        <b/>
        <sz val="11"/>
        <color theme="1"/>
        <rFont val="Calibri"/>
        <family val="2"/>
        <charset val="161"/>
        <scheme val="minor"/>
      </rPr>
      <t>(mD)</t>
    </r>
  </si>
  <si>
    <t xml:space="preserve">time(min) </t>
  </si>
  <si>
    <t>Q(ml/sec)</t>
  </si>
  <si>
    <t>ΔP(atm)</t>
  </si>
  <si>
    <t>F</t>
  </si>
  <si>
    <t>Σt(min)</t>
  </si>
  <si>
    <t>σ</t>
  </si>
  <si>
    <t>bar to atm</t>
  </si>
  <si>
    <t>Poffset(barr)</t>
  </si>
  <si>
    <t>Kabs(mD)</t>
  </si>
  <si>
    <t>Kew(mD)</t>
  </si>
  <si>
    <t>Keo(mD)</t>
  </si>
  <si>
    <t>mζελ(gr)</t>
  </si>
  <si>
    <t>mrοck(gr)</t>
  </si>
  <si>
    <t>Sw1(%)</t>
  </si>
  <si>
    <t>Keo@Swi (mD)</t>
  </si>
  <si>
    <t>κλιση</t>
  </si>
  <si>
    <t>Kw@Sor(mD)</t>
  </si>
  <si>
    <t>mD-&gt;m^2</t>
  </si>
  <si>
    <t>K(m^2)</t>
  </si>
  <si>
    <t>Q(m^3/sec)</t>
  </si>
  <si>
    <t>L(m)</t>
  </si>
  <si>
    <t>ΔP(Pa)</t>
  </si>
  <si>
    <t>atm-&gt;Pa</t>
  </si>
  <si>
    <t>α</t>
  </si>
  <si>
    <t>β</t>
  </si>
  <si>
    <t>γ</t>
  </si>
  <si>
    <t>x0</t>
  </si>
  <si>
    <t>x1</t>
  </si>
  <si>
    <t>f(x0)</t>
  </si>
  <si>
    <t>f'(x0)</t>
  </si>
  <si>
    <t>f(x1)</t>
  </si>
  <si>
    <t>f'(x1)</t>
  </si>
  <si>
    <t>x2</t>
  </si>
  <si>
    <t>f(x2)</t>
  </si>
  <si>
    <t>f'(x2)</t>
  </si>
  <si>
    <t>x3</t>
  </si>
  <si>
    <t>f(x3)</t>
  </si>
  <si>
    <t>f'(x3)</t>
  </si>
  <si>
    <t>x4</t>
  </si>
  <si>
    <t>f(x4)</t>
  </si>
  <si>
    <t>f'(x4)</t>
  </si>
  <si>
    <t>x5</t>
  </si>
  <si>
    <t>f(x5)</t>
  </si>
  <si>
    <t>f'(x5)</t>
  </si>
  <si>
    <t>x6</t>
  </si>
  <si>
    <t>f(x6)</t>
  </si>
  <si>
    <t>[…]</t>
  </si>
  <si>
    <t>R(m)</t>
  </si>
  <si>
    <t>f'(x6)</t>
  </si>
  <si>
    <t>x7</t>
  </si>
  <si>
    <t>f(x7)</t>
  </si>
  <si>
    <t>f'(x7)</t>
  </si>
  <si>
    <t>x8</t>
  </si>
  <si>
    <t>f(x8)</t>
  </si>
  <si>
    <t>f'(x8)</t>
  </si>
  <si>
    <t>x9</t>
  </si>
  <si>
    <t>f(x9)</t>
  </si>
  <si>
    <t>f'(x9)</t>
  </si>
  <si>
    <t>x10</t>
  </si>
  <si>
    <t>f(x10)</t>
  </si>
  <si>
    <t>f'(x10)</t>
  </si>
  <si>
    <t>x11</t>
  </si>
  <si>
    <t>f(x11)</t>
  </si>
  <si>
    <t>R(μm)</t>
  </si>
  <si>
    <t>τ(Pa)</t>
  </si>
  <si>
    <t>τ(Μpa)</t>
  </si>
  <si>
    <r>
      <t>K</t>
    </r>
    <r>
      <rPr>
        <sz val="8"/>
        <color theme="1"/>
        <rFont val="Calibri"/>
        <family val="2"/>
        <charset val="161"/>
        <scheme val="minor"/>
      </rPr>
      <t>abs</t>
    </r>
    <r>
      <rPr>
        <sz val="11"/>
        <color theme="1"/>
        <rFont val="Calibri"/>
        <family val="2"/>
        <charset val="161"/>
        <scheme val="minor"/>
      </rPr>
      <t>(mD)</t>
    </r>
  </si>
  <si>
    <t>TP(atm)</t>
  </si>
  <si>
    <t>threshlold pressure</t>
  </si>
  <si>
    <t>A</t>
  </si>
  <si>
    <t>Q(cc/sec)</t>
  </si>
  <si>
    <r>
      <t>σ</t>
    </r>
    <r>
      <rPr>
        <b/>
        <sz val="8"/>
        <color theme="1"/>
        <rFont val="Calibri"/>
        <family val="2"/>
        <charset val="161"/>
        <scheme val="minor"/>
      </rPr>
      <t>Κ1</t>
    </r>
  </si>
  <si>
    <r>
      <t>S</t>
    </r>
    <r>
      <rPr>
        <b/>
        <sz val="8"/>
        <color theme="1"/>
        <rFont val="Calibri"/>
        <family val="2"/>
        <charset val="161"/>
        <scheme val="minor"/>
      </rPr>
      <t>K1</t>
    </r>
    <r>
      <rPr>
        <b/>
        <sz val="11"/>
        <color theme="1"/>
        <rFont val="Calibri"/>
        <family val="2"/>
        <charset val="161"/>
        <scheme val="minor"/>
      </rPr>
      <t>^2</t>
    </r>
  </si>
  <si>
    <r>
      <t>S</t>
    </r>
    <r>
      <rPr>
        <b/>
        <sz val="8"/>
        <color theme="1"/>
        <rFont val="Calibri"/>
        <family val="2"/>
        <charset val="161"/>
        <scheme val="minor"/>
      </rPr>
      <t>k1</t>
    </r>
  </si>
  <si>
    <r>
      <t>μ</t>
    </r>
    <r>
      <rPr>
        <b/>
        <sz val="8"/>
        <color theme="1"/>
        <rFont val="Calibri"/>
        <family val="2"/>
        <charset val="161"/>
        <scheme val="minor"/>
      </rPr>
      <t>κ1</t>
    </r>
    <r>
      <rPr>
        <b/>
        <sz val="11"/>
        <color theme="1"/>
        <rFont val="Calibri"/>
        <family val="2"/>
        <charset val="161"/>
        <scheme val="minor"/>
      </rPr>
      <t>+σ</t>
    </r>
    <r>
      <rPr>
        <b/>
        <sz val="8"/>
        <color theme="1"/>
        <rFont val="Calibri"/>
        <family val="2"/>
        <charset val="161"/>
        <scheme val="minor"/>
      </rPr>
      <t>κ1</t>
    </r>
  </si>
  <si>
    <r>
      <t>μ</t>
    </r>
    <r>
      <rPr>
        <b/>
        <sz val="8"/>
        <color theme="1"/>
        <rFont val="Calibri"/>
        <family val="2"/>
        <charset val="161"/>
        <scheme val="minor"/>
      </rPr>
      <t>κ1</t>
    </r>
    <r>
      <rPr>
        <b/>
        <sz val="11"/>
        <color theme="1"/>
        <rFont val="Calibri"/>
        <family val="2"/>
        <charset val="161"/>
        <scheme val="minor"/>
      </rPr>
      <t>-σ</t>
    </r>
    <r>
      <rPr>
        <b/>
        <sz val="8"/>
        <color theme="1"/>
        <rFont val="Calibri"/>
        <family val="2"/>
        <charset val="161"/>
        <scheme val="minor"/>
      </rPr>
      <t>κ1</t>
    </r>
  </si>
  <si>
    <r>
      <t>(P</t>
    </r>
    <r>
      <rPr>
        <b/>
        <sz val="8"/>
        <color theme="1"/>
        <rFont val="Calibri"/>
        <family val="2"/>
        <charset val="161"/>
        <scheme val="minor"/>
      </rPr>
      <t>1</t>
    </r>
    <r>
      <rPr>
        <b/>
        <sz val="11"/>
        <color theme="1"/>
        <rFont val="Calibri"/>
        <family val="2"/>
        <charset val="161"/>
        <scheme val="minor"/>
      </rPr>
      <t>-μ</t>
    </r>
    <r>
      <rPr>
        <b/>
        <sz val="8"/>
        <color theme="1"/>
        <rFont val="Calibri"/>
        <family val="2"/>
        <charset val="161"/>
        <scheme val="minor"/>
      </rPr>
      <t>P1</t>
    </r>
    <r>
      <rPr>
        <b/>
        <sz val="11"/>
        <color theme="1"/>
        <rFont val="Calibri"/>
        <family val="2"/>
        <charset val="161"/>
        <scheme val="minor"/>
      </rPr>
      <t>)^2</t>
    </r>
  </si>
  <si>
    <r>
      <t>S</t>
    </r>
    <r>
      <rPr>
        <b/>
        <sz val="8"/>
        <color theme="1"/>
        <rFont val="Calibri"/>
        <family val="2"/>
        <charset val="161"/>
        <scheme val="minor"/>
      </rPr>
      <t>P1</t>
    </r>
  </si>
  <si>
    <r>
      <t>σ</t>
    </r>
    <r>
      <rPr>
        <b/>
        <sz val="8"/>
        <color theme="1"/>
        <rFont val="Calibri"/>
        <family val="2"/>
        <charset val="161"/>
        <scheme val="minor"/>
      </rPr>
      <t>P1</t>
    </r>
  </si>
  <si>
    <r>
      <t>(κ</t>
    </r>
    <r>
      <rPr>
        <b/>
        <sz val="8"/>
        <color theme="1"/>
        <rFont val="Calibri"/>
        <family val="2"/>
        <charset val="161"/>
        <scheme val="minor"/>
      </rPr>
      <t>1</t>
    </r>
    <r>
      <rPr>
        <b/>
        <sz val="11"/>
        <color theme="1"/>
        <rFont val="Calibri"/>
        <family val="2"/>
        <charset val="161"/>
        <scheme val="minor"/>
      </rPr>
      <t>-μ</t>
    </r>
    <r>
      <rPr>
        <b/>
        <sz val="8"/>
        <color theme="1"/>
        <rFont val="Calibri"/>
        <family val="2"/>
        <charset val="161"/>
        <scheme val="minor"/>
      </rPr>
      <t>κ1</t>
    </r>
    <r>
      <rPr>
        <b/>
        <sz val="11"/>
        <color theme="1"/>
        <rFont val="Calibri"/>
        <family val="2"/>
        <charset val="161"/>
        <scheme val="minor"/>
      </rPr>
      <t>)^2</t>
    </r>
  </si>
  <si>
    <r>
      <t>(κ</t>
    </r>
    <r>
      <rPr>
        <b/>
        <sz val="8"/>
        <color theme="1"/>
        <rFont val="Calibri"/>
        <family val="2"/>
        <charset val="161"/>
        <scheme val="minor"/>
      </rPr>
      <t>2</t>
    </r>
    <r>
      <rPr>
        <b/>
        <sz val="11"/>
        <color theme="1"/>
        <rFont val="Calibri"/>
        <family val="2"/>
        <charset val="161"/>
        <scheme val="minor"/>
      </rPr>
      <t>-μ</t>
    </r>
    <r>
      <rPr>
        <b/>
        <sz val="8"/>
        <color theme="1"/>
        <rFont val="Calibri"/>
        <family val="2"/>
        <charset val="161"/>
        <scheme val="minor"/>
      </rPr>
      <t>κ2</t>
    </r>
    <r>
      <rPr>
        <b/>
        <sz val="11"/>
        <color theme="1"/>
        <rFont val="Calibri"/>
        <family val="2"/>
        <charset val="161"/>
        <scheme val="minor"/>
      </rPr>
      <t>)^2</t>
    </r>
  </si>
  <si>
    <r>
      <t>μ</t>
    </r>
    <r>
      <rPr>
        <b/>
        <sz val="8"/>
        <color theme="1"/>
        <rFont val="Calibri"/>
        <family val="2"/>
        <charset val="161"/>
        <scheme val="minor"/>
      </rPr>
      <t>k2</t>
    </r>
  </si>
  <si>
    <r>
      <t>S</t>
    </r>
    <r>
      <rPr>
        <b/>
        <sz val="8"/>
        <color theme="1"/>
        <rFont val="Calibri"/>
        <family val="2"/>
        <charset val="161"/>
        <scheme val="minor"/>
      </rPr>
      <t>k2</t>
    </r>
  </si>
  <si>
    <r>
      <t>t</t>
    </r>
    <r>
      <rPr>
        <b/>
        <sz val="8"/>
        <color theme="1"/>
        <rFont val="Calibri"/>
        <family val="2"/>
        <charset val="161"/>
        <scheme val="minor"/>
      </rPr>
      <t>14,0.5%</t>
    </r>
  </si>
  <si>
    <r>
      <t>t</t>
    </r>
    <r>
      <rPr>
        <b/>
        <sz val="8"/>
        <color theme="1"/>
        <rFont val="Calibri"/>
        <family val="2"/>
        <charset val="161"/>
        <scheme val="minor"/>
      </rPr>
      <t>15,0.5%</t>
    </r>
  </si>
  <si>
    <r>
      <t>σ</t>
    </r>
    <r>
      <rPr>
        <b/>
        <sz val="8"/>
        <color theme="1"/>
        <rFont val="Calibri"/>
        <family val="2"/>
        <charset val="161"/>
        <scheme val="minor"/>
      </rPr>
      <t>κ2</t>
    </r>
  </si>
  <si>
    <r>
      <t>μ</t>
    </r>
    <r>
      <rPr>
        <b/>
        <sz val="8"/>
        <color theme="1"/>
        <rFont val="Calibri"/>
        <family val="2"/>
        <charset val="161"/>
        <scheme val="minor"/>
      </rPr>
      <t>P1</t>
    </r>
  </si>
  <si>
    <r>
      <t>μ</t>
    </r>
    <r>
      <rPr>
        <b/>
        <sz val="8"/>
        <color theme="1"/>
        <rFont val="Calibri"/>
        <family val="2"/>
        <charset val="161"/>
        <scheme val="minor"/>
      </rPr>
      <t>P2</t>
    </r>
  </si>
  <si>
    <r>
      <t>(P</t>
    </r>
    <r>
      <rPr>
        <b/>
        <sz val="8"/>
        <color theme="1"/>
        <rFont val="Calibri"/>
        <family val="2"/>
        <charset val="161"/>
        <scheme val="minor"/>
      </rPr>
      <t>2</t>
    </r>
    <r>
      <rPr>
        <b/>
        <sz val="11"/>
        <color theme="1"/>
        <rFont val="Calibri"/>
        <family val="2"/>
        <charset val="161"/>
        <scheme val="minor"/>
      </rPr>
      <t>-μ</t>
    </r>
    <r>
      <rPr>
        <b/>
        <sz val="8"/>
        <color theme="1"/>
        <rFont val="Calibri"/>
        <family val="2"/>
        <charset val="161"/>
        <scheme val="minor"/>
      </rPr>
      <t>P2</t>
    </r>
    <r>
      <rPr>
        <b/>
        <sz val="11"/>
        <color theme="1"/>
        <rFont val="Calibri"/>
        <family val="2"/>
        <charset val="161"/>
        <scheme val="minor"/>
      </rPr>
      <t>)^2</t>
    </r>
  </si>
  <si>
    <r>
      <t>S</t>
    </r>
    <r>
      <rPr>
        <b/>
        <sz val="8"/>
        <color theme="1"/>
        <rFont val="Calibri"/>
        <family val="2"/>
        <charset val="161"/>
        <scheme val="minor"/>
      </rPr>
      <t>P2</t>
    </r>
  </si>
  <si>
    <r>
      <t>σ</t>
    </r>
    <r>
      <rPr>
        <b/>
        <sz val="8"/>
        <color theme="1"/>
        <rFont val="Calibri"/>
        <family val="2"/>
        <charset val="161"/>
        <scheme val="minor"/>
      </rPr>
      <t>P2</t>
    </r>
  </si>
  <si>
    <t>Klmax(m^2)</t>
  </si>
  <si>
    <t>m^2-&gt;mD</t>
  </si>
  <si>
    <t>Klmax(mD)</t>
  </si>
  <si>
    <t>ΤP(atm)</t>
  </si>
  <si>
    <t>t10,0,5%</t>
  </si>
  <si>
    <t>(xi-xavg)^2</t>
  </si>
  <si>
    <t>S</t>
  </si>
  <si>
    <t>t6,0.5%</t>
  </si>
  <si>
    <t>t9,0.5%</t>
  </si>
  <si>
    <t>mrock+fluid(gr)</t>
  </si>
  <si>
    <t>GV(cc)</t>
  </si>
  <si>
    <t>ρο(gr/cm^3)</t>
  </si>
  <si>
    <t>VSwi(ml)</t>
  </si>
  <si>
    <t>Swir(%)</t>
  </si>
  <si>
    <t>Qw(ml/min)</t>
  </si>
  <si>
    <t>Qo(ml/min)</t>
  </si>
  <si>
    <t>Qw(ml/sec)</t>
  </si>
  <si>
    <t>Qo(ml/sec)</t>
  </si>
  <si>
    <t>overburden(bar)</t>
  </si>
  <si>
    <t>mr+f+ζ</t>
  </si>
  <si>
    <t>νερο+πετρελαιο</t>
  </si>
  <si>
    <t>μονο νερο</t>
  </si>
  <si>
    <t>με ζελατινη</t>
  </si>
  <si>
    <t>Poffset(bar)</t>
  </si>
  <si>
    <t>150 bar</t>
  </si>
  <si>
    <t>mr+f+ζ(gr)</t>
  </si>
  <si>
    <t>Sw2(%)</t>
  </si>
  <si>
    <t>1-Sor(%)</t>
  </si>
  <si>
    <t>K1(mD)</t>
  </si>
  <si>
    <t>K2(mD)</t>
  </si>
  <si>
    <t>K1(m^2)</t>
  </si>
  <si>
    <t>ΔP1(Pa)</t>
  </si>
  <si>
    <t>K2(m^2)</t>
  </si>
  <si>
    <t>Φ(%)</t>
  </si>
  <si>
    <t>ΔP2(Pa)</t>
  </si>
  <si>
    <t>το(Pa)</t>
  </si>
  <si>
    <t>Kmax(m^2)</t>
  </si>
  <si>
    <t>Kmax(mD)</t>
  </si>
  <si>
    <t>LAΦ</t>
  </si>
  <si>
    <t>ποροσιμετριας</t>
  </si>
  <si>
    <t>-</t>
  </si>
  <si>
    <t>4/0,5</t>
  </si>
  <si>
    <t>me aera</t>
  </si>
  <si>
    <t>1,5/0,5</t>
  </si>
  <si>
    <t>3,0/1,0</t>
  </si>
  <si>
    <t>Qo/Qw</t>
  </si>
  <si>
    <t>Kro</t>
  </si>
  <si>
    <t>Krw</t>
  </si>
  <si>
    <t>xvriw aera</t>
  </si>
  <si>
    <t>Kw(mD)</t>
  </si>
  <si>
    <t>TP1(atm)</t>
  </si>
  <si>
    <t>Kw(m^2)</t>
  </si>
  <si>
    <t>χ0</t>
  </si>
  <si>
    <t>τ0(Pa)</t>
  </si>
  <si>
    <t>Kw,max(m^2)</t>
  </si>
  <si>
    <t>Kw,max(mD)</t>
  </si>
  <si>
    <t>χωρις αερα</t>
  </si>
  <si>
    <t>Keo@Swi(mD)</t>
  </si>
  <si>
    <t>hour</t>
  </si>
  <si>
    <t>60 bar</t>
  </si>
  <si>
    <t>με αερα</t>
  </si>
  <si>
    <t>Κ(ΔP=5.9atm)=0.05 mD</t>
  </si>
  <si>
    <t>Poverburden(bar)</t>
  </si>
  <si>
    <t>linest</t>
  </si>
  <si>
    <r>
      <t>P</t>
    </r>
    <r>
      <rPr>
        <b/>
        <sz val="8"/>
        <color theme="1"/>
        <rFont val="Calibri"/>
        <family val="2"/>
        <charset val="161"/>
        <scheme val="minor"/>
      </rPr>
      <t>gauge</t>
    </r>
    <r>
      <rPr>
        <b/>
        <sz val="11"/>
        <color theme="1"/>
        <rFont val="Calibri"/>
        <family val="2"/>
        <charset val="161"/>
        <scheme val="minor"/>
      </rPr>
      <t>(barg)</t>
    </r>
  </si>
  <si>
    <t>μετρηση με αερα</t>
  </si>
  <si>
    <t>υποβιβασμος διαπερατότητας</t>
  </si>
  <si>
    <t>Sw2</t>
  </si>
  <si>
    <t>Sw1</t>
  </si>
  <si>
    <t>Vw(ml)</t>
  </si>
  <si>
    <t>mrock</t>
  </si>
  <si>
    <t>mrock+fluid</t>
  </si>
  <si>
    <t>πετρ+νερο+πετρελαιο</t>
  </si>
  <si>
    <t>κορεσμενο σε νερο</t>
  </si>
  <si>
    <t>λαθος μετρηση</t>
  </si>
  <si>
    <t>8cm δοκίμιο όλα τα αλλα 4.7cm</t>
  </si>
  <si>
    <t>φavg</t>
  </si>
  <si>
    <t>κραταω mrock χρυσσουλας</t>
  </si>
  <si>
    <t>Sφ</t>
  </si>
  <si>
    <t>(φi-φavg)^2</t>
  </si>
  <si>
    <t>t5,0.5%</t>
  </si>
  <si>
    <t>σφ</t>
  </si>
  <si>
    <t>φmin</t>
  </si>
  <si>
    <t>φmax</t>
  </si>
  <si>
    <t>(Swi-Swavg)^2</t>
  </si>
  <si>
    <t>Sswi</t>
  </si>
  <si>
    <t>σswi</t>
  </si>
  <si>
    <t>Swi max</t>
  </si>
  <si>
    <t>Swi min</t>
  </si>
  <si>
    <t>κατανομή t</t>
  </si>
  <si>
    <t>t4,0.5%</t>
  </si>
  <si>
    <t>(Sw2-Swavg)^2</t>
  </si>
  <si>
    <t>Ssw2</t>
  </si>
  <si>
    <t>σsw2</t>
  </si>
  <si>
    <t>Sw2 max</t>
  </si>
  <si>
    <t>Sw2 min</t>
  </si>
  <si>
    <t>Sw3(%)</t>
  </si>
  <si>
    <t>VSw(ml)</t>
  </si>
  <si>
    <t>(Sw-Swavg)^2</t>
  </si>
  <si>
    <t>σsw</t>
  </si>
  <si>
    <t>Sw max</t>
  </si>
  <si>
    <t>Sw min</t>
  </si>
  <si>
    <t>358-388</t>
  </si>
  <si>
    <t>393-423</t>
  </si>
  <si>
    <t>313-353</t>
  </si>
  <si>
    <t>428-458</t>
  </si>
  <si>
    <t>463-478</t>
  </si>
  <si>
    <t>483-498</t>
  </si>
  <si>
    <t>503-518</t>
  </si>
  <si>
    <t>523-538</t>
  </si>
  <si>
    <t>543-558</t>
  </si>
  <si>
    <t>563-578</t>
  </si>
  <si>
    <t>583-598</t>
  </si>
  <si>
    <t>L(cm)</t>
  </si>
  <si>
    <t>PV(cm3)</t>
  </si>
  <si>
    <t>BV(cm3)</t>
  </si>
  <si>
    <t>τρόπος ζύγισης</t>
  </si>
  <si>
    <t>χωρίς αέρα</t>
  </si>
  <si>
    <t>με αέρα</t>
  </si>
  <si>
    <t>ΔP1(atm)</t>
  </si>
  <si>
    <t>ΔP2(atm)</t>
  </si>
  <si>
    <t>Keo@Swi(m^2)</t>
  </si>
  <si>
    <t>λαθος</t>
  </si>
  <si>
    <t>max</t>
  </si>
  <si>
    <t>Sw3</t>
  </si>
  <si>
    <t>1-Sor</t>
  </si>
  <si>
    <t>Pgauge(barg)</t>
  </si>
  <si>
    <t>Pgauge(barr)</t>
  </si>
  <si>
    <t>Poffset(barg)</t>
  </si>
  <si>
    <r>
      <t>m</t>
    </r>
    <r>
      <rPr>
        <b/>
        <vertAlign val="subscript"/>
        <sz val="12"/>
        <color theme="1"/>
        <rFont val="Times New Roman"/>
        <family val="1"/>
        <charset val="161"/>
      </rPr>
      <t>ζελ</t>
    </r>
    <r>
      <rPr>
        <b/>
        <sz val="12"/>
        <color theme="1"/>
        <rFont val="Times New Roman"/>
        <family val="1"/>
        <charset val="161"/>
      </rPr>
      <t>(gr)</t>
    </r>
  </si>
  <si>
    <r>
      <t>m</t>
    </r>
    <r>
      <rPr>
        <b/>
        <vertAlign val="subscript"/>
        <sz val="12"/>
        <color theme="1"/>
        <rFont val="Times New Roman"/>
        <family val="1"/>
        <charset val="161"/>
      </rPr>
      <t>rock+fluid</t>
    </r>
    <r>
      <rPr>
        <b/>
        <sz val="12"/>
        <color theme="1"/>
        <rFont val="Times New Roman"/>
        <family val="1"/>
        <charset val="161"/>
      </rPr>
      <t>(gr)</t>
    </r>
  </si>
  <si>
    <r>
      <t>S</t>
    </r>
    <r>
      <rPr>
        <b/>
        <vertAlign val="subscript"/>
        <sz val="12"/>
        <color theme="1"/>
        <rFont val="Times New Roman"/>
        <family val="1"/>
        <charset val="161"/>
      </rPr>
      <t>w1</t>
    </r>
    <r>
      <rPr>
        <b/>
        <sz val="12"/>
        <color theme="1"/>
        <rFont val="Times New Roman"/>
        <family val="1"/>
        <charset val="161"/>
      </rPr>
      <t>(%)</t>
    </r>
  </si>
  <si>
    <r>
      <t>S</t>
    </r>
    <r>
      <rPr>
        <b/>
        <vertAlign val="subscript"/>
        <sz val="12"/>
        <color theme="1"/>
        <rFont val="Times New Roman"/>
        <family val="1"/>
        <charset val="161"/>
      </rPr>
      <t>w2</t>
    </r>
    <r>
      <rPr>
        <b/>
        <sz val="12"/>
        <color theme="1"/>
        <rFont val="Times New Roman"/>
        <family val="1"/>
        <charset val="161"/>
      </rPr>
      <t>(%)</t>
    </r>
  </si>
  <si>
    <t>d(cm)</t>
  </si>
  <si>
    <t>Φ</t>
  </si>
  <si>
    <t>πλήρως κορεσμένο με νερό</t>
  </si>
  <si>
    <t>Swi</t>
  </si>
  <si>
    <t>Sw(%)</t>
  </si>
  <si>
    <t>yi=Kw</t>
  </si>
  <si>
    <t>x=1/ΔP</t>
  </si>
  <si>
    <t>Σyi</t>
  </si>
  <si>
    <t>n</t>
  </si>
  <si>
    <t>Σxi</t>
  </si>
  <si>
    <t>xi^4</t>
  </si>
  <si>
    <t>Σ(xi^4)</t>
  </si>
  <si>
    <t>yi*xi</t>
  </si>
  <si>
    <t>Σ(yi*xi)</t>
  </si>
  <si>
    <t>xi^2</t>
  </si>
  <si>
    <t>Σ(xi^2)</t>
  </si>
  <si>
    <t>xi^5</t>
  </si>
  <si>
    <t>Σ(xi^5)</t>
  </si>
  <si>
    <t>yi*xi^4</t>
  </si>
  <si>
    <t>Σ(yi*xi^4)</t>
  </si>
  <si>
    <t>xi^8</t>
  </si>
  <si>
    <t>Σ(xi^8)</t>
  </si>
  <si>
    <t>Κ(mD)</t>
  </si>
  <si>
    <t>γ(m^2)</t>
  </si>
  <si>
    <t>Κ(m^2)</t>
  </si>
  <si>
    <t>K(mD)</t>
  </si>
  <si>
    <t>κ2</t>
  </si>
  <si>
    <t>κ1</t>
  </si>
  <si>
    <t>δυο μεγαλυτερα</t>
  </si>
  <si>
    <t>πιο μικρο και πιο μεγ</t>
  </si>
  <si>
    <t>δυο μικροτερα</t>
  </si>
  <si>
    <t>απολυτο σφαλμα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</si>
</sst>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
    <numFmt numFmtId="165" formatCode="0.000"/>
    <numFmt numFmtId="166" formatCode="0.00000"/>
    <numFmt numFmtId="167" formatCode="0.000E+00"/>
    <numFmt numFmtId="168" formatCode="#,##0.0000"/>
    <numFmt numFmtId="169" formatCode="0.0"/>
    <numFmt numFmtId="170" formatCode="0.000000000"/>
    <numFmt numFmtId="171" formatCode="0.000000"/>
    <numFmt numFmtId="172" formatCode="0.00000000"/>
    <numFmt numFmtId="173" formatCode="0.0000000"/>
    <numFmt numFmtId="174" formatCode="0.000000000000000"/>
  </numFmts>
  <fonts count="12" x14ac:knownFonts="1">
    <font>
      <sz val="11"/>
      <color theme="1"/>
      <name val="Calibri"/>
      <family val="2"/>
      <charset val="161"/>
      <scheme val="minor"/>
    </font>
    <font>
      <sz val="11"/>
      <color rgb="FFFF0000"/>
      <name val="Calibri"/>
      <family val="2"/>
      <charset val="161"/>
      <scheme val="minor"/>
    </font>
    <font>
      <b/>
      <sz val="11"/>
      <color theme="1"/>
      <name val="Calibri"/>
      <family val="2"/>
      <charset val="161"/>
      <scheme val="minor"/>
    </font>
    <font>
      <sz val="11"/>
      <name val="Calibri"/>
      <family val="2"/>
      <charset val="161"/>
      <scheme val="minor"/>
    </font>
    <font>
      <b/>
      <sz val="8"/>
      <color theme="1"/>
      <name val="Calibri"/>
      <family val="2"/>
      <charset val="161"/>
      <scheme val="minor"/>
    </font>
    <font>
      <b/>
      <sz val="11"/>
      <name val="Calibri"/>
      <family val="2"/>
      <charset val="161"/>
      <scheme val="minor"/>
    </font>
    <font>
      <b/>
      <sz val="11"/>
      <color rgb="FFFF0000"/>
      <name val="Calibri"/>
      <family val="2"/>
      <charset val="161"/>
      <scheme val="minor"/>
    </font>
    <font>
      <sz val="8"/>
      <color theme="1"/>
      <name val="Calibri"/>
      <family val="2"/>
      <charset val="161"/>
      <scheme val="minor"/>
    </font>
    <font>
      <sz val="12"/>
      <color theme="1"/>
      <name val="Times New Roman"/>
      <family val="1"/>
      <charset val="161"/>
    </font>
    <font>
      <b/>
      <sz val="12"/>
      <color theme="1"/>
      <name val="Times New Roman"/>
      <family val="1"/>
      <charset val="161"/>
    </font>
    <font>
      <b/>
      <vertAlign val="subscript"/>
      <sz val="12"/>
      <color theme="1"/>
      <name val="Times New Roman"/>
      <family val="1"/>
      <charset val="161"/>
    </font>
    <font>
      <sz val="14"/>
      <color rgb="FF595959"/>
      <name val="Calibri"/>
      <family val="2"/>
      <charset val="161"/>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5">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2" fillId="0" borderId="0" xfId="0" applyFont="1" applyAlignment="1"/>
    <xf numFmtId="2" fontId="0" fillId="0" borderId="0" xfId="0" applyNumberFormat="1"/>
    <xf numFmtId="164" fontId="0" fillId="0" borderId="0" xfId="0" applyNumberFormat="1"/>
    <xf numFmtId="0" fontId="2" fillId="0" borderId="0" xfId="0" applyFont="1" applyAlignment="1">
      <alignment horizontal="center"/>
    </xf>
    <xf numFmtId="165" fontId="0" fillId="0" borderId="0" xfId="0" applyNumberFormat="1"/>
    <xf numFmtId="166" fontId="0" fillId="0" borderId="0" xfId="0" applyNumberFormat="1"/>
    <xf numFmtId="0" fontId="5" fillId="0" borderId="0" xfId="0" applyFont="1"/>
    <xf numFmtId="166" fontId="0" fillId="0" borderId="0" xfId="0" applyNumberFormat="1" applyFont="1"/>
    <xf numFmtId="0" fontId="6" fillId="0" borderId="0" xfId="0" applyFont="1"/>
    <xf numFmtId="165" fontId="2" fillId="0" borderId="0" xfId="0" applyNumberFormat="1" applyFont="1"/>
    <xf numFmtId="11" fontId="0" fillId="0" borderId="0" xfId="0" applyNumberFormat="1"/>
    <xf numFmtId="0" fontId="0" fillId="0" borderId="0" xfId="0" applyNumberFormat="1"/>
    <xf numFmtId="11" fontId="0" fillId="0" borderId="0" xfId="0" applyNumberFormat="1" applyFont="1"/>
    <xf numFmtId="3" fontId="0" fillId="0" borderId="0" xfId="0" applyNumberFormat="1"/>
    <xf numFmtId="167" fontId="0" fillId="0" borderId="0" xfId="0" applyNumberFormat="1"/>
    <xf numFmtId="167" fontId="6" fillId="0" borderId="0" xfId="0" applyNumberFormat="1" applyFont="1"/>
    <xf numFmtId="168" fontId="0" fillId="0" borderId="0" xfId="0" applyNumberFormat="1"/>
    <xf numFmtId="165" fontId="3" fillId="0" borderId="0" xfId="0" applyNumberFormat="1" applyFont="1"/>
    <xf numFmtId="169" fontId="3" fillId="0" borderId="0" xfId="0" applyNumberFormat="1" applyFont="1"/>
    <xf numFmtId="16" fontId="6" fillId="0" borderId="0" xfId="0" applyNumberFormat="1" applyFont="1"/>
    <xf numFmtId="164" fontId="1" fillId="0" borderId="0" xfId="0" applyNumberFormat="1" applyFont="1"/>
    <xf numFmtId="1" fontId="1" fillId="0" borderId="0" xfId="0" applyNumberFormat="1" applyFont="1"/>
    <xf numFmtId="0" fontId="2" fillId="0" borderId="1" xfId="0" applyFont="1" applyBorder="1"/>
    <xf numFmtId="2" fontId="0" fillId="0" borderId="0" xfId="0" applyNumberFormat="1" applyFont="1"/>
    <xf numFmtId="1" fontId="0" fillId="0" borderId="0" xfId="0" applyNumberFormat="1"/>
    <xf numFmtId="171" fontId="0" fillId="0" borderId="0" xfId="0" applyNumberFormat="1"/>
    <xf numFmtId="1" fontId="2" fillId="0" borderId="0" xfId="0" applyNumberFormat="1" applyFont="1"/>
    <xf numFmtId="164" fontId="2" fillId="0" borderId="0" xfId="0" applyNumberFormat="1" applyFont="1"/>
    <xf numFmtId="172" fontId="0" fillId="0" borderId="0" xfId="0" applyNumberFormat="1"/>
    <xf numFmtId="170" fontId="0" fillId="0" borderId="0" xfId="0" applyNumberFormat="1"/>
    <xf numFmtId="2" fontId="2" fillId="0" borderId="0" xfId="0" applyNumberFormat="1" applyFont="1"/>
    <xf numFmtId="169" fontId="0" fillId="0" borderId="0" xfId="0" applyNumberFormat="1"/>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0" xfId="0" applyAlignment="1">
      <alignment horizontal="center"/>
    </xf>
    <xf numFmtId="11" fontId="2" fillId="0" borderId="0" xfId="0" applyNumberFormat="1" applyFont="1"/>
    <xf numFmtId="0" fontId="0" fillId="0" borderId="0" xfId="0" applyProtection="1">
      <protection locked="0"/>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164" fontId="8" fillId="0" borderId="5" xfId="0" applyNumberFormat="1" applyFont="1" applyBorder="1" applyAlignment="1">
      <alignment horizontal="center" vertical="center"/>
    </xf>
    <xf numFmtId="0" fontId="11" fillId="0" borderId="0" xfId="0" applyFont="1" applyAlignment="1">
      <alignment horizontal="center" vertical="center" readingOrder="1"/>
    </xf>
    <xf numFmtId="173" fontId="0" fillId="0" borderId="0" xfId="0" applyNumberFormat="1"/>
    <xf numFmtId="16" fontId="0" fillId="0" borderId="0" xfId="0" applyNumberFormat="1"/>
    <xf numFmtId="174" fontId="0" fillId="0" borderId="0" xfId="0" applyNumberFormat="1"/>
    <xf numFmtId="2" fontId="1" fillId="0" borderId="0" xfId="0" applyNumberFormat="1" applyFont="1"/>
    <xf numFmtId="169" fontId="2" fillId="0" borderId="0" xfId="0" applyNumberFormat="1" applyFont="1"/>
    <xf numFmtId="164" fontId="3" fillId="0" borderId="0" xfId="0" applyNumberFormat="1" applyFont="1"/>
    <xf numFmtId="2" fontId="3" fillId="0" borderId="0" xfId="0" applyNumberFormat="1" applyFont="1"/>
    <xf numFmtId="2" fontId="6" fillId="0" borderId="0" xfId="0" applyNumberFormat="1" applyFont="1"/>
    <xf numFmtId="169" fontId="6" fillId="0" borderId="0" xfId="0" applyNumberFormat="1" applyFont="1"/>
    <xf numFmtId="165" fontId="0" fillId="0" borderId="0" xfId="0" applyNumberFormat="1" applyFont="1"/>
    <xf numFmtId="169" fontId="0" fillId="0" borderId="0" xfId="0" applyNumberFormat="1" applyFont="1"/>
    <xf numFmtId="169" fontId="1" fillId="0" borderId="0" xfId="0" applyNumberFormat="1" applyFont="1"/>
    <xf numFmtId="11" fontId="1" fillId="0" borderId="0" xfId="0" applyNumberFormat="1" applyFont="1"/>
    <xf numFmtId="0" fontId="1" fillId="0" borderId="0" xfId="0" applyNumberFormat="1" applyFont="1"/>
    <xf numFmtId="165" fontId="1" fillId="0" borderId="0" xfId="0" applyNumberFormat="1" applyFont="1"/>
    <xf numFmtId="11" fontId="6" fillId="0" borderId="0" xfId="0" applyNumberFormat="1" applyFont="1"/>
    <xf numFmtId="0" fontId="0" fillId="0" borderId="0" xfId="0" applyFont="1" applyAlignment="1"/>
    <xf numFmtId="164" fontId="0" fillId="0" borderId="0" xfId="0" applyNumberFormat="1" applyFont="1"/>
    <xf numFmtId="173" fontId="1" fillId="0" borderId="0" xfId="0" applyNumberFormat="1" applyFont="1"/>
    <xf numFmtId="11" fontId="0" fillId="2" borderId="0" xfId="0" applyNumberFormat="1" applyFill="1"/>
    <xf numFmtId="2" fontId="5" fillId="0" borderId="0" xfId="0" applyNumberFormat="1" applyFont="1"/>
    <xf numFmtId="169" fontId="8" fillId="0" borderId="5" xfId="0" applyNumberFormat="1" applyFont="1" applyBorder="1" applyAlignment="1">
      <alignment horizontal="center" vertical="center"/>
    </xf>
    <xf numFmtId="169" fontId="0" fillId="0" borderId="0" xfId="0" applyNumberFormat="1" applyAlignment="1">
      <alignment horizont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4.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800" b="1" i="0" baseline="0">
                <a:effectLst/>
                <a:latin typeface="+mj-lt"/>
              </a:rPr>
              <a:t>Μονοφασική ροή νερ</a:t>
            </a:r>
            <a:r>
              <a:rPr lang="en-US" sz="1800" b="1" i="0" baseline="0">
                <a:effectLst/>
                <a:latin typeface="+mj-lt"/>
              </a:rPr>
              <a:t>o</a:t>
            </a:r>
            <a:r>
              <a:rPr lang="el-GR" sz="1800" b="1" i="0" baseline="0">
                <a:effectLst/>
                <a:latin typeface="+mj-lt"/>
              </a:rPr>
              <a:t>ύ υπό πίεση υπερκειμένων 60 </a:t>
            </a:r>
            <a:r>
              <a:rPr lang="en-US" sz="1800" b="1" i="0" baseline="0">
                <a:effectLst/>
                <a:latin typeface="+mj-lt"/>
              </a:rPr>
              <a:t>bar</a:t>
            </a:r>
            <a:endParaRPr lang="el-GR">
              <a:effectLst/>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10 ml/min</c:v>
          </c:tx>
          <c:spPr>
            <a:ln w="25400" cap="rnd">
              <a:noFill/>
              <a:round/>
            </a:ln>
            <a:effectLst/>
          </c:spPr>
          <c:marker>
            <c:symbol val="circle"/>
            <c:size val="5"/>
            <c:spPr>
              <a:solidFill>
                <a:schemeClr val="accent1"/>
              </a:solidFill>
              <a:ln w="9525">
                <a:solidFill>
                  <a:schemeClr val="accent1"/>
                </a:solidFill>
              </a:ln>
              <a:effectLst/>
            </c:spPr>
          </c:marker>
          <c:xVal>
            <c:numRef>
              <c:f>Kw60bar1!$H$3:$H$6</c:f>
              <c:numCache>
                <c:formatCode>General</c:formatCode>
                <c:ptCount val="4"/>
                <c:pt idx="0">
                  <c:v>0</c:v>
                </c:pt>
                <c:pt idx="1">
                  <c:v>9</c:v>
                </c:pt>
                <c:pt idx="2">
                  <c:v>14</c:v>
                </c:pt>
                <c:pt idx="3">
                  <c:v>18</c:v>
                </c:pt>
              </c:numCache>
            </c:numRef>
          </c:xVal>
          <c:yVal>
            <c:numRef>
              <c:f>Kw60bar1!$B$3:$B$6</c:f>
              <c:numCache>
                <c:formatCode>General</c:formatCode>
                <c:ptCount val="4"/>
                <c:pt idx="0">
                  <c:v>7.29</c:v>
                </c:pt>
                <c:pt idx="1">
                  <c:v>8.5399999999999991</c:v>
                </c:pt>
                <c:pt idx="2">
                  <c:v>9.0299999999999994</c:v>
                </c:pt>
                <c:pt idx="3">
                  <c:v>9.58</c:v>
                </c:pt>
              </c:numCache>
            </c:numRef>
          </c:yVal>
          <c:smooth val="0"/>
          <c:extLst>
            <c:ext xmlns:c16="http://schemas.microsoft.com/office/drawing/2014/chart" uri="{C3380CC4-5D6E-409C-BE32-E72D297353CC}">
              <c16:uniqueId val="{00000000-73D7-4AA0-9FD1-F3D88EEC8E5B}"/>
            </c:ext>
          </c:extLst>
        </c:ser>
        <c:ser>
          <c:idx val="1"/>
          <c:order val="1"/>
          <c:tx>
            <c:v>8 ml/min</c:v>
          </c:tx>
          <c:spPr>
            <a:ln w="25400" cap="rnd">
              <a:noFill/>
              <a:round/>
            </a:ln>
            <a:effectLst/>
          </c:spPr>
          <c:marker>
            <c:symbol val="circle"/>
            <c:size val="5"/>
            <c:spPr>
              <a:solidFill>
                <a:schemeClr val="accent2"/>
              </a:solidFill>
              <a:ln w="9525">
                <a:solidFill>
                  <a:schemeClr val="accent2"/>
                </a:solidFill>
              </a:ln>
              <a:effectLst/>
            </c:spPr>
          </c:marker>
          <c:xVal>
            <c:numRef>
              <c:f>Kw60bar1!$H$7:$H$11</c:f>
              <c:numCache>
                <c:formatCode>General</c:formatCode>
                <c:ptCount val="5"/>
                <c:pt idx="0">
                  <c:v>21</c:v>
                </c:pt>
                <c:pt idx="1">
                  <c:v>25</c:v>
                </c:pt>
                <c:pt idx="2">
                  <c:v>29</c:v>
                </c:pt>
                <c:pt idx="3">
                  <c:v>31</c:v>
                </c:pt>
                <c:pt idx="4">
                  <c:v>33</c:v>
                </c:pt>
              </c:numCache>
            </c:numRef>
          </c:xVal>
          <c:yVal>
            <c:numRef>
              <c:f>Kw60bar1!$B$7:$B$11</c:f>
              <c:numCache>
                <c:formatCode>General</c:formatCode>
                <c:ptCount val="5"/>
                <c:pt idx="0">
                  <c:v>8.09</c:v>
                </c:pt>
                <c:pt idx="1">
                  <c:v>8.7100000000000009</c:v>
                </c:pt>
                <c:pt idx="2">
                  <c:v>9.06</c:v>
                </c:pt>
                <c:pt idx="3">
                  <c:v>9.2200000000000006</c:v>
                </c:pt>
                <c:pt idx="4">
                  <c:v>9.4499999999999993</c:v>
                </c:pt>
              </c:numCache>
            </c:numRef>
          </c:yVal>
          <c:smooth val="0"/>
          <c:extLst>
            <c:ext xmlns:c16="http://schemas.microsoft.com/office/drawing/2014/chart" uri="{C3380CC4-5D6E-409C-BE32-E72D297353CC}">
              <c16:uniqueId val="{00000001-73D7-4AA0-9FD1-F3D88EEC8E5B}"/>
            </c:ext>
          </c:extLst>
        </c:ser>
        <c:ser>
          <c:idx val="2"/>
          <c:order val="2"/>
          <c:tx>
            <c:v>7 ml/min</c:v>
          </c:tx>
          <c:spPr>
            <a:ln w="25400" cap="rnd">
              <a:noFill/>
              <a:round/>
            </a:ln>
            <a:effectLst/>
          </c:spPr>
          <c:marker>
            <c:symbol val="circle"/>
            <c:size val="5"/>
            <c:spPr>
              <a:solidFill>
                <a:schemeClr val="accent3"/>
              </a:solidFill>
              <a:ln w="9525">
                <a:solidFill>
                  <a:schemeClr val="accent3"/>
                </a:solidFill>
              </a:ln>
              <a:effectLst/>
            </c:spPr>
          </c:marker>
          <c:xVal>
            <c:numRef>
              <c:f>Kw60bar1!$H$12:$H$16</c:f>
              <c:numCache>
                <c:formatCode>General</c:formatCode>
                <c:ptCount val="5"/>
                <c:pt idx="0">
                  <c:v>33</c:v>
                </c:pt>
                <c:pt idx="1">
                  <c:v>38</c:v>
                </c:pt>
                <c:pt idx="2">
                  <c:v>42</c:v>
                </c:pt>
                <c:pt idx="3">
                  <c:v>48</c:v>
                </c:pt>
                <c:pt idx="4">
                  <c:v>55</c:v>
                </c:pt>
              </c:numCache>
            </c:numRef>
          </c:xVal>
          <c:yVal>
            <c:numRef>
              <c:f>Kw60bar1!$B$12:$B$16</c:f>
              <c:numCache>
                <c:formatCode>General</c:formatCode>
                <c:ptCount val="5"/>
                <c:pt idx="0">
                  <c:v>7.96</c:v>
                </c:pt>
                <c:pt idx="1">
                  <c:v>8.19</c:v>
                </c:pt>
                <c:pt idx="2">
                  <c:v>8.7100000000000009</c:v>
                </c:pt>
                <c:pt idx="3" formatCode="0.00">
                  <c:v>9</c:v>
                </c:pt>
                <c:pt idx="4">
                  <c:v>9.4499999999999993</c:v>
                </c:pt>
              </c:numCache>
            </c:numRef>
          </c:yVal>
          <c:smooth val="0"/>
          <c:extLst>
            <c:ext xmlns:c16="http://schemas.microsoft.com/office/drawing/2014/chart" uri="{C3380CC4-5D6E-409C-BE32-E72D297353CC}">
              <c16:uniqueId val="{00000002-73D7-4AA0-9FD1-F3D88EEC8E5B}"/>
            </c:ext>
          </c:extLst>
        </c:ser>
        <c:ser>
          <c:idx val="3"/>
          <c:order val="3"/>
          <c:tx>
            <c:v>6 ml/min</c:v>
          </c:tx>
          <c:spPr>
            <a:ln w="25400" cap="rnd">
              <a:noFill/>
              <a:round/>
            </a:ln>
            <a:effectLst/>
          </c:spPr>
          <c:marker>
            <c:symbol val="circle"/>
            <c:size val="5"/>
            <c:spPr>
              <a:solidFill>
                <a:schemeClr val="accent4"/>
              </a:solidFill>
              <a:ln w="9525">
                <a:solidFill>
                  <a:schemeClr val="accent4"/>
                </a:solidFill>
              </a:ln>
              <a:effectLst/>
            </c:spPr>
          </c:marker>
          <c:xVal>
            <c:numRef>
              <c:f>Kw60bar1!$H$17:$H$20</c:f>
              <c:numCache>
                <c:formatCode>General</c:formatCode>
                <c:ptCount val="4"/>
                <c:pt idx="0">
                  <c:v>57</c:v>
                </c:pt>
                <c:pt idx="1">
                  <c:v>61</c:v>
                </c:pt>
                <c:pt idx="2">
                  <c:v>65</c:v>
                </c:pt>
                <c:pt idx="3">
                  <c:v>70</c:v>
                </c:pt>
              </c:numCache>
            </c:numRef>
          </c:xVal>
          <c:yVal>
            <c:numRef>
              <c:f>Kw60bar1!$B$17:$B$20</c:f>
              <c:numCache>
                <c:formatCode>General</c:formatCode>
                <c:ptCount val="4"/>
                <c:pt idx="0" formatCode="0.00">
                  <c:v>8.4</c:v>
                </c:pt>
                <c:pt idx="1">
                  <c:v>8.82</c:v>
                </c:pt>
                <c:pt idx="2">
                  <c:v>9.01</c:v>
                </c:pt>
                <c:pt idx="3">
                  <c:v>9.31</c:v>
                </c:pt>
              </c:numCache>
            </c:numRef>
          </c:yVal>
          <c:smooth val="0"/>
          <c:extLst>
            <c:ext xmlns:c16="http://schemas.microsoft.com/office/drawing/2014/chart" uri="{C3380CC4-5D6E-409C-BE32-E72D297353CC}">
              <c16:uniqueId val="{00000003-73D7-4AA0-9FD1-F3D88EEC8E5B}"/>
            </c:ext>
          </c:extLst>
        </c:ser>
        <c:ser>
          <c:idx val="4"/>
          <c:order val="4"/>
          <c:tx>
            <c:v>5 ml/min</c:v>
          </c:tx>
          <c:spPr>
            <a:ln w="25400" cap="rnd">
              <a:noFill/>
              <a:round/>
            </a:ln>
            <a:effectLst/>
          </c:spPr>
          <c:marker>
            <c:symbol val="circle"/>
            <c:size val="5"/>
            <c:spPr>
              <a:solidFill>
                <a:schemeClr val="accent5"/>
              </a:solidFill>
              <a:ln w="9525">
                <a:solidFill>
                  <a:schemeClr val="accent5"/>
                </a:solidFill>
              </a:ln>
              <a:effectLst/>
            </c:spPr>
          </c:marker>
          <c:xVal>
            <c:numRef>
              <c:f>Kw60bar1!$H$21:$H$26</c:f>
              <c:numCache>
                <c:formatCode>General</c:formatCode>
                <c:ptCount val="6"/>
                <c:pt idx="0">
                  <c:v>73</c:v>
                </c:pt>
                <c:pt idx="1">
                  <c:v>78</c:v>
                </c:pt>
                <c:pt idx="2">
                  <c:v>84</c:v>
                </c:pt>
                <c:pt idx="3">
                  <c:v>88</c:v>
                </c:pt>
                <c:pt idx="4">
                  <c:v>93</c:v>
                </c:pt>
                <c:pt idx="5">
                  <c:v>100</c:v>
                </c:pt>
              </c:numCache>
            </c:numRef>
          </c:xVal>
          <c:yVal>
            <c:numRef>
              <c:f>Kw60bar1!$B$21:$B$26</c:f>
              <c:numCache>
                <c:formatCode>0.00</c:formatCode>
                <c:ptCount val="6"/>
                <c:pt idx="0" formatCode="General">
                  <c:v>8.26</c:v>
                </c:pt>
                <c:pt idx="1">
                  <c:v>8.6</c:v>
                </c:pt>
                <c:pt idx="2" formatCode="General">
                  <c:v>8.85</c:v>
                </c:pt>
                <c:pt idx="3" formatCode="General">
                  <c:v>8.9700000000000006</c:v>
                </c:pt>
                <c:pt idx="4" formatCode="General">
                  <c:v>9.17</c:v>
                </c:pt>
                <c:pt idx="5" formatCode="General">
                  <c:v>9.3699999999999992</c:v>
                </c:pt>
              </c:numCache>
            </c:numRef>
          </c:yVal>
          <c:smooth val="0"/>
          <c:extLst>
            <c:ext xmlns:c16="http://schemas.microsoft.com/office/drawing/2014/chart" uri="{C3380CC4-5D6E-409C-BE32-E72D297353CC}">
              <c16:uniqueId val="{00000004-73D7-4AA0-9FD1-F3D88EEC8E5B}"/>
            </c:ext>
          </c:extLst>
        </c:ser>
        <c:ser>
          <c:idx val="5"/>
          <c:order val="5"/>
          <c:tx>
            <c:v>1 ml/min</c:v>
          </c:tx>
          <c:spPr>
            <a:ln w="25400" cap="rnd">
              <a:noFill/>
              <a:round/>
            </a:ln>
            <a:effectLst/>
          </c:spPr>
          <c:marker>
            <c:symbol val="circle"/>
            <c:size val="5"/>
            <c:spPr>
              <a:solidFill>
                <a:schemeClr val="accent6"/>
              </a:solidFill>
              <a:ln w="9525">
                <a:solidFill>
                  <a:schemeClr val="accent6"/>
                </a:solidFill>
              </a:ln>
              <a:effectLst/>
            </c:spPr>
          </c:marker>
          <c:xVal>
            <c:numRef>
              <c:f>Kw60bar1!$H$29:$H$33</c:f>
              <c:numCache>
                <c:formatCode>General</c:formatCode>
                <c:ptCount val="5"/>
                <c:pt idx="0">
                  <c:v>108</c:v>
                </c:pt>
                <c:pt idx="1">
                  <c:v>112</c:v>
                </c:pt>
                <c:pt idx="2">
                  <c:v>133</c:v>
                </c:pt>
                <c:pt idx="3">
                  <c:v>142</c:v>
                </c:pt>
                <c:pt idx="4">
                  <c:v>145</c:v>
                </c:pt>
              </c:numCache>
            </c:numRef>
          </c:xVal>
          <c:yVal>
            <c:numRef>
              <c:f>Kw60bar1!$B$29:$B$33</c:f>
              <c:numCache>
                <c:formatCode>General</c:formatCode>
                <c:ptCount val="5"/>
                <c:pt idx="0">
                  <c:v>4.12</c:v>
                </c:pt>
                <c:pt idx="1">
                  <c:v>3.19</c:v>
                </c:pt>
                <c:pt idx="2">
                  <c:v>3.74</c:v>
                </c:pt>
                <c:pt idx="3">
                  <c:v>3.83</c:v>
                </c:pt>
                <c:pt idx="4">
                  <c:v>3.89</c:v>
                </c:pt>
              </c:numCache>
            </c:numRef>
          </c:yVal>
          <c:smooth val="0"/>
          <c:extLst>
            <c:ext xmlns:c16="http://schemas.microsoft.com/office/drawing/2014/chart" uri="{C3380CC4-5D6E-409C-BE32-E72D297353CC}">
              <c16:uniqueId val="{00000005-73D7-4AA0-9FD1-F3D88EEC8E5B}"/>
            </c:ext>
          </c:extLst>
        </c:ser>
        <c:ser>
          <c:idx val="6"/>
          <c:order val="6"/>
          <c:tx>
            <c:v>3 ml/min</c:v>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(Kw60bar1!$H$34:$H$57,Kw60bar1!$H$139:$H$182)</c:f>
              <c:numCache>
                <c:formatCode>General</c:formatCode>
                <c:ptCount val="68"/>
                <c:pt idx="0">
                  <c:v>150</c:v>
                </c:pt>
                <c:pt idx="1">
                  <c:v>156</c:v>
                </c:pt>
                <c:pt idx="2">
                  <c:v>162</c:v>
                </c:pt>
                <c:pt idx="3">
                  <c:v>200</c:v>
                </c:pt>
                <c:pt idx="4">
                  <c:v>209</c:v>
                </c:pt>
                <c:pt idx="5">
                  <c:v>215</c:v>
                </c:pt>
                <c:pt idx="6">
                  <c:v>222</c:v>
                </c:pt>
                <c:pt idx="7">
                  <c:v>227</c:v>
                </c:pt>
                <c:pt idx="8">
                  <c:v>232</c:v>
                </c:pt>
                <c:pt idx="9">
                  <c:v>238</c:v>
                </c:pt>
                <c:pt idx="10">
                  <c:v>247</c:v>
                </c:pt>
                <c:pt idx="11">
                  <c:v>300</c:v>
                </c:pt>
                <c:pt idx="12">
                  <c:v>303</c:v>
                </c:pt>
                <c:pt idx="13">
                  <c:v>309</c:v>
                </c:pt>
                <c:pt idx="14">
                  <c:v>312</c:v>
                </c:pt>
                <c:pt idx="15">
                  <c:v>316</c:v>
                </c:pt>
                <c:pt idx="16">
                  <c:v>329</c:v>
                </c:pt>
                <c:pt idx="17">
                  <c:v>337</c:v>
                </c:pt>
                <c:pt idx="18">
                  <c:v>342</c:v>
                </c:pt>
                <c:pt idx="19">
                  <c:v>344</c:v>
                </c:pt>
                <c:pt idx="20">
                  <c:v>350</c:v>
                </c:pt>
                <c:pt idx="21">
                  <c:v>350</c:v>
                </c:pt>
                <c:pt idx="22">
                  <c:v>353</c:v>
                </c:pt>
                <c:pt idx="23">
                  <c:v>362</c:v>
                </c:pt>
                <c:pt idx="24">
                  <c:v>858</c:v>
                </c:pt>
                <c:pt idx="25">
                  <c:v>862</c:v>
                </c:pt>
                <c:pt idx="26">
                  <c:v>870</c:v>
                </c:pt>
                <c:pt idx="27">
                  <c:v>873</c:v>
                </c:pt>
                <c:pt idx="28">
                  <c:v>877</c:v>
                </c:pt>
                <c:pt idx="29">
                  <c:v>898</c:v>
                </c:pt>
                <c:pt idx="30">
                  <c:v>920</c:v>
                </c:pt>
                <c:pt idx="31">
                  <c:v>927</c:v>
                </c:pt>
                <c:pt idx="32">
                  <c:v>932</c:v>
                </c:pt>
                <c:pt idx="33">
                  <c:v>938</c:v>
                </c:pt>
                <c:pt idx="34">
                  <c:v>943</c:v>
                </c:pt>
                <c:pt idx="35">
                  <c:v>951</c:v>
                </c:pt>
                <c:pt idx="36">
                  <c:v>960</c:v>
                </c:pt>
                <c:pt idx="37">
                  <c:v>965</c:v>
                </c:pt>
                <c:pt idx="38">
                  <c:v>970</c:v>
                </c:pt>
                <c:pt idx="39">
                  <c:v>980</c:v>
                </c:pt>
                <c:pt idx="40">
                  <c:v>985</c:v>
                </c:pt>
                <c:pt idx="41">
                  <c:v>985</c:v>
                </c:pt>
                <c:pt idx="42">
                  <c:v>986</c:v>
                </c:pt>
                <c:pt idx="43">
                  <c:v>988</c:v>
                </c:pt>
                <c:pt idx="44">
                  <c:v>993</c:v>
                </c:pt>
                <c:pt idx="45">
                  <c:v>997</c:v>
                </c:pt>
                <c:pt idx="46">
                  <c:v>1004</c:v>
                </c:pt>
                <c:pt idx="47">
                  <c:v>1010</c:v>
                </c:pt>
                <c:pt idx="48">
                  <c:v>1018</c:v>
                </c:pt>
                <c:pt idx="49">
                  <c:v>1030</c:v>
                </c:pt>
                <c:pt idx="50">
                  <c:v>1037</c:v>
                </c:pt>
                <c:pt idx="51">
                  <c:v>1042</c:v>
                </c:pt>
                <c:pt idx="52">
                  <c:v>1047</c:v>
                </c:pt>
                <c:pt idx="53">
                  <c:v>1052</c:v>
                </c:pt>
                <c:pt idx="54">
                  <c:v>1057</c:v>
                </c:pt>
                <c:pt idx="55">
                  <c:v>1062</c:v>
                </c:pt>
                <c:pt idx="56">
                  <c:v>1067</c:v>
                </c:pt>
                <c:pt idx="57">
                  <c:v>1072</c:v>
                </c:pt>
                <c:pt idx="58">
                  <c:v>1077</c:v>
                </c:pt>
                <c:pt idx="59">
                  <c:v>1082</c:v>
                </c:pt>
                <c:pt idx="60">
                  <c:v>1087</c:v>
                </c:pt>
                <c:pt idx="61">
                  <c:v>1092</c:v>
                </c:pt>
                <c:pt idx="62">
                  <c:v>1097</c:v>
                </c:pt>
                <c:pt idx="63">
                  <c:v>1102</c:v>
                </c:pt>
                <c:pt idx="64">
                  <c:v>1105</c:v>
                </c:pt>
                <c:pt idx="65">
                  <c:v>1107</c:v>
                </c:pt>
                <c:pt idx="66">
                  <c:v>1112</c:v>
                </c:pt>
                <c:pt idx="67">
                  <c:v>1117</c:v>
                </c:pt>
              </c:numCache>
            </c:numRef>
          </c:xVal>
          <c:yVal>
            <c:numRef>
              <c:f>(Kw60bar1!$B$34:$B$57,Kw60bar1!$B$139:$B$182)</c:f>
              <c:numCache>
                <c:formatCode>General</c:formatCode>
                <c:ptCount val="68"/>
                <c:pt idx="0">
                  <c:v>7.34</c:v>
                </c:pt>
                <c:pt idx="1">
                  <c:v>7.42</c:v>
                </c:pt>
                <c:pt idx="2">
                  <c:v>7.43</c:v>
                </c:pt>
                <c:pt idx="3" formatCode="0.00">
                  <c:v>7.5</c:v>
                </c:pt>
                <c:pt idx="4">
                  <c:v>7.47</c:v>
                </c:pt>
                <c:pt idx="5">
                  <c:v>7.53</c:v>
                </c:pt>
                <c:pt idx="6">
                  <c:v>7.55</c:v>
                </c:pt>
                <c:pt idx="7">
                  <c:v>7.54</c:v>
                </c:pt>
                <c:pt idx="8">
                  <c:v>7.58</c:v>
                </c:pt>
                <c:pt idx="9">
                  <c:v>7.71</c:v>
                </c:pt>
                <c:pt idx="10">
                  <c:v>7.76</c:v>
                </c:pt>
                <c:pt idx="11">
                  <c:v>7.66</c:v>
                </c:pt>
                <c:pt idx="12">
                  <c:v>7.72</c:v>
                </c:pt>
                <c:pt idx="13">
                  <c:v>7.75</c:v>
                </c:pt>
                <c:pt idx="14">
                  <c:v>7.81</c:v>
                </c:pt>
                <c:pt idx="15">
                  <c:v>7.86</c:v>
                </c:pt>
                <c:pt idx="16">
                  <c:v>7.91</c:v>
                </c:pt>
                <c:pt idx="17">
                  <c:v>7.87</c:v>
                </c:pt>
                <c:pt idx="18">
                  <c:v>7.84</c:v>
                </c:pt>
                <c:pt idx="19">
                  <c:v>7.91</c:v>
                </c:pt>
                <c:pt idx="20" formatCode="0.00">
                  <c:v>7.9</c:v>
                </c:pt>
                <c:pt idx="21">
                  <c:v>8.56</c:v>
                </c:pt>
                <c:pt idx="22">
                  <c:v>8.67</c:v>
                </c:pt>
                <c:pt idx="23">
                  <c:v>8.08</c:v>
                </c:pt>
                <c:pt idx="24" formatCode="0.00">
                  <c:v>8</c:v>
                </c:pt>
                <c:pt idx="25">
                  <c:v>8.01</c:v>
                </c:pt>
                <c:pt idx="26">
                  <c:v>8.02</c:v>
                </c:pt>
                <c:pt idx="27">
                  <c:v>8.07</c:v>
                </c:pt>
                <c:pt idx="28">
                  <c:v>8.06</c:v>
                </c:pt>
                <c:pt idx="29" formatCode="0.00">
                  <c:v>8.1999999999999993</c:v>
                </c:pt>
                <c:pt idx="30">
                  <c:v>8.2899999999999991</c:v>
                </c:pt>
                <c:pt idx="31" formatCode="0.00">
                  <c:v>8.3000000000000007</c:v>
                </c:pt>
                <c:pt idx="32">
                  <c:v>8.33</c:v>
                </c:pt>
                <c:pt idx="33">
                  <c:v>8.35</c:v>
                </c:pt>
                <c:pt idx="34">
                  <c:v>8.35</c:v>
                </c:pt>
                <c:pt idx="35">
                  <c:v>8.33</c:v>
                </c:pt>
                <c:pt idx="36">
                  <c:v>8.34</c:v>
                </c:pt>
                <c:pt idx="37">
                  <c:v>8.3699999999999992</c:v>
                </c:pt>
                <c:pt idx="38">
                  <c:v>8.3800000000000008</c:v>
                </c:pt>
                <c:pt idx="39">
                  <c:v>8.41</c:v>
                </c:pt>
                <c:pt idx="40">
                  <c:v>8.4600000000000009</c:v>
                </c:pt>
                <c:pt idx="41">
                  <c:v>8.73</c:v>
                </c:pt>
                <c:pt idx="42">
                  <c:v>8.57</c:v>
                </c:pt>
                <c:pt idx="43">
                  <c:v>8.4700000000000006</c:v>
                </c:pt>
                <c:pt idx="44">
                  <c:v>8.42</c:v>
                </c:pt>
                <c:pt idx="45">
                  <c:v>8.4499999999999993</c:v>
                </c:pt>
                <c:pt idx="46">
                  <c:v>8.4700000000000006</c:v>
                </c:pt>
                <c:pt idx="47">
                  <c:v>8.44</c:v>
                </c:pt>
                <c:pt idx="48" formatCode="0.00">
                  <c:v>8.5</c:v>
                </c:pt>
                <c:pt idx="49">
                  <c:v>8.5399999999999991</c:v>
                </c:pt>
                <c:pt idx="50">
                  <c:v>8.5299999999999994</c:v>
                </c:pt>
                <c:pt idx="51">
                  <c:v>8.52</c:v>
                </c:pt>
                <c:pt idx="52">
                  <c:v>8.5500000000000007</c:v>
                </c:pt>
                <c:pt idx="53">
                  <c:v>8.57</c:v>
                </c:pt>
                <c:pt idx="54">
                  <c:v>8.59</c:v>
                </c:pt>
                <c:pt idx="55">
                  <c:v>8.6199999999999992</c:v>
                </c:pt>
                <c:pt idx="56">
                  <c:v>8.61</c:v>
                </c:pt>
                <c:pt idx="57">
                  <c:v>8.6300000000000008</c:v>
                </c:pt>
                <c:pt idx="58">
                  <c:v>8.6300000000000008</c:v>
                </c:pt>
                <c:pt idx="59">
                  <c:v>8.6300000000000008</c:v>
                </c:pt>
                <c:pt idx="60">
                  <c:v>8.64</c:v>
                </c:pt>
                <c:pt idx="61">
                  <c:v>8.66</c:v>
                </c:pt>
                <c:pt idx="62">
                  <c:v>8.68</c:v>
                </c:pt>
                <c:pt idx="63">
                  <c:v>8.66</c:v>
                </c:pt>
                <c:pt idx="64">
                  <c:v>8.73</c:v>
                </c:pt>
                <c:pt idx="65">
                  <c:v>8.7100000000000009</c:v>
                </c:pt>
                <c:pt idx="66">
                  <c:v>8.74</c:v>
                </c:pt>
                <c:pt idx="67">
                  <c:v>8.7200000000000006</c:v>
                </c:pt>
              </c:numCache>
            </c:numRef>
          </c:yVal>
          <c:smooth val="0"/>
          <c:extLst>
            <c:ext xmlns:c16="http://schemas.microsoft.com/office/drawing/2014/chart" uri="{C3380CC4-5D6E-409C-BE32-E72D297353CC}">
              <c16:uniqueId val="{00000006-73D7-4AA0-9FD1-F3D88EEC8E5B}"/>
            </c:ext>
          </c:extLst>
        </c:ser>
        <c:ser>
          <c:idx val="7"/>
          <c:order val="7"/>
          <c:tx>
            <c:v>3,5 ml/min</c:v>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(Kw60bar1!$H$58:$H$75,Kw60bar1!$H$95:$H$115,Kw60bar1!$H$116:$H$138)</c:f>
              <c:numCache>
                <c:formatCode>General</c:formatCode>
                <c:ptCount val="62"/>
                <c:pt idx="0">
                  <c:v>372</c:v>
                </c:pt>
                <c:pt idx="1">
                  <c:v>382</c:v>
                </c:pt>
                <c:pt idx="2">
                  <c:v>389</c:v>
                </c:pt>
                <c:pt idx="3">
                  <c:v>394</c:v>
                </c:pt>
                <c:pt idx="4">
                  <c:v>407</c:v>
                </c:pt>
                <c:pt idx="5">
                  <c:v>411</c:v>
                </c:pt>
                <c:pt idx="6">
                  <c:v>418</c:v>
                </c:pt>
                <c:pt idx="7">
                  <c:v>423</c:v>
                </c:pt>
                <c:pt idx="8">
                  <c:v>428</c:v>
                </c:pt>
                <c:pt idx="9">
                  <c:v>435</c:v>
                </c:pt>
                <c:pt idx="10">
                  <c:v>443</c:v>
                </c:pt>
                <c:pt idx="11">
                  <c:v>447</c:v>
                </c:pt>
                <c:pt idx="12">
                  <c:v>457</c:v>
                </c:pt>
                <c:pt idx="13">
                  <c:v>461</c:v>
                </c:pt>
                <c:pt idx="14">
                  <c:v>466</c:v>
                </c:pt>
                <c:pt idx="15">
                  <c:v>473</c:v>
                </c:pt>
                <c:pt idx="16">
                  <c:v>478</c:v>
                </c:pt>
                <c:pt idx="17">
                  <c:v>483</c:v>
                </c:pt>
                <c:pt idx="18">
                  <c:v>604</c:v>
                </c:pt>
                <c:pt idx="19">
                  <c:v>607</c:v>
                </c:pt>
                <c:pt idx="20">
                  <c:v>612</c:v>
                </c:pt>
                <c:pt idx="21">
                  <c:v>618</c:v>
                </c:pt>
                <c:pt idx="22">
                  <c:v>623</c:v>
                </c:pt>
                <c:pt idx="23">
                  <c:v>633</c:v>
                </c:pt>
                <c:pt idx="24">
                  <c:v>642</c:v>
                </c:pt>
                <c:pt idx="25">
                  <c:v>649</c:v>
                </c:pt>
                <c:pt idx="26">
                  <c:v>656</c:v>
                </c:pt>
                <c:pt idx="27">
                  <c:v>661</c:v>
                </c:pt>
                <c:pt idx="28">
                  <c:v>666</c:v>
                </c:pt>
                <c:pt idx="29">
                  <c:v>671</c:v>
                </c:pt>
                <c:pt idx="30">
                  <c:v>678</c:v>
                </c:pt>
                <c:pt idx="31">
                  <c:v>682</c:v>
                </c:pt>
                <c:pt idx="32">
                  <c:v>686</c:v>
                </c:pt>
                <c:pt idx="33">
                  <c:v>691</c:v>
                </c:pt>
                <c:pt idx="34">
                  <c:v>699</c:v>
                </c:pt>
                <c:pt idx="35">
                  <c:v>703</c:v>
                </c:pt>
                <c:pt idx="36">
                  <c:v>709</c:v>
                </c:pt>
                <c:pt idx="37">
                  <c:v>714</c:v>
                </c:pt>
                <c:pt idx="38">
                  <c:v>719</c:v>
                </c:pt>
                <c:pt idx="39">
                  <c:v>719</c:v>
                </c:pt>
                <c:pt idx="40">
                  <c:v>719</c:v>
                </c:pt>
                <c:pt idx="41">
                  <c:v>720</c:v>
                </c:pt>
                <c:pt idx="42">
                  <c:v>725</c:v>
                </c:pt>
                <c:pt idx="43">
                  <c:v>725</c:v>
                </c:pt>
                <c:pt idx="44">
                  <c:v>742</c:v>
                </c:pt>
                <c:pt idx="45">
                  <c:v>752</c:v>
                </c:pt>
                <c:pt idx="46">
                  <c:v>761</c:v>
                </c:pt>
                <c:pt idx="47">
                  <c:v>768</c:v>
                </c:pt>
                <c:pt idx="48">
                  <c:v>773</c:v>
                </c:pt>
                <c:pt idx="49">
                  <c:v>778</c:v>
                </c:pt>
                <c:pt idx="50">
                  <c:v>783</c:v>
                </c:pt>
                <c:pt idx="51">
                  <c:v>788</c:v>
                </c:pt>
                <c:pt idx="52">
                  <c:v>798</c:v>
                </c:pt>
                <c:pt idx="53">
                  <c:v>805</c:v>
                </c:pt>
                <c:pt idx="54">
                  <c:v>811</c:v>
                </c:pt>
                <c:pt idx="55">
                  <c:v>818</c:v>
                </c:pt>
                <c:pt idx="56">
                  <c:v>823</c:v>
                </c:pt>
                <c:pt idx="57">
                  <c:v>830</c:v>
                </c:pt>
                <c:pt idx="58">
                  <c:v>843</c:v>
                </c:pt>
                <c:pt idx="59">
                  <c:v>848</c:v>
                </c:pt>
                <c:pt idx="60">
                  <c:v>853</c:v>
                </c:pt>
                <c:pt idx="61">
                  <c:v>858</c:v>
                </c:pt>
              </c:numCache>
            </c:numRef>
          </c:xVal>
          <c:yVal>
            <c:numRef>
              <c:f>(Kw60bar1!$B$58:$B$75,Kw60bar1!$B$95:$B$115,Kw60bar1!$B$116:$B$138)</c:f>
              <c:numCache>
                <c:formatCode>General</c:formatCode>
                <c:ptCount val="62"/>
                <c:pt idx="0">
                  <c:v>9.15</c:v>
                </c:pt>
                <c:pt idx="1">
                  <c:v>8.82</c:v>
                </c:pt>
                <c:pt idx="2">
                  <c:v>8.77</c:v>
                </c:pt>
                <c:pt idx="3">
                  <c:v>8.75</c:v>
                </c:pt>
                <c:pt idx="4">
                  <c:v>8.73</c:v>
                </c:pt>
                <c:pt idx="5">
                  <c:v>8.67</c:v>
                </c:pt>
                <c:pt idx="6">
                  <c:v>8.68</c:v>
                </c:pt>
                <c:pt idx="7">
                  <c:v>8.67</c:v>
                </c:pt>
                <c:pt idx="8">
                  <c:v>8.6199999999999992</c:v>
                </c:pt>
                <c:pt idx="9">
                  <c:v>8.56</c:v>
                </c:pt>
                <c:pt idx="10">
                  <c:v>8.6199999999999992</c:v>
                </c:pt>
                <c:pt idx="11" formatCode="0.00">
                  <c:v>8.6</c:v>
                </c:pt>
                <c:pt idx="12">
                  <c:v>8.5399999999999991</c:v>
                </c:pt>
                <c:pt idx="13" formatCode="0.00">
                  <c:v>8.6</c:v>
                </c:pt>
                <c:pt idx="14">
                  <c:v>8.58</c:v>
                </c:pt>
                <c:pt idx="15">
                  <c:v>8.6199999999999992</c:v>
                </c:pt>
                <c:pt idx="16">
                  <c:v>8.61</c:v>
                </c:pt>
                <c:pt idx="17">
                  <c:v>8.66</c:v>
                </c:pt>
                <c:pt idx="18">
                  <c:v>8.83</c:v>
                </c:pt>
                <c:pt idx="19">
                  <c:v>8.18</c:v>
                </c:pt>
                <c:pt idx="20">
                  <c:v>8.19</c:v>
                </c:pt>
                <c:pt idx="21" formatCode="0.00">
                  <c:v>8.1999999999999993</c:v>
                </c:pt>
                <c:pt idx="22">
                  <c:v>8.17</c:v>
                </c:pt>
                <c:pt idx="23">
                  <c:v>8.18</c:v>
                </c:pt>
                <c:pt idx="24">
                  <c:v>8.19</c:v>
                </c:pt>
                <c:pt idx="25">
                  <c:v>8.24</c:v>
                </c:pt>
                <c:pt idx="26">
                  <c:v>8.18</c:v>
                </c:pt>
                <c:pt idx="27">
                  <c:v>8.19</c:v>
                </c:pt>
                <c:pt idx="28" formatCode="0.00">
                  <c:v>8.1999999999999993</c:v>
                </c:pt>
                <c:pt idx="29">
                  <c:v>8.2100000000000009</c:v>
                </c:pt>
                <c:pt idx="30">
                  <c:v>8.2200000000000006</c:v>
                </c:pt>
                <c:pt idx="31">
                  <c:v>8.25</c:v>
                </c:pt>
                <c:pt idx="32">
                  <c:v>8.27</c:v>
                </c:pt>
                <c:pt idx="33">
                  <c:v>8.25</c:v>
                </c:pt>
                <c:pt idx="34">
                  <c:v>8.25</c:v>
                </c:pt>
                <c:pt idx="35" formatCode="0.00">
                  <c:v>8.3000000000000007</c:v>
                </c:pt>
                <c:pt idx="36">
                  <c:v>8.31</c:v>
                </c:pt>
                <c:pt idx="37">
                  <c:v>8.35</c:v>
                </c:pt>
                <c:pt idx="38">
                  <c:v>8.35</c:v>
                </c:pt>
                <c:pt idx="39">
                  <c:v>9.67</c:v>
                </c:pt>
                <c:pt idx="40">
                  <c:v>9.32</c:v>
                </c:pt>
                <c:pt idx="41">
                  <c:v>9.02</c:v>
                </c:pt>
                <c:pt idx="42" formatCode="0.00">
                  <c:v>8.9</c:v>
                </c:pt>
                <c:pt idx="43">
                  <c:v>8.83</c:v>
                </c:pt>
                <c:pt idx="44">
                  <c:v>8.76</c:v>
                </c:pt>
                <c:pt idx="45">
                  <c:v>8.69</c:v>
                </c:pt>
                <c:pt idx="46">
                  <c:v>8.66</c:v>
                </c:pt>
                <c:pt idx="47">
                  <c:v>8.64</c:v>
                </c:pt>
                <c:pt idx="48" formatCode="0.00">
                  <c:v>8.6</c:v>
                </c:pt>
                <c:pt idx="49">
                  <c:v>8.6300000000000008</c:v>
                </c:pt>
                <c:pt idx="50">
                  <c:v>8.6199999999999992</c:v>
                </c:pt>
                <c:pt idx="51">
                  <c:v>8.59</c:v>
                </c:pt>
                <c:pt idx="52">
                  <c:v>8.5500000000000007</c:v>
                </c:pt>
                <c:pt idx="53">
                  <c:v>8.58</c:v>
                </c:pt>
                <c:pt idx="54">
                  <c:v>8.58</c:v>
                </c:pt>
                <c:pt idx="55">
                  <c:v>8.5500000000000007</c:v>
                </c:pt>
                <c:pt idx="56">
                  <c:v>8.56</c:v>
                </c:pt>
                <c:pt idx="57">
                  <c:v>8.57</c:v>
                </c:pt>
                <c:pt idx="58">
                  <c:v>8.5500000000000007</c:v>
                </c:pt>
                <c:pt idx="59" formatCode="0.00">
                  <c:v>8.6</c:v>
                </c:pt>
                <c:pt idx="60">
                  <c:v>8.5500000000000007</c:v>
                </c:pt>
                <c:pt idx="61" formatCode="0.00">
                  <c:v>8.6</c:v>
                </c:pt>
              </c:numCache>
            </c:numRef>
          </c:yVal>
          <c:smooth val="0"/>
          <c:extLst>
            <c:ext xmlns:c16="http://schemas.microsoft.com/office/drawing/2014/chart" uri="{C3380CC4-5D6E-409C-BE32-E72D297353CC}">
              <c16:uniqueId val="{00000007-73D7-4AA0-9FD1-F3D88EEC8E5B}"/>
            </c:ext>
          </c:extLst>
        </c:ser>
        <c:ser>
          <c:idx val="8"/>
          <c:order val="8"/>
          <c:tx>
            <c:v>4 ml/min</c:v>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Kw60bar1!$H$76:$H$94</c:f>
              <c:numCache>
                <c:formatCode>General</c:formatCode>
                <c:ptCount val="19"/>
                <c:pt idx="0">
                  <c:v>485</c:v>
                </c:pt>
                <c:pt idx="1">
                  <c:v>488</c:v>
                </c:pt>
                <c:pt idx="2">
                  <c:v>495</c:v>
                </c:pt>
                <c:pt idx="3">
                  <c:v>500</c:v>
                </c:pt>
                <c:pt idx="4">
                  <c:v>509</c:v>
                </c:pt>
                <c:pt idx="5">
                  <c:v>513</c:v>
                </c:pt>
                <c:pt idx="6">
                  <c:v>518</c:v>
                </c:pt>
                <c:pt idx="7">
                  <c:v>526</c:v>
                </c:pt>
                <c:pt idx="8">
                  <c:v>531</c:v>
                </c:pt>
                <c:pt idx="9">
                  <c:v>553</c:v>
                </c:pt>
                <c:pt idx="10">
                  <c:v>559</c:v>
                </c:pt>
                <c:pt idx="11">
                  <c:v>563</c:v>
                </c:pt>
                <c:pt idx="12">
                  <c:v>568</c:v>
                </c:pt>
                <c:pt idx="13">
                  <c:v>573</c:v>
                </c:pt>
                <c:pt idx="14">
                  <c:v>583</c:v>
                </c:pt>
                <c:pt idx="15">
                  <c:v>588</c:v>
                </c:pt>
                <c:pt idx="16">
                  <c:v>593</c:v>
                </c:pt>
                <c:pt idx="17">
                  <c:v>598</c:v>
                </c:pt>
                <c:pt idx="18">
                  <c:v>604</c:v>
                </c:pt>
              </c:numCache>
            </c:numRef>
          </c:xVal>
          <c:yVal>
            <c:numRef>
              <c:f>Kw60bar1!$B$76:$B$94</c:f>
              <c:numCache>
                <c:formatCode>General</c:formatCode>
                <c:ptCount val="19"/>
                <c:pt idx="0">
                  <c:v>9.52</c:v>
                </c:pt>
                <c:pt idx="1">
                  <c:v>9.4499999999999993</c:v>
                </c:pt>
                <c:pt idx="2">
                  <c:v>9.27</c:v>
                </c:pt>
                <c:pt idx="3">
                  <c:v>9.2200000000000006</c:v>
                </c:pt>
                <c:pt idx="4">
                  <c:v>9.17</c:v>
                </c:pt>
                <c:pt idx="5">
                  <c:v>9.2100000000000009</c:v>
                </c:pt>
                <c:pt idx="6">
                  <c:v>9.17</c:v>
                </c:pt>
                <c:pt idx="7">
                  <c:v>9.18</c:v>
                </c:pt>
                <c:pt idx="8">
                  <c:v>9.17</c:v>
                </c:pt>
                <c:pt idx="9">
                  <c:v>9.1199999999999992</c:v>
                </c:pt>
                <c:pt idx="10">
                  <c:v>9.16</c:v>
                </c:pt>
                <c:pt idx="11">
                  <c:v>9.16</c:v>
                </c:pt>
                <c:pt idx="12">
                  <c:v>9.1300000000000008</c:v>
                </c:pt>
                <c:pt idx="13" formatCode="0.00">
                  <c:v>9.1</c:v>
                </c:pt>
                <c:pt idx="14">
                  <c:v>9.16</c:v>
                </c:pt>
                <c:pt idx="15">
                  <c:v>9.15</c:v>
                </c:pt>
                <c:pt idx="16">
                  <c:v>9.16</c:v>
                </c:pt>
                <c:pt idx="17">
                  <c:v>9.2200000000000006</c:v>
                </c:pt>
                <c:pt idx="18">
                  <c:v>9.17</c:v>
                </c:pt>
              </c:numCache>
            </c:numRef>
          </c:yVal>
          <c:smooth val="0"/>
          <c:extLst>
            <c:ext xmlns:c16="http://schemas.microsoft.com/office/drawing/2014/chart" uri="{C3380CC4-5D6E-409C-BE32-E72D297353CC}">
              <c16:uniqueId val="{00000008-73D7-4AA0-9FD1-F3D88EEC8E5B}"/>
            </c:ext>
          </c:extLst>
        </c:ser>
        <c:dLbls>
          <c:showLegendKey val="0"/>
          <c:showVal val="0"/>
          <c:showCatName val="0"/>
          <c:showSerName val="0"/>
          <c:showPercent val="0"/>
          <c:showBubbleSize val="0"/>
        </c:dLbls>
        <c:axId val="80800768"/>
        <c:axId val="80848000"/>
      </c:scatterChart>
      <c:valAx>
        <c:axId val="8080076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80848000"/>
        <c:crosses val="autoZero"/>
        <c:crossBetween val="midCat"/>
      </c:valAx>
      <c:valAx>
        <c:axId val="80848000"/>
        <c:scaling>
          <c:orientation val="minMax"/>
          <c:max val="10"/>
          <c:min val="3"/>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Pgauge(barg)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808007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a:t>Μονοφασική ροή νερού</a:t>
            </a:r>
            <a:r>
              <a:rPr lang="el-GR" baseline="0"/>
              <a:t> υπό πίεση υπερκειμένων 60 </a:t>
            </a:r>
            <a:r>
              <a:rPr lang="en-US" baseline="0"/>
              <a:t>bar</a:t>
            </a:r>
            <a:endParaRPr lang="el-G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πειραμτικά σημεία</c:v>
          </c:tx>
          <c:spPr>
            <a:ln w="25400" cap="rnd">
              <a:noFill/>
              <a:round/>
            </a:ln>
            <a:effectLst/>
          </c:spPr>
          <c:marker>
            <c:symbol val="circle"/>
            <c:size val="5"/>
            <c:spPr>
              <a:solidFill>
                <a:schemeClr val="accent1"/>
              </a:solidFill>
              <a:ln w="9525">
                <a:solidFill>
                  <a:schemeClr val="accent1"/>
                </a:solidFill>
              </a:ln>
              <a:effectLst/>
            </c:spPr>
          </c:marker>
          <c:trendline>
            <c:name>y=αx+β</c:name>
            <c:spPr>
              <a:ln w="19050" cap="rnd">
                <a:solidFill>
                  <a:schemeClr val="tx1"/>
                </a:solidFill>
                <a:prstDash val="sysDot"/>
              </a:ln>
              <a:effectLst/>
            </c:spPr>
            <c:trendlineType val="linear"/>
            <c:dispRSqr val="0"/>
            <c:dispEq val="1"/>
            <c:trendlineLbl>
              <c:layout>
                <c:manualLayout>
                  <c:x val="-0.17858135593650987"/>
                  <c:y val="0.4674913662108026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trendline>
            <c:name>y=αx</c:name>
            <c:spPr>
              <a:ln w="19050" cap="rnd">
                <a:solidFill>
                  <a:schemeClr val="tx1"/>
                </a:solidFill>
                <a:prstDash val="sysDot"/>
              </a:ln>
              <a:effectLst/>
            </c:spPr>
            <c:trendlineType val="linear"/>
            <c:intercept val="0"/>
            <c:dispRSqr val="0"/>
            <c:dispEq val="1"/>
            <c:trendlineLbl>
              <c:layout>
                <c:manualLayout>
                  <c:x val="-0.3408872051690538"/>
                  <c:y val="0.1899953032186765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Kw60bar2!$B$22:$B$23</c:f>
              <c:numCache>
                <c:formatCode>0.00</c:formatCode>
                <c:ptCount val="2"/>
                <c:pt idx="0">
                  <c:v>9.0850313125</c:v>
                </c:pt>
                <c:pt idx="1">
                  <c:v>8.5116835333333309</c:v>
                </c:pt>
              </c:numCache>
            </c:numRef>
          </c:xVal>
          <c:yVal>
            <c:numRef>
              <c:f>Kw60bar2!$A$22:$A$23</c:f>
              <c:numCache>
                <c:formatCode>0.000</c:formatCode>
                <c:ptCount val="2"/>
                <c:pt idx="0">
                  <c:v>6.6666666666666666E-2</c:v>
                </c:pt>
                <c:pt idx="1">
                  <c:v>5.8333333333333334E-2</c:v>
                </c:pt>
              </c:numCache>
            </c:numRef>
          </c:yVal>
          <c:smooth val="0"/>
          <c:extLst>
            <c:ext xmlns:c16="http://schemas.microsoft.com/office/drawing/2014/chart" uri="{C3380CC4-5D6E-409C-BE32-E72D297353CC}">
              <c16:uniqueId val="{00000002-09CD-4912-9898-A5B3E2DA0230}"/>
            </c:ext>
          </c:extLst>
        </c:ser>
        <c:dLbls>
          <c:showLegendKey val="0"/>
          <c:showVal val="0"/>
          <c:showCatName val="0"/>
          <c:showSerName val="0"/>
          <c:showPercent val="0"/>
          <c:showBubbleSize val="0"/>
        </c:dLbls>
        <c:axId val="122469376"/>
        <c:axId val="122473856"/>
      </c:scatterChart>
      <c:valAx>
        <c:axId val="122469376"/>
        <c:scaling>
          <c:orientation val="minMax"/>
          <c:max val="9.1999999999999993"/>
          <c:min val="8.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Δ</a:t>
                </a:r>
                <a:r>
                  <a:rPr lang="en-US"/>
                  <a:t>P(atm)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22473856"/>
        <c:crosses val="autoZero"/>
        <c:crossBetween val="midCat"/>
      </c:valAx>
      <c:valAx>
        <c:axId val="12247385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Q(ml/sec)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224693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νερού υπό πίεση υπερκειμένων 60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smoothMarker"/>
        <c:varyColors val="0"/>
        <c:ser>
          <c:idx val="0"/>
          <c:order val="0"/>
          <c:tx>
            <c:v>Buckinghum-Reiner</c:v>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Kw60bar2!$K$35:$K$45</c:f>
              <c:numCache>
                <c:formatCode>0.0</c:formatCode>
                <c:ptCount val="11"/>
                <c:pt idx="0" formatCode="0">
                  <c:v>5</c:v>
                </c:pt>
                <c:pt idx="1">
                  <c:v>5.5</c:v>
                </c:pt>
                <c:pt idx="2" formatCode="0">
                  <c:v>6</c:v>
                </c:pt>
                <c:pt idx="3">
                  <c:v>6.5</c:v>
                </c:pt>
                <c:pt idx="4" formatCode="0">
                  <c:v>7</c:v>
                </c:pt>
                <c:pt idx="5">
                  <c:v>7.5</c:v>
                </c:pt>
                <c:pt idx="6" formatCode="0">
                  <c:v>8</c:v>
                </c:pt>
                <c:pt idx="7">
                  <c:v>8.5</c:v>
                </c:pt>
                <c:pt idx="8" formatCode="0">
                  <c:v>9</c:v>
                </c:pt>
                <c:pt idx="9">
                  <c:v>9.5</c:v>
                </c:pt>
                <c:pt idx="10" formatCode="0">
                  <c:v>10</c:v>
                </c:pt>
              </c:numCache>
            </c:numRef>
          </c:xVal>
          <c:yVal>
            <c:numRef>
              <c:f>Kw60bar2!$L$35:$L$45</c:f>
              <c:numCache>
                <c:formatCode>0.00</c:formatCode>
                <c:ptCount val="11"/>
                <c:pt idx="0">
                  <c:v>2.0172430441133109</c:v>
                </c:pt>
                <c:pt idx="1">
                  <c:v>2.8462343216980761</c:v>
                </c:pt>
                <c:pt idx="2">
                  <c:v>3.6088278204669488</c:v>
                </c:pt>
                <c:pt idx="3">
                  <c:v>4.2968334614269619</c:v>
                </c:pt>
                <c:pt idx="4">
                  <c:v>4.9130776371393017</c:v>
                </c:pt>
                <c:pt idx="5">
                  <c:v>5.4642119782086773</c:v>
                </c:pt>
                <c:pt idx="6">
                  <c:v>5.9577606978875819</c:v>
                </c:pt>
                <c:pt idx="7">
                  <c:v>6.4009406954564589</c:v>
                </c:pt>
                <c:pt idx="8">
                  <c:v>6.8002401508604908</c:v>
                </c:pt>
                <c:pt idx="9">
                  <c:v>7.1613213267496549</c:v>
                </c:pt>
                <c:pt idx="10">
                  <c:v>7.489056665716264</c:v>
                </c:pt>
              </c:numCache>
            </c:numRef>
          </c:yVal>
          <c:smooth val="1"/>
          <c:extLst>
            <c:ext xmlns:c16="http://schemas.microsoft.com/office/drawing/2014/chart" uri="{C3380CC4-5D6E-409C-BE32-E72D297353CC}">
              <c16:uniqueId val="{00000001-5FB9-4FB4-86FA-7D0C21075AE1}"/>
            </c:ext>
          </c:extLst>
        </c:ser>
        <c:dLbls>
          <c:showLegendKey val="0"/>
          <c:showVal val="0"/>
          <c:showCatName val="0"/>
          <c:showSerName val="0"/>
          <c:showPercent val="0"/>
          <c:showBubbleSize val="0"/>
        </c:dLbls>
        <c:axId val="146764928"/>
        <c:axId val="150409216"/>
      </c:scatterChart>
      <c:scatterChart>
        <c:scatterStyle val="lineMarker"/>
        <c:varyColors val="0"/>
        <c:ser>
          <c:idx val="1"/>
          <c:order val="1"/>
          <c:tx>
            <c:v>πειραματικά σημεία</c:v>
          </c:tx>
          <c:spPr>
            <a:ln w="25400" cap="rnd">
              <a:noFill/>
              <a:round/>
            </a:ln>
            <a:effectLst/>
          </c:spPr>
          <c:marker>
            <c:symbol val="circle"/>
            <c:size val="5"/>
            <c:spPr>
              <a:solidFill>
                <a:schemeClr val="accent2"/>
              </a:solidFill>
              <a:ln w="9525">
                <a:solidFill>
                  <a:schemeClr val="accent2"/>
                </a:solidFill>
              </a:ln>
              <a:effectLst/>
            </c:spPr>
          </c:marker>
          <c:xVal>
            <c:numRef>
              <c:f>Kw60bar2!$B$22:$B$23</c:f>
              <c:numCache>
                <c:formatCode>0.00</c:formatCode>
                <c:ptCount val="2"/>
                <c:pt idx="0">
                  <c:v>9.0850313125</c:v>
                </c:pt>
                <c:pt idx="1">
                  <c:v>8.5116835333333309</c:v>
                </c:pt>
              </c:numCache>
            </c:numRef>
          </c:xVal>
          <c:yVal>
            <c:numRef>
              <c:f>Kw60bar2!$C$22:$C$23</c:f>
              <c:numCache>
                <c:formatCode>0.00</c:formatCode>
                <c:ptCount val="2"/>
                <c:pt idx="0">
                  <c:v>6.8641999963798721</c:v>
                </c:pt>
                <c:pt idx="1">
                  <c:v>6.4107482205958926</c:v>
                </c:pt>
              </c:numCache>
            </c:numRef>
          </c:yVal>
          <c:smooth val="0"/>
          <c:extLst>
            <c:ext xmlns:c16="http://schemas.microsoft.com/office/drawing/2014/chart" uri="{C3380CC4-5D6E-409C-BE32-E72D297353CC}">
              <c16:uniqueId val="{00000000-5FB9-4FB4-86FA-7D0C21075AE1}"/>
            </c:ext>
          </c:extLst>
        </c:ser>
        <c:dLbls>
          <c:showLegendKey val="0"/>
          <c:showVal val="0"/>
          <c:showCatName val="0"/>
          <c:showSerName val="0"/>
          <c:showPercent val="0"/>
          <c:showBubbleSize val="0"/>
        </c:dLbls>
        <c:axId val="146764928"/>
        <c:axId val="150409216"/>
      </c:scatterChart>
      <c:valAx>
        <c:axId val="146764928"/>
        <c:scaling>
          <c:orientation val="minMax"/>
          <c:max val="11"/>
          <c:min val="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Δ</a:t>
                </a:r>
                <a:r>
                  <a:rPr lang="en-US"/>
                  <a:t>P(atm)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0409216"/>
        <c:crosses val="autoZero"/>
        <c:crossBetween val="midCat"/>
      </c:valAx>
      <c:valAx>
        <c:axId val="15040921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Kabs(mD)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467649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νερού υπό πίεση υπερκειμένων 60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Buckinghum-Reiner</c:v>
          </c:tx>
          <c:spPr>
            <a:ln w="25400" cap="rnd">
              <a:noFill/>
              <a:round/>
            </a:ln>
            <a:effectLst/>
          </c:spPr>
          <c:marker>
            <c:symbol val="circle"/>
            <c:size val="5"/>
            <c:spPr>
              <a:solidFill>
                <a:schemeClr val="accent1"/>
              </a:solidFill>
              <a:ln w="9525">
                <a:solidFill>
                  <a:schemeClr val="accent1"/>
                </a:solidFill>
              </a:ln>
              <a:effectLst/>
            </c:spPr>
          </c:marker>
          <c:trendline>
            <c:name>y=αx+β (Buckinghum-Reiner)</c:nam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Kw60bar2!$C$49:$C$59</c:f>
              <c:numCache>
                <c:formatCode>General</c:formatCode>
                <c:ptCount val="11"/>
                <c:pt idx="0">
                  <c:v>5</c:v>
                </c:pt>
                <c:pt idx="1">
                  <c:v>5.5</c:v>
                </c:pt>
                <c:pt idx="2">
                  <c:v>6</c:v>
                </c:pt>
                <c:pt idx="3">
                  <c:v>6.5</c:v>
                </c:pt>
                <c:pt idx="4">
                  <c:v>7</c:v>
                </c:pt>
                <c:pt idx="5">
                  <c:v>7.5</c:v>
                </c:pt>
                <c:pt idx="6">
                  <c:v>8</c:v>
                </c:pt>
                <c:pt idx="7">
                  <c:v>8.5</c:v>
                </c:pt>
                <c:pt idx="8">
                  <c:v>9</c:v>
                </c:pt>
                <c:pt idx="9">
                  <c:v>9.5</c:v>
                </c:pt>
                <c:pt idx="10">
                  <c:v>10</c:v>
                </c:pt>
              </c:numCache>
            </c:numRef>
          </c:xVal>
          <c:yVal>
            <c:numRef>
              <c:f>Kw60bar2!$E$49:$E$59</c:f>
              <c:numCache>
                <c:formatCode>General</c:formatCode>
                <c:ptCount val="11"/>
                <c:pt idx="0">
                  <c:v>1.0898933852740322E-2</c:v>
                </c:pt>
                <c:pt idx="1">
                  <c:v>1.6915666984859551E-2</c:v>
                </c:pt>
                <c:pt idx="2">
                  <c:v>2.3397701620125968E-2</c:v>
                </c:pt>
                <c:pt idx="3">
                  <c:v>3.0179890792878573E-2</c:v>
                </c:pt>
                <c:pt idx="4">
                  <c:v>3.7162716546004573E-2</c:v>
                </c:pt>
                <c:pt idx="5">
                  <c:v>4.4283770179531001E-2</c:v>
                </c:pt>
                <c:pt idx="6">
                  <c:v>5.1502561336846234E-2</c:v>
                </c:pt>
                <c:pt idx="7">
                  <c:v>5.8792037997478425E-2</c:v>
                </c:pt>
                <c:pt idx="8">
                  <c:v>6.6133658036827705E-2</c:v>
                </c:pt>
                <c:pt idx="9">
                  <c:v>7.3514422848469374E-2</c:v>
                </c:pt>
                <c:pt idx="10">
                  <c:v>8.0925036234236289E-2</c:v>
                </c:pt>
              </c:numCache>
            </c:numRef>
          </c:yVal>
          <c:smooth val="0"/>
          <c:extLst>
            <c:ext xmlns:c16="http://schemas.microsoft.com/office/drawing/2014/chart" uri="{C3380CC4-5D6E-409C-BE32-E72D297353CC}">
              <c16:uniqueId val="{00000001-93CF-4414-BF2E-7A21A062A86F}"/>
            </c:ext>
          </c:extLst>
        </c:ser>
        <c:ser>
          <c:idx val="1"/>
          <c:order val="1"/>
          <c:tx>
            <c:v>πειραματικά σημεία</c:v>
          </c:tx>
          <c:spPr>
            <a:ln w="25400" cap="rnd">
              <a:noFill/>
              <a:round/>
            </a:ln>
            <a:effectLst/>
          </c:spPr>
          <c:marker>
            <c:symbol val="circle"/>
            <c:size val="5"/>
            <c:spPr>
              <a:solidFill>
                <a:schemeClr val="accent2"/>
              </a:solidFill>
              <a:ln w="9525">
                <a:solidFill>
                  <a:schemeClr val="accent2"/>
                </a:solidFill>
              </a:ln>
              <a:effectLst/>
            </c:spPr>
          </c:marker>
          <c:xVal>
            <c:numRef>
              <c:f>Kw60bar2!$B$22:$B$23</c:f>
              <c:numCache>
                <c:formatCode>0.00</c:formatCode>
                <c:ptCount val="2"/>
                <c:pt idx="0">
                  <c:v>9.0850313125</c:v>
                </c:pt>
                <c:pt idx="1">
                  <c:v>8.5116835333333309</c:v>
                </c:pt>
              </c:numCache>
            </c:numRef>
          </c:xVal>
          <c:yVal>
            <c:numRef>
              <c:f>Kw60bar2!$A$22:$A$23</c:f>
              <c:numCache>
                <c:formatCode>0.000</c:formatCode>
                <c:ptCount val="2"/>
                <c:pt idx="0">
                  <c:v>6.6666666666666666E-2</c:v>
                </c:pt>
                <c:pt idx="1">
                  <c:v>5.8333333333333334E-2</c:v>
                </c:pt>
              </c:numCache>
            </c:numRef>
          </c:yVal>
          <c:smooth val="0"/>
          <c:extLst>
            <c:ext xmlns:c16="http://schemas.microsoft.com/office/drawing/2014/chart" uri="{C3380CC4-5D6E-409C-BE32-E72D297353CC}">
              <c16:uniqueId val="{00000003-93CF-4414-BF2E-7A21A062A86F}"/>
            </c:ext>
          </c:extLst>
        </c:ser>
        <c:dLbls>
          <c:showLegendKey val="0"/>
          <c:showVal val="0"/>
          <c:showCatName val="0"/>
          <c:showSerName val="0"/>
          <c:showPercent val="0"/>
          <c:showBubbleSize val="0"/>
        </c:dLbls>
        <c:axId val="150720896"/>
        <c:axId val="150723584"/>
      </c:scatterChart>
      <c:valAx>
        <c:axId val="150720896"/>
        <c:scaling>
          <c:orientation val="minMax"/>
          <c:max val="11"/>
          <c:min val="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Δ</a:t>
                </a:r>
                <a:r>
                  <a:rPr lang="en-US"/>
                  <a:t>P(atm)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0723584"/>
        <c:crosses val="autoZero"/>
        <c:crossBetween val="midCat"/>
      </c:valAx>
      <c:valAx>
        <c:axId val="150723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Q(ml/sec)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07208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Kw60bar2!$K$35:$K$63</c:f>
              <c:numCache>
                <c:formatCode>0.0</c:formatCode>
                <c:ptCount val="29"/>
                <c:pt idx="0" formatCode="0">
                  <c:v>5</c:v>
                </c:pt>
                <c:pt idx="1">
                  <c:v>5.5</c:v>
                </c:pt>
                <c:pt idx="2" formatCode="0">
                  <c:v>6</c:v>
                </c:pt>
                <c:pt idx="3">
                  <c:v>6.5</c:v>
                </c:pt>
                <c:pt idx="4" formatCode="0">
                  <c:v>7</c:v>
                </c:pt>
                <c:pt idx="5">
                  <c:v>7.5</c:v>
                </c:pt>
                <c:pt idx="6" formatCode="0">
                  <c:v>8</c:v>
                </c:pt>
                <c:pt idx="7">
                  <c:v>8.5</c:v>
                </c:pt>
                <c:pt idx="8" formatCode="0">
                  <c:v>9</c:v>
                </c:pt>
                <c:pt idx="9">
                  <c:v>9.5</c:v>
                </c:pt>
                <c:pt idx="10" formatCode="0">
                  <c:v>10</c:v>
                </c:pt>
                <c:pt idx="11" formatCode="0.00">
                  <c:v>20</c:v>
                </c:pt>
                <c:pt idx="12" formatCode="General">
                  <c:v>30</c:v>
                </c:pt>
                <c:pt idx="13" formatCode="General">
                  <c:v>40</c:v>
                </c:pt>
                <c:pt idx="14" formatCode="General">
                  <c:v>50</c:v>
                </c:pt>
                <c:pt idx="15" formatCode="General">
                  <c:v>60</c:v>
                </c:pt>
                <c:pt idx="16" formatCode="General">
                  <c:v>70</c:v>
                </c:pt>
                <c:pt idx="17" formatCode="General">
                  <c:v>80</c:v>
                </c:pt>
                <c:pt idx="18" formatCode="General">
                  <c:v>90</c:v>
                </c:pt>
                <c:pt idx="19" formatCode="General">
                  <c:v>100</c:v>
                </c:pt>
                <c:pt idx="20" formatCode="General">
                  <c:v>200</c:v>
                </c:pt>
                <c:pt idx="21" formatCode="General">
                  <c:v>300</c:v>
                </c:pt>
                <c:pt idx="22" formatCode="General">
                  <c:v>400</c:v>
                </c:pt>
                <c:pt idx="23" formatCode="General">
                  <c:v>500</c:v>
                </c:pt>
                <c:pt idx="24" formatCode="General">
                  <c:v>600</c:v>
                </c:pt>
                <c:pt idx="25" formatCode="General">
                  <c:v>700</c:v>
                </c:pt>
                <c:pt idx="26" formatCode="General">
                  <c:v>800</c:v>
                </c:pt>
                <c:pt idx="27" formatCode="General">
                  <c:v>900</c:v>
                </c:pt>
                <c:pt idx="28" formatCode="General">
                  <c:v>1000</c:v>
                </c:pt>
              </c:numCache>
            </c:numRef>
          </c:xVal>
          <c:yVal>
            <c:numRef>
              <c:f>Kw60bar2!$L$35:$L$63</c:f>
              <c:numCache>
                <c:formatCode>0.00</c:formatCode>
                <c:ptCount val="29"/>
                <c:pt idx="0">
                  <c:v>2.0172430441133109</c:v>
                </c:pt>
                <c:pt idx="1">
                  <c:v>2.8462343216980761</c:v>
                </c:pt>
                <c:pt idx="2">
                  <c:v>3.6088278204669488</c:v>
                </c:pt>
                <c:pt idx="3">
                  <c:v>4.2968334614269619</c:v>
                </c:pt>
                <c:pt idx="4">
                  <c:v>4.9130776371393017</c:v>
                </c:pt>
                <c:pt idx="5">
                  <c:v>5.4642119782086773</c:v>
                </c:pt>
                <c:pt idx="6">
                  <c:v>5.9577606978875819</c:v>
                </c:pt>
                <c:pt idx="7">
                  <c:v>6.4009406954564589</c:v>
                </c:pt>
                <c:pt idx="8">
                  <c:v>6.8002401508604908</c:v>
                </c:pt>
                <c:pt idx="9">
                  <c:v>7.1613213267496549</c:v>
                </c:pt>
                <c:pt idx="10">
                  <c:v>7.489056665716264</c:v>
                </c:pt>
                <c:pt idx="11">
                  <c:v>10.68928751184591</c:v>
                </c:pt>
                <c:pt idx="12">
                  <c:v>11.774593169787016</c:v>
                </c:pt>
                <c:pt idx="13">
                  <c:v>12.318423187118743</c:v>
                </c:pt>
                <c:pt idx="14">
                  <c:v>12.644916295503979</c:v>
                </c:pt>
                <c:pt idx="15">
                  <c:v>12.86262853986997</c:v>
                </c:pt>
                <c:pt idx="16">
                  <c:v>13.018154026200463</c:v>
                </c:pt>
                <c:pt idx="17">
                  <c:v>13.134804790518158</c:v>
                </c:pt>
                <c:pt idx="18">
                  <c:v>13.225536157583605</c:v>
                </c:pt>
                <c:pt idx="19">
                  <c:v>13.29812273453121</c:v>
                </c:pt>
                <c:pt idx="20">
                  <c:v>13.624772386448358</c:v>
                </c:pt>
                <c:pt idx="21">
                  <c:v>13.733657459958328</c:v>
                </c:pt>
                <c:pt idx="22">
                  <c:v>13.788100114432151</c:v>
                </c:pt>
                <c:pt idx="23">
                  <c:v>13.820765726626243</c:v>
                </c:pt>
                <c:pt idx="24">
                  <c:v>13.842542806439516</c:v>
                </c:pt>
                <c:pt idx="25">
                  <c:v>13.858097865123032</c:v>
                </c:pt>
                <c:pt idx="26">
                  <c:v>13.869764159800626</c:v>
                </c:pt>
                <c:pt idx="27">
                  <c:v>13.878837944849348</c:v>
                </c:pt>
                <c:pt idx="28">
                  <c:v>13.886096973036654</c:v>
                </c:pt>
              </c:numCache>
            </c:numRef>
          </c:yVal>
          <c:smooth val="1"/>
          <c:extLst>
            <c:ext xmlns:c16="http://schemas.microsoft.com/office/drawing/2014/chart" uri="{C3380CC4-5D6E-409C-BE32-E72D297353CC}">
              <c16:uniqueId val="{00000000-0C9E-43EF-993C-0A8B29635341}"/>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Kw60bar2!$B$22:$B$23</c:f>
              <c:numCache>
                <c:formatCode>0.00</c:formatCode>
                <c:ptCount val="2"/>
                <c:pt idx="0">
                  <c:v>9.0850313125</c:v>
                </c:pt>
                <c:pt idx="1">
                  <c:v>8.5116835333333309</c:v>
                </c:pt>
              </c:numCache>
            </c:numRef>
          </c:xVal>
          <c:yVal>
            <c:numRef>
              <c:f>Kw60bar2!$C$22:$C$23</c:f>
              <c:numCache>
                <c:formatCode>0.00</c:formatCode>
                <c:ptCount val="2"/>
                <c:pt idx="0">
                  <c:v>6.8641999963798721</c:v>
                </c:pt>
                <c:pt idx="1">
                  <c:v>6.4107482205958926</c:v>
                </c:pt>
              </c:numCache>
            </c:numRef>
          </c:yVal>
          <c:smooth val="1"/>
          <c:extLst>
            <c:ext xmlns:c16="http://schemas.microsoft.com/office/drawing/2014/chart" uri="{C3380CC4-5D6E-409C-BE32-E72D297353CC}">
              <c16:uniqueId val="{00000002-0C9E-43EF-993C-0A8B29635341}"/>
            </c:ext>
          </c:extLst>
        </c:ser>
        <c:dLbls>
          <c:showLegendKey val="0"/>
          <c:showVal val="0"/>
          <c:showCatName val="0"/>
          <c:showSerName val="0"/>
          <c:showPercent val="0"/>
          <c:showBubbleSize val="0"/>
        </c:dLbls>
        <c:axId val="460189376"/>
        <c:axId val="165023680"/>
      </c:scatterChart>
      <c:valAx>
        <c:axId val="460189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sz="1000" b="1" i="0" u="none" strike="noStrike" baseline="0">
                    <a:effectLst/>
                  </a:rPr>
                  <a:t>Δ</a:t>
                </a:r>
                <a:r>
                  <a:rPr lang="en-US" sz="1000" b="1" i="0" u="none" strike="noStrike" baseline="0">
                    <a:effectLst/>
                  </a:rPr>
                  <a:t>P(atm)</a:t>
                </a:r>
                <a:r>
                  <a:rPr lang="en-US" sz="1000" b="0" i="0" u="none" strike="noStrike" baseline="0"/>
                  <a:t>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65023680"/>
        <c:crosses val="autoZero"/>
        <c:crossBetween val="midCat"/>
      </c:valAx>
      <c:valAx>
        <c:axId val="165023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effectLst/>
                  </a:rPr>
                  <a:t>Kabs(mD)</a:t>
                </a:r>
                <a:r>
                  <a:rPr lang="en-US" sz="1000" b="0" i="0" u="none" strike="noStrike" baseline="0"/>
                  <a:t>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460189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1 ml/min</c:v>
          </c:tx>
          <c:spPr>
            <a:ln w="25400" cap="rnd">
              <a:noFill/>
              <a:round/>
            </a:ln>
            <a:effectLst/>
          </c:spPr>
          <c:marker>
            <c:symbol val="circle"/>
            <c:size val="5"/>
            <c:spPr>
              <a:solidFill>
                <a:schemeClr val="accent1"/>
              </a:solidFill>
              <a:ln w="9525">
                <a:solidFill>
                  <a:schemeClr val="accent1"/>
                </a:solidFill>
              </a:ln>
              <a:effectLst/>
            </c:spPr>
          </c:marker>
          <c:xVal>
            <c:numRef>
              <c:f>Kw220bar!$G$3:$G$43</c:f>
              <c:numCache>
                <c:formatCode>General</c:formatCode>
                <c:ptCount val="41"/>
                <c:pt idx="0">
                  <c:v>0</c:v>
                </c:pt>
                <c:pt idx="1">
                  <c:v>2</c:v>
                </c:pt>
                <c:pt idx="2">
                  <c:v>5</c:v>
                </c:pt>
                <c:pt idx="3">
                  <c:v>7</c:v>
                </c:pt>
                <c:pt idx="4">
                  <c:v>12</c:v>
                </c:pt>
                <c:pt idx="5">
                  <c:v>17</c:v>
                </c:pt>
                <c:pt idx="6">
                  <c:v>23</c:v>
                </c:pt>
                <c:pt idx="7">
                  <c:v>27</c:v>
                </c:pt>
                <c:pt idx="8">
                  <c:v>33</c:v>
                </c:pt>
                <c:pt idx="9">
                  <c:v>45</c:v>
                </c:pt>
                <c:pt idx="10">
                  <c:v>52</c:v>
                </c:pt>
                <c:pt idx="11">
                  <c:v>57</c:v>
                </c:pt>
                <c:pt idx="12">
                  <c:v>63</c:v>
                </c:pt>
                <c:pt idx="13">
                  <c:v>72</c:v>
                </c:pt>
                <c:pt idx="14">
                  <c:v>76</c:v>
                </c:pt>
                <c:pt idx="15">
                  <c:v>81</c:v>
                </c:pt>
                <c:pt idx="16">
                  <c:v>90</c:v>
                </c:pt>
                <c:pt idx="17">
                  <c:v>98</c:v>
                </c:pt>
                <c:pt idx="18">
                  <c:v>103</c:v>
                </c:pt>
                <c:pt idx="19">
                  <c:v>110</c:v>
                </c:pt>
                <c:pt idx="20">
                  <c:v>114</c:v>
                </c:pt>
                <c:pt idx="21">
                  <c:v>122</c:v>
                </c:pt>
                <c:pt idx="22">
                  <c:v>125</c:v>
                </c:pt>
                <c:pt idx="23">
                  <c:v>155</c:v>
                </c:pt>
                <c:pt idx="24">
                  <c:v>185</c:v>
                </c:pt>
                <c:pt idx="25">
                  <c:v>215</c:v>
                </c:pt>
                <c:pt idx="26">
                  <c:v>245</c:v>
                </c:pt>
                <c:pt idx="27">
                  <c:v>250</c:v>
                </c:pt>
                <c:pt idx="28">
                  <c:v>260</c:v>
                </c:pt>
                <c:pt idx="29">
                  <c:v>261</c:v>
                </c:pt>
                <c:pt idx="30">
                  <c:v>286</c:v>
                </c:pt>
                <c:pt idx="31">
                  <c:v>299</c:v>
                </c:pt>
                <c:pt idx="32">
                  <c:v>302</c:v>
                </c:pt>
                <c:pt idx="33">
                  <c:v>304</c:v>
                </c:pt>
                <c:pt idx="34">
                  <c:v>313</c:v>
                </c:pt>
                <c:pt idx="35">
                  <c:v>319</c:v>
                </c:pt>
                <c:pt idx="36">
                  <c:v>323</c:v>
                </c:pt>
                <c:pt idx="37">
                  <c:v>328</c:v>
                </c:pt>
                <c:pt idx="38">
                  <c:v>332</c:v>
                </c:pt>
                <c:pt idx="39">
                  <c:v>337</c:v>
                </c:pt>
                <c:pt idx="40">
                  <c:v>340</c:v>
                </c:pt>
              </c:numCache>
            </c:numRef>
          </c:xVal>
          <c:yVal>
            <c:numRef>
              <c:f>Kw220bar!$B$3:$B$43</c:f>
              <c:numCache>
                <c:formatCode>General</c:formatCode>
                <c:ptCount val="41"/>
                <c:pt idx="0">
                  <c:v>7.15</c:v>
                </c:pt>
                <c:pt idx="1">
                  <c:v>6.13</c:v>
                </c:pt>
                <c:pt idx="2">
                  <c:v>6.02</c:v>
                </c:pt>
                <c:pt idx="3">
                  <c:v>6.02</c:v>
                </c:pt>
                <c:pt idx="4">
                  <c:v>6.06</c:v>
                </c:pt>
                <c:pt idx="5">
                  <c:v>6.11</c:v>
                </c:pt>
                <c:pt idx="6">
                  <c:v>6.22</c:v>
                </c:pt>
                <c:pt idx="7">
                  <c:v>6.24</c:v>
                </c:pt>
                <c:pt idx="8">
                  <c:v>6.29</c:v>
                </c:pt>
                <c:pt idx="9">
                  <c:v>6.39</c:v>
                </c:pt>
                <c:pt idx="10">
                  <c:v>6.47</c:v>
                </c:pt>
                <c:pt idx="11">
                  <c:v>6.48</c:v>
                </c:pt>
                <c:pt idx="12">
                  <c:v>6.51</c:v>
                </c:pt>
                <c:pt idx="13">
                  <c:v>6.55</c:v>
                </c:pt>
                <c:pt idx="14">
                  <c:v>6.57</c:v>
                </c:pt>
                <c:pt idx="15">
                  <c:v>6.61</c:v>
                </c:pt>
                <c:pt idx="16">
                  <c:v>6.61</c:v>
                </c:pt>
                <c:pt idx="17">
                  <c:v>6.66</c:v>
                </c:pt>
                <c:pt idx="18">
                  <c:v>6.7</c:v>
                </c:pt>
                <c:pt idx="19">
                  <c:v>6.7</c:v>
                </c:pt>
                <c:pt idx="20">
                  <c:v>6.73</c:v>
                </c:pt>
                <c:pt idx="21">
                  <c:v>6.74</c:v>
                </c:pt>
                <c:pt idx="22">
                  <c:v>6.76</c:v>
                </c:pt>
                <c:pt idx="23">
                  <c:v>6.71</c:v>
                </c:pt>
                <c:pt idx="24">
                  <c:v>6.73</c:v>
                </c:pt>
                <c:pt idx="25">
                  <c:v>6.71</c:v>
                </c:pt>
                <c:pt idx="26">
                  <c:v>6.68</c:v>
                </c:pt>
                <c:pt idx="27">
                  <c:v>6.7</c:v>
                </c:pt>
                <c:pt idx="28">
                  <c:v>6.73</c:v>
                </c:pt>
                <c:pt idx="29">
                  <c:v>6.75</c:v>
                </c:pt>
                <c:pt idx="30">
                  <c:v>6.66</c:v>
                </c:pt>
                <c:pt idx="31">
                  <c:v>6.71</c:v>
                </c:pt>
                <c:pt idx="32">
                  <c:v>6.75</c:v>
                </c:pt>
                <c:pt idx="33">
                  <c:v>6.7</c:v>
                </c:pt>
                <c:pt idx="34">
                  <c:v>6.79</c:v>
                </c:pt>
                <c:pt idx="35">
                  <c:v>6.78</c:v>
                </c:pt>
                <c:pt idx="36">
                  <c:v>6.8</c:v>
                </c:pt>
                <c:pt idx="37">
                  <c:v>6.73</c:v>
                </c:pt>
                <c:pt idx="38">
                  <c:v>6.78</c:v>
                </c:pt>
                <c:pt idx="39">
                  <c:v>6.8</c:v>
                </c:pt>
                <c:pt idx="40">
                  <c:v>6.76</c:v>
                </c:pt>
              </c:numCache>
            </c:numRef>
          </c:yVal>
          <c:smooth val="0"/>
          <c:extLst>
            <c:ext xmlns:c16="http://schemas.microsoft.com/office/drawing/2014/chart" uri="{C3380CC4-5D6E-409C-BE32-E72D297353CC}">
              <c16:uniqueId val="{00000000-0D6D-4AA6-BF36-4715478958D7}"/>
            </c:ext>
          </c:extLst>
        </c:ser>
        <c:dLbls>
          <c:showLegendKey val="0"/>
          <c:showVal val="0"/>
          <c:showCatName val="0"/>
          <c:showSerName val="0"/>
          <c:showPercent val="0"/>
          <c:showBubbleSize val="0"/>
        </c:dLbls>
        <c:axId val="152670208"/>
        <c:axId val="152672128"/>
      </c:scatterChart>
      <c:valAx>
        <c:axId val="1526702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2672128"/>
        <c:crosses val="autoZero"/>
        <c:crossBetween val="midCat"/>
      </c:valAx>
      <c:valAx>
        <c:axId val="152672128"/>
        <c:scaling>
          <c:orientation val="minMax"/>
          <c:max val="6.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Pgauge(barg)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26702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πετρελαίου στο μη περαιτέρω μειώσιμο βαθμό κορεσμού σε νερό υπό πίεση υπερκειμένων 60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0.18099884023281665"/>
                  <c:y val="7.3701566364385823E-2"/>
                </c:manualLayout>
              </c:layout>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'Keo@Swi60bar'!$Y$24:$Y$26</c:f>
              <c:numCache>
                <c:formatCode>0.00</c:formatCode>
                <c:ptCount val="3"/>
                <c:pt idx="0">
                  <c:v>2.69333981818182</c:v>
                </c:pt>
                <c:pt idx="1">
                  <c:v>3.5810371428571401</c:v>
                </c:pt>
                <c:pt idx="2">
                  <c:v>5.2068843999999999</c:v>
                </c:pt>
              </c:numCache>
            </c:numRef>
          </c:xVal>
          <c:yVal>
            <c:numRef>
              <c:f>'Keo@Swi60bar'!$Z$24:$Z$26</c:f>
              <c:numCache>
                <c:formatCode>0.00</c:formatCode>
                <c:ptCount val="3"/>
                <c:pt idx="0">
                  <c:v>8.3333333333333329E-2</c:v>
                </c:pt>
                <c:pt idx="1">
                  <c:v>0.116666666666667</c:v>
                </c:pt>
                <c:pt idx="2">
                  <c:v>0.16666666666666666</c:v>
                </c:pt>
              </c:numCache>
            </c:numRef>
          </c:yVal>
          <c:smooth val="0"/>
          <c:extLst>
            <c:ext xmlns:c15="http://schemas.microsoft.com/office/drawing/2012/chart" uri="{02D57815-91ED-43cb-92C2-25804820EDAC}">
              <c15:filteredSeriesTitle>
                <c15:tx>
                  <c:v>πειραμτικά σημεία</c:v>
                </c15:tx>
              </c15:filteredSeriesTitle>
            </c:ext>
            <c:ext xmlns:c16="http://schemas.microsoft.com/office/drawing/2014/chart" uri="{C3380CC4-5D6E-409C-BE32-E72D297353CC}">
              <c16:uniqueId val="{00000001-7D2B-4AA8-973B-70330E99CB23}"/>
            </c:ext>
          </c:extLst>
        </c:ser>
        <c:dLbls>
          <c:showLegendKey val="0"/>
          <c:showVal val="0"/>
          <c:showCatName val="0"/>
          <c:showSerName val="0"/>
          <c:showPercent val="0"/>
          <c:showBubbleSize val="0"/>
        </c:dLbls>
        <c:axId val="154459136"/>
        <c:axId val="154676224"/>
      </c:scatterChart>
      <c:valAx>
        <c:axId val="154459136"/>
        <c:scaling>
          <c:orientation val="minMax"/>
          <c:max val="5.3"/>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Δ</a:t>
                </a:r>
                <a:r>
                  <a:rPr lang="en-US"/>
                  <a:t>P(atm)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4676224"/>
        <c:crosses val="autoZero"/>
        <c:crossBetween val="midCat"/>
      </c:valAx>
      <c:valAx>
        <c:axId val="154676224"/>
        <c:scaling>
          <c:orientation val="minMax"/>
          <c:max val="0.17"/>
          <c:min val="8.0000000000000016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Q(ml/sec)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445913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πετρελαίου στο μη περαιτέρω μειώσιμο βαθμό κορεσμού σε νερό υπό πίεση υπερκειμένων 60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5 ml/min</c:v>
          </c:tx>
          <c:spPr>
            <a:ln w="25400" cap="rnd">
              <a:noFill/>
              <a:round/>
            </a:ln>
            <a:effectLst/>
          </c:spPr>
          <c:marker>
            <c:symbol val="circle"/>
            <c:size val="5"/>
            <c:spPr>
              <a:solidFill>
                <a:schemeClr val="accent1"/>
              </a:solidFill>
              <a:ln w="9525">
                <a:solidFill>
                  <a:schemeClr val="accent1"/>
                </a:solidFill>
              </a:ln>
              <a:effectLst/>
            </c:spPr>
          </c:marker>
          <c:xVal>
            <c:numRef>
              <c:f>'Keo@Swi60bar'!$H$3:$H$19</c:f>
              <c:numCache>
                <c:formatCode>General</c:formatCode>
                <c:ptCount val="17"/>
                <c:pt idx="0">
                  <c:v>0</c:v>
                </c:pt>
                <c:pt idx="1">
                  <c:v>5</c:v>
                </c:pt>
                <c:pt idx="2">
                  <c:v>8</c:v>
                </c:pt>
                <c:pt idx="3">
                  <c:v>25</c:v>
                </c:pt>
                <c:pt idx="4">
                  <c:v>34</c:v>
                </c:pt>
                <c:pt idx="5">
                  <c:v>37</c:v>
                </c:pt>
                <c:pt idx="6">
                  <c:v>42</c:v>
                </c:pt>
                <c:pt idx="7">
                  <c:v>48</c:v>
                </c:pt>
                <c:pt idx="8">
                  <c:v>52</c:v>
                </c:pt>
                <c:pt idx="9">
                  <c:v>60</c:v>
                </c:pt>
                <c:pt idx="10">
                  <c:v>60</c:v>
                </c:pt>
                <c:pt idx="11">
                  <c:v>66</c:v>
                </c:pt>
                <c:pt idx="12">
                  <c:v>71</c:v>
                </c:pt>
                <c:pt idx="13">
                  <c:v>86</c:v>
                </c:pt>
                <c:pt idx="14">
                  <c:v>97</c:v>
                </c:pt>
                <c:pt idx="15">
                  <c:v>102</c:v>
                </c:pt>
                <c:pt idx="16">
                  <c:v>108</c:v>
                </c:pt>
              </c:numCache>
            </c:numRef>
          </c:xVal>
          <c:yVal>
            <c:numRef>
              <c:f>'Keo@Swi60bar'!$B$3:$B$19</c:f>
              <c:numCache>
                <c:formatCode>General</c:formatCode>
                <c:ptCount val="17"/>
                <c:pt idx="0">
                  <c:v>3.55</c:v>
                </c:pt>
                <c:pt idx="1">
                  <c:v>3.31</c:v>
                </c:pt>
                <c:pt idx="2">
                  <c:v>3.07</c:v>
                </c:pt>
                <c:pt idx="3">
                  <c:v>2.69</c:v>
                </c:pt>
                <c:pt idx="4">
                  <c:v>2.83</c:v>
                </c:pt>
                <c:pt idx="5">
                  <c:v>2.79</c:v>
                </c:pt>
                <c:pt idx="6">
                  <c:v>2.72</c:v>
                </c:pt>
                <c:pt idx="7">
                  <c:v>2.67</c:v>
                </c:pt>
                <c:pt idx="8">
                  <c:v>2.66</c:v>
                </c:pt>
                <c:pt idx="9">
                  <c:v>2.58</c:v>
                </c:pt>
                <c:pt idx="10">
                  <c:v>2.69</c:v>
                </c:pt>
                <c:pt idx="11">
                  <c:v>2.74</c:v>
                </c:pt>
                <c:pt idx="12">
                  <c:v>2.75</c:v>
                </c:pt>
                <c:pt idx="13">
                  <c:v>2.74</c:v>
                </c:pt>
                <c:pt idx="14">
                  <c:v>2.68</c:v>
                </c:pt>
                <c:pt idx="15">
                  <c:v>2.68</c:v>
                </c:pt>
                <c:pt idx="16">
                  <c:v>2.67</c:v>
                </c:pt>
              </c:numCache>
            </c:numRef>
          </c:yVal>
          <c:smooth val="0"/>
          <c:extLst>
            <c:ext xmlns:c16="http://schemas.microsoft.com/office/drawing/2014/chart" uri="{C3380CC4-5D6E-409C-BE32-E72D297353CC}">
              <c16:uniqueId val="{00000000-1F0F-483C-84DD-48630BE4AB97}"/>
            </c:ext>
          </c:extLst>
        </c:ser>
        <c:ser>
          <c:idx val="1"/>
          <c:order val="1"/>
          <c:tx>
            <c:v>7 ml/min</c:v>
          </c:tx>
          <c:spPr>
            <a:ln w="25400" cap="rnd">
              <a:noFill/>
              <a:round/>
            </a:ln>
            <a:effectLst/>
          </c:spPr>
          <c:marker>
            <c:symbol val="circle"/>
            <c:size val="5"/>
            <c:spPr>
              <a:solidFill>
                <a:schemeClr val="accent2"/>
              </a:solidFill>
              <a:ln w="9525">
                <a:solidFill>
                  <a:schemeClr val="accent2"/>
                </a:solidFill>
              </a:ln>
              <a:effectLst/>
            </c:spPr>
          </c:marker>
          <c:xVal>
            <c:numRef>
              <c:f>'Keo@Swi60bar'!$H$20:$H$30</c:f>
              <c:numCache>
                <c:formatCode>General</c:formatCode>
                <c:ptCount val="11"/>
                <c:pt idx="0">
                  <c:v>108</c:v>
                </c:pt>
                <c:pt idx="1">
                  <c:v>109</c:v>
                </c:pt>
                <c:pt idx="2">
                  <c:v>109</c:v>
                </c:pt>
                <c:pt idx="3">
                  <c:v>110</c:v>
                </c:pt>
                <c:pt idx="4">
                  <c:v>112</c:v>
                </c:pt>
                <c:pt idx="5">
                  <c:v>118</c:v>
                </c:pt>
                <c:pt idx="6">
                  <c:v>122</c:v>
                </c:pt>
                <c:pt idx="7">
                  <c:v>127</c:v>
                </c:pt>
                <c:pt idx="8">
                  <c:v>132</c:v>
                </c:pt>
                <c:pt idx="9">
                  <c:v>137</c:v>
                </c:pt>
                <c:pt idx="10">
                  <c:v>142</c:v>
                </c:pt>
              </c:numCache>
            </c:numRef>
          </c:xVal>
          <c:yVal>
            <c:numRef>
              <c:f>'Keo@Swi60bar'!$B$20:$B$30</c:f>
              <c:numCache>
                <c:formatCode>General</c:formatCode>
                <c:ptCount val="11"/>
                <c:pt idx="0">
                  <c:v>2.68</c:v>
                </c:pt>
                <c:pt idx="1">
                  <c:v>3.2</c:v>
                </c:pt>
                <c:pt idx="2">
                  <c:v>3.65</c:v>
                </c:pt>
                <c:pt idx="3">
                  <c:v>3.62</c:v>
                </c:pt>
                <c:pt idx="4">
                  <c:v>3.58</c:v>
                </c:pt>
                <c:pt idx="5">
                  <c:v>3.58</c:v>
                </c:pt>
                <c:pt idx="6">
                  <c:v>3.58</c:v>
                </c:pt>
                <c:pt idx="7">
                  <c:v>3.61</c:v>
                </c:pt>
                <c:pt idx="8">
                  <c:v>3.59</c:v>
                </c:pt>
                <c:pt idx="9">
                  <c:v>3.6</c:v>
                </c:pt>
                <c:pt idx="10">
                  <c:v>3.58</c:v>
                </c:pt>
              </c:numCache>
            </c:numRef>
          </c:yVal>
          <c:smooth val="0"/>
          <c:extLst>
            <c:ext xmlns:c16="http://schemas.microsoft.com/office/drawing/2014/chart" uri="{C3380CC4-5D6E-409C-BE32-E72D297353CC}">
              <c16:uniqueId val="{00000001-1F0F-483C-84DD-48630BE4AB97}"/>
            </c:ext>
          </c:extLst>
        </c:ser>
        <c:ser>
          <c:idx val="2"/>
          <c:order val="2"/>
          <c:tx>
            <c:v>10 ml/min</c:v>
          </c:tx>
          <c:spPr>
            <a:ln w="25400" cap="rnd">
              <a:noFill/>
              <a:round/>
            </a:ln>
            <a:effectLst/>
          </c:spPr>
          <c:marker>
            <c:symbol val="circle"/>
            <c:size val="5"/>
            <c:spPr>
              <a:solidFill>
                <a:schemeClr val="accent3"/>
              </a:solidFill>
              <a:ln w="9525">
                <a:solidFill>
                  <a:schemeClr val="accent3"/>
                </a:solidFill>
              </a:ln>
              <a:effectLst/>
            </c:spPr>
          </c:marker>
          <c:xVal>
            <c:numRef>
              <c:f>'Keo@Swi60bar'!$H$31:$H$54</c:f>
              <c:numCache>
                <c:formatCode>General</c:formatCode>
                <c:ptCount val="24"/>
                <c:pt idx="0">
                  <c:v>147</c:v>
                </c:pt>
                <c:pt idx="1">
                  <c:v>153</c:v>
                </c:pt>
                <c:pt idx="2">
                  <c:v>157</c:v>
                </c:pt>
                <c:pt idx="3">
                  <c:v>161</c:v>
                </c:pt>
                <c:pt idx="4">
                  <c:v>167</c:v>
                </c:pt>
                <c:pt idx="5">
                  <c:v>173</c:v>
                </c:pt>
                <c:pt idx="6">
                  <c:v>177</c:v>
                </c:pt>
                <c:pt idx="7">
                  <c:v>182</c:v>
                </c:pt>
                <c:pt idx="8">
                  <c:v>185</c:v>
                </c:pt>
                <c:pt idx="9">
                  <c:v>187</c:v>
                </c:pt>
                <c:pt idx="10">
                  <c:v>192</c:v>
                </c:pt>
                <c:pt idx="11">
                  <c:v>192</c:v>
                </c:pt>
                <c:pt idx="12">
                  <c:v>192</c:v>
                </c:pt>
                <c:pt idx="13">
                  <c:v>192</c:v>
                </c:pt>
                <c:pt idx="14">
                  <c:v>192</c:v>
                </c:pt>
                <c:pt idx="15">
                  <c:v>195</c:v>
                </c:pt>
                <c:pt idx="16">
                  <c:v>200</c:v>
                </c:pt>
                <c:pt idx="17">
                  <c:v>205</c:v>
                </c:pt>
                <c:pt idx="18">
                  <c:v>210</c:v>
                </c:pt>
                <c:pt idx="19">
                  <c:v>216</c:v>
                </c:pt>
                <c:pt idx="20">
                  <c:v>220</c:v>
                </c:pt>
                <c:pt idx="21">
                  <c:v>226</c:v>
                </c:pt>
                <c:pt idx="22">
                  <c:v>230</c:v>
                </c:pt>
                <c:pt idx="23">
                  <c:v>235</c:v>
                </c:pt>
              </c:numCache>
            </c:numRef>
          </c:xVal>
          <c:yVal>
            <c:numRef>
              <c:f>'Keo@Swi60bar'!$B$31:$B$54</c:f>
              <c:numCache>
                <c:formatCode>General</c:formatCode>
                <c:ptCount val="24"/>
                <c:pt idx="0">
                  <c:v>4.9800000000000004</c:v>
                </c:pt>
                <c:pt idx="1">
                  <c:v>5.01</c:v>
                </c:pt>
                <c:pt idx="2">
                  <c:v>5.03</c:v>
                </c:pt>
                <c:pt idx="3">
                  <c:v>5.07</c:v>
                </c:pt>
                <c:pt idx="4">
                  <c:v>5.0999999999999996</c:v>
                </c:pt>
                <c:pt idx="5">
                  <c:v>5.1100000000000003</c:v>
                </c:pt>
                <c:pt idx="6">
                  <c:v>5.14</c:v>
                </c:pt>
                <c:pt idx="7">
                  <c:v>5.18</c:v>
                </c:pt>
                <c:pt idx="8">
                  <c:v>5.17</c:v>
                </c:pt>
                <c:pt idx="9">
                  <c:v>5.21</c:v>
                </c:pt>
                <c:pt idx="10">
                  <c:v>5.22</c:v>
                </c:pt>
                <c:pt idx="11">
                  <c:v>5.13</c:v>
                </c:pt>
                <c:pt idx="12">
                  <c:v>5.18</c:v>
                </c:pt>
                <c:pt idx="13">
                  <c:v>5.2</c:v>
                </c:pt>
                <c:pt idx="14">
                  <c:v>5.23</c:v>
                </c:pt>
                <c:pt idx="15">
                  <c:v>5.22</c:v>
                </c:pt>
                <c:pt idx="16">
                  <c:v>5.23</c:v>
                </c:pt>
                <c:pt idx="17">
                  <c:v>5.24</c:v>
                </c:pt>
                <c:pt idx="18">
                  <c:v>5.23</c:v>
                </c:pt>
                <c:pt idx="19">
                  <c:v>5.24</c:v>
                </c:pt>
                <c:pt idx="20">
                  <c:v>5.25</c:v>
                </c:pt>
                <c:pt idx="21">
                  <c:v>5.24</c:v>
                </c:pt>
                <c:pt idx="22">
                  <c:v>5.23</c:v>
                </c:pt>
                <c:pt idx="23">
                  <c:v>5.25</c:v>
                </c:pt>
              </c:numCache>
            </c:numRef>
          </c:yVal>
          <c:smooth val="0"/>
          <c:extLst>
            <c:ext xmlns:c16="http://schemas.microsoft.com/office/drawing/2014/chart" uri="{C3380CC4-5D6E-409C-BE32-E72D297353CC}">
              <c16:uniqueId val="{00000002-1F0F-483C-84DD-48630BE4AB97}"/>
            </c:ext>
          </c:extLst>
        </c:ser>
        <c:dLbls>
          <c:showLegendKey val="0"/>
          <c:showVal val="0"/>
          <c:showCatName val="0"/>
          <c:showSerName val="0"/>
          <c:showPercent val="0"/>
          <c:showBubbleSize val="0"/>
        </c:dLbls>
        <c:axId val="156994176"/>
        <c:axId val="157541120"/>
      </c:scatterChart>
      <c:valAx>
        <c:axId val="1569941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7541120"/>
        <c:crosses val="autoZero"/>
        <c:crossBetween val="midCat"/>
      </c:valAx>
      <c:valAx>
        <c:axId val="157541120"/>
        <c:scaling>
          <c:orientation val="minMax"/>
          <c:min val="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Pgauge(barg)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69941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νερού υπό πίεση υπερκειμένων </a:t>
            </a:r>
            <a:r>
              <a:rPr lang="en-US" sz="1400" b="0" i="0" baseline="0">
                <a:effectLst/>
              </a:rPr>
              <a:t>150</a:t>
            </a:r>
            <a:r>
              <a:rPr lang="el-GR" sz="1400" b="0" i="0" baseline="0">
                <a:effectLst/>
              </a:rPr>
              <a:t>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πειραμτικά σημεία</c:v>
          </c:tx>
          <c:spPr>
            <a:ln w="25400" cap="rnd">
              <a:noFill/>
              <a:round/>
            </a:ln>
            <a:effectLst/>
          </c:spPr>
          <c:marker>
            <c:symbol val="circle"/>
            <c:size val="5"/>
            <c:spPr>
              <a:solidFill>
                <a:schemeClr val="accent1"/>
              </a:solidFill>
              <a:ln w="9525">
                <a:solidFill>
                  <a:schemeClr val="accent1"/>
                </a:solidFill>
              </a:ln>
              <a:effectLst/>
            </c:spPr>
          </c:marker>
          <c:trendline>
            <c:name>y=αx+β</c:nam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'Kw,abs150bar'!$L$93:$L$103</c:f>
              <c:numCache>
                <c:formatCode>0.0</c:formatCode>
                <c:ptCount val="11"/>
                <c:pt idx="0">
                  <c:v>80.925799999999995</c:v>
                </c:pt>
                <c:pt idx="1">
                  <c:v>90.794799999999995</c:v>
                </c:pt>
                <c:pt idx="2">
                  <c:v>68.096100000000007</c:v>
                </c:pt>
                <c:pt idx="3">
                  <c:v>55.266399999999997</c:v>
                </c:pt>
                <c:pt idx="4">
                  <c:v>44.410499999999999</c:v>
                </c:pt>
                <c:pt idx="5">
                  <c:v>32.567700000000002</c:v>
                </c:pt>
                <c:pt idx="6">
                  <c:v>20.231449999999999</c:v>
                </c:pt>
                <c:pt idx="7">
                  <c:v>13.32315</c:v>
                </c:pt>
                <c:pt idx="8">
                  <c:v>7.4017499999999998</c:v>
                </c:pt>
                <c:pt idx="9">
                  <c:v>6.4148500000000004</c:v>
                </c:pt>
                <c:pt idx="10">
                  <c:v>5.9214000000000002</c:v>
                </c:pt>
              </c:numCache>
            </c:numRef>
          </c:xVal>
          <c:yVal>
            <c:numRef>
              <c:f>'Kw,abs150bar'!$M$93:$M$103</c:f>
              <c:numCache>
                <c:formatCode>0.0000</c:formatCode>
                <c:ptCount val="11"/>
                <c:pt idx="0">
                  <c:v>0.1</c:v>
                </c:pt>
                <c:pt idx="1">
                  <c:v>0.116666666666667</c:v>
                </c:pt>
                <c:pt idx="2">
                  <c:v>8.3333333333333301E-2</c:v>
                </c:pt>
                <c:pt idx="3">
                  <c:v>6.6666666666666666E-2</c:v>
                </c:pt>
                <c:pt idx="4">
                  <c:v>0.05</c:v>
                </c:pt>
                <c:pt idx="5">
                  <c:v>3.3333333333333333E-2</c:v>
                </c:pt>
                <c:pt idx="6">
                  <c:v>1.6666666666666701E-2</c:v>
                </c:pt>
                <c:pt idx="7">
                  <c:v>8.3333333333333297E-3</c:v>
                </c:pt>
                <c:pt idx="8">
                  <c:v>1.6666666666666668E-3</c:v>
                </c:pt>
                <c:pt idx="9">
                  <c:v>8.3333333333333339E-4</c:v>
                </c:pt>
                <c:pt idx="10">
                  <c:v>3.3333333333333332E-4</c:v>
                </c:pt>
              </c:numCache>
            </c:numRef>
          </c:yVal>
          <c:smooth val="0"/>
          <c:extLst>
            <c:ext xmlns:c16="http://schemas.microsoft.com/office/drawing/2014/chart" uri="{C3380CC4-5D6E-409C-BE32-E72D297353CC}">
              <c16:uniqueId val="{00000001-9F01-48EB-B976-A41D02F19353}"/>
            </c:ext>
          </c:extLst>
        </c:ser>
        <c:dLbls>
          <c:showLegendKey val="0"/>
          <c:showVal val="0"/>
          <c:showCatName val="0"/>
          <c:showSerName val="0"/>
          <c:showPercent val="0"/>
          <c:showBubbleSize val="0"/>
        </c:dLbls>
        <c:axId val="157992448"/>
        <c:axId val="157994368"/>
      </c:scatterChart>
      <c:valAx>
        <c:axId val="157992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Δ</a:t>
                </a:r>
                <a:r>
                  <a:rPr lang="en-US"/>
                  <a:t>P(atm)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7994368"/>
        <c:crosses val="autoZero"/>
        <c:crossBetween val="midCat"/>
      </c:valAx>
      <c:valAx>
        <c:axId val="157994368"/>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Q(ml/sec)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7992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νερού υπό πίεση υπερκειμένων </a:t>
            </a:r>
            <a:r>
              <a:rPr lang="en-US" sz="1400" b="0" i="0" baseline="0">
                <a:effectLst/>
              </a:rPr>
              <a:t>150</a:t>
            </a:r>
            <a:r>
              <a:rPr lang="el-GR" sz="1400" b="0" i="0" baseline="0">
                <a:effectLst/>
              </a:rPr>
              <a:t>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Buckinghum-Reiner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'Kw,abs150bar'!$Z$118:$Z$136</c:f>
              <c:numCache>
                <c:formatCode>General</c:formatCode>
                <c:ptCount val="19"/>
                <c:pt idx="0">
                  <c:v>10</c:v>
                </c:pt>
                <c:pt idx="1">
                  <c:v>20</c:v>
                </c:pt>
                <c:pt idx="2">
                  <c:v>30</c:v>
                </c:pt>
                <c:pt idx="3">
                  <c:v>40</c:v>
                </c:pt>
                <c:pt idx="4">
                  <c:v>50</c:v>
                </c:pt>
                <c:pt idx="5">
                  <c:v>60</c:v>
                </c:pt>
                <c:pt idx="6">
                  <c:v>70</c:v>
                </c:pt>
                <c:pt idx="7">
                  <c:v>80</c:v>
                </c:pt>
                <c:pt idx="8">
                  <c:v>90</c:v>
                </c:pt>
                <c:pt idx="9">
                  <c:v>100</c:v>
                </c:pt>
                <c:pt idx="10">
                  <c:v>200</c:v>
                </c:pt>
                <c:pt idx="11">
                  <c:v>300</c:v>
                </c:pt>
                <c:pt idx="12">
                  <c:v>400</c:v>
                </c:pt>
                <c:pt idx="13">
                  <c:v>500</c:v>
                </c:pt>
                <c:pt idx="14">
                  <c:v>600</c:v>
                </c:pt>
                <c:pt idx="15">
                  <c:v>700</c:v>
                </c:pt>
                <c:pt idx="16">
                  <c:v>800</c:v>
                </c:pt>
                <c:pt idx="17">
                  <c:v>900</c:v>
                </c:pt>
                <c:pt idx="18">
                  <c:v>1000</c:v>
                </c:pt>
              </c:numCache>
            </c:numRef>
          </c:xVal>
          <c:yVal>
            <c:numRef>
              <c:f>'Kw,abs150bar'!$AC$118:$AC$136</c:f>
              <c:numCache>
                <c:formatCode>0.000</c:formatCode>
                <c:ptCount val="19"/>
                <c:pt idx="0">
                  <c:v>0.36949977869138739</c:v>
                </c:pt>
                <c:pt idx="1">
                  <c:v>0.82066409393679263</c:v>
                </c:pt>
                <c:pt idx="2">
                  <c:v>0.98262982815015343</c:v>
                </c:pt>
                <c:pt idx="3">
                  <c:v>1.0643469382808022</c:v>
                </c:pt>
                <c:pt idx="4" formatCode="0.00">
                  <c:v>1.1134988920517339</c:v>
                </c:pt>
                <c:pt idx="5" formatCode="0.00">
                  <c:v>1.146298154882861</c:v>
                </c:pt>
                <c:pt idx="6" formatCode="0.00">
                  <c:v>1.1697366411572809</c:v>
                </c:pt>
                <c:pt idx="7" formatCode="0.00">
                  <c:v>1.1873196533728885</c:v>
                </c:pt>
                <c:pt idx="8" formatCode="0.00">
                  <c:v>1.2009971974867455</c:v>
                </c:pt>
                <c:pt idx="9" formatCode="0.00">
                  <c:v>1.2119401579476887</c:v>
                </c:pt>
                <c:pt idx="10" formatCode="0.00">
                  <c:v>1.2611897519944202</c:v>
                </c:pt>
                <c:pt idx="11" formatCode="0.00">
                  <c:v>1.2776074411062439</c:v>
                </c:pt>
                <c:pt idx="12" formatCode="0.00">
                  <c:v>1.2858163590864582</c:v>
                </c:pt>
                <c:pt idx="13" formatCode="0.00">
                  <c:v>1.2907417220433559</c:v>
                </c:pt>
                <c:pt idx="14" formatCode="0.00">
                  <c:v>1.2940253004773195</c:v>
                </c:pt>
                <c:pt idx="15" formatCode="0.00">
                  <c:v>1.2963707146885759</c:v>
                </c:pt>
                <c:pt idx="16" formatCode="0.00">
                  <c:v>1.2981297757617689</c:v>
                </c:pt>
                <c:pt idx="17" formatCode="0.00">
                  <c:v>1.2994979345610476</c:v>
                </c:pt>
                <c:pt idx="18" formatCode="0.00">
                  <c:v>1.3005924616929869</c:v>
                </c:pt>
              </c:numCache>
            </c:numRef>
          </c:yVal>
          <c:smooth val="0"/>
          <c:extLst>
            <c:ext xmlns:c16="http://schemas.microsoft.com/office/drawing/2014/chart" uri="{C3380CC4-5D6E-409C-BE32-E72D297353CC}">
              <c16:uniqueId val="{00000000-3E54-4BAF-9C3D-BA14E465E948}"/>
            </c:ext>
          </c:extLst>
        </c:ser>
        <c:dLbls>
          <c:showLegendKey val="0"/>
          <c:showVal val="0"/>
          <c:showCatName val="0"/>
          <c:showSerName val="0"/>
          <c:showPercent val="0"/>
          <c:showBubbleSize val="0"/>
        </c:dLbls>
        <c:axId val="158041600"/>
        <c:axId val="158043520"/>
      </c:scatterChart>
      <c:valAx>
        <c:axId val="1580416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Δ</a:t>
                </a:r>
                <a:r>
                  <a:rPr lang="en-US"/>
                  <a:t>P(atm)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8043520"/>
        <c:crosses val="autoZero"/>
        <c:crossBetween val="midCat"/>
      </c:valAx>
      <c:valAx>
        <c:axId val="15804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Kw(mD)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80416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l-GR" sz="1800" b="0" i="0" baseline="0">
                <a:effectLst/>
              </a:rPr>
              <a:t>Μονοφασική ροή νερού υπό πίεση υπερκειμένων </a:t>
            </a:r>
            <a:r>
              <a:rPr lang="en-US" sz="1800" b="0" i="0" baseline="0">
                <a:effectLst/>
              </a:rPr>
              <a:t>150</a:t>
            </a:r>
            <a:r>
              <a:rPr lang="el-GR" sz="1800" b="0" i="0" baseline="0">
                <a:effectLst/>
              </a:rPr>
              <a:t> </a:t>
            </a:r>
            <a:r>
              <a:rPr lang="en-US" sz="1800" b="0" i="0" baseline="0">
                <a:effectLst/>
              </a:rPr>
              <a:t>bar</a:t>
            </a:r>
            <a:endParaRPr lang="el-GR">
              <a:effectLst/>
            </a:endParaRP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l-GR"/>
        </a:p>
      </c:txPr>
    </c:title>
    <c:autoTitleDeleted val="0"/>
    <c:plotArea>
      <c:layout/>
      <c:scatterChart>
        <c:scatterStyle val="lineMarker"/>
        <c:varyColors val="0"/>
        <c:ser>
          <c:idx val="0"/>
          <c:order val="0"/>
          <c:tx>
            <c:v>16 ml/min</c:v>
          </c:tx>
          <c:spPr>
            <a:ln w="25400" cap="rnd">
              <a:noFill/>
              <a:round/>
            </a:ln>
            <a:effectLst/>
          </c:spPr>
          <c:marker>
            <c:symbol val="diamond"/>
            <c:size val="6"/>
            <c:spPr>
              <a:solidFill>
                <a:schemeClr val="lt1"/>
              </a:solidFill>
              <a:ln w="15875">
                <a:solidFill>
                  <a:schemeClr val="accent1"/>
                </a:solidFill>
                <a:round/>
              </a:ln>
              <a:effectLst/>
            </c:spPr>
          </c:marker>
          <c:xVal>
            <c:numRef>
              <c:f>'Kw,abs150bar'!$H$3:$H$13</c:f>
              <c:numCache>
                <c:formatCode>General</c:formatCode>
                <c:ptCount val="11"/>
                <c:pt idx="0">
                  <c:v>0</c:v>
                </c:pt>
                <c:pt idx="1">
                  <c:v>2</c:v>
                </c:pt>
                <c:pt idx="2">
                  <c:v>4</c:v>
                </c:pt>
                <c:pt idx="3">
                  <c:v>6</c:v>
                </c:pt>
                <c:pt idx="4">
                  <c:v>8</c:v>
                </c:pt>
                <c:pt idx="5">
                  <c:v>10</c:v>
                </c:pt>
                <c:pt idx="6">
                  <c:v>12</c:v>
                </c:pt>
                <c:pt idx="7">
                  <c:v>14</c:v>
                </c:pt>
                <c:pt idx="8">
                  <c:v>16</c:v>
                </c:pt>
                <c:pt idx="9">
                  <c:v>18</c:v>
                </c:pt>
                <c:pt idx="10">
                  <c:v>20</c:v>
                </c:pt>
              </c:numCache>
            </c:numRef>
          </c:xVal>
          <c:yVal>
            <c:numRef>
              <c:f>'Kw,abs150bar'!$B$3:$B$13</c:f>
              <c:numCache>
                <c:formatCode>0.0</c:formatCode>
                <c:ptCount val="11"/>
                <c:pt idx="0">
                  <c:v>75</c:v>
                </c:pt>
                <c:pt idx="1">
                  <c:v>81</c:v>
                </c:pt>
                <c:pt idx="2">
                  <c:v>82</c:v>
                </c:pt>
                <c:pt idx="3">
                  <c:v>84</c:v>
                </c:pt>
                <c:pt idx="4">
                  <c:v>86</c:v>
                </c:pt>
                <c:pt idx="5">
                  <c:v>88</c:v>
                </c:pt>
                <c:pt idx="6">
                  <c:v>90</c:v>
                </c:pt>
                <c:pt idx="7">
                  <c:v>91</c:v>
                </c:pt>
                <c:pt idx="8">
                  <c:v>93</c:v>
                </c:pt>
                <c:pt idx="9">
                  <c:v>94</c:v>
                </c:pt>
                <c:pt idx="10">
                  <c:v>95</c:v>
                </c:pt>
              </c:numCache>
            </c:numRef>
          </c:yVal>
          <c:smooth val="0"/>
          <c:extLst>
            <c:ext xmlns:c16="http://schemas.microsoft.com/office/drawing/2014/chart" uri="{C3380CC4-5D6E-409C-BE32-E72D297353CC}">
              <c16:uniqueId val="{00000000-02CB-4908-9B4D-C63198FC9864}"/>
            </c:ext>
          </c:extLst>
        </c:ser>
        <c:ser>
          <c:idx val="1"/>
          <c:order val="1"/>
          <c:tx>
            <c:v>12 ml/min</c:v>
          </c:tx>
          <c:spPr>
            <a:ln w="25400" cap="rnd">
              <a:noFill/>
              <a:round/>
            </a:ln>
            <a:effectLst/>
          </c:spPr>
          <c:marker>
            <c:symbol val="square"/>
            <c:size val="6"/>
            <c:spPr>
              <a:solidFill>
                <a:schemeClr val="lt1"/>
              </a:solidFill>
              <a:ln w="15875">
                <a:solidFill>
                  <a:schemeClr val="accent2"/>
                </a:solidFill>
                <a:round/>
              </a:ln>
              <a:effectLst/>
            </c:spPr>
          </c:marker>
          <c:xVal>
            <c:numRef>
              <c:f>'Kw,abs150bar'!$H$14:$H$27</c:f>
              <c:numCache>
                <c:formatCode>General</c:formatCode>
                <c:ptCount val="14"/>
                <c:pt idx="0">
                  <c:v>22</c:v>
                </c:pt>
                <c:pt idx="1">
                  <c:v>24</c:v>
                </c:pt>
                <c:pt idx="2">
                  <c:v>26</c:v>
                </c:pt>
                <c:pt idx="3">
                  <c:v>28</c:v>
                </c:pt>
                <c:pt idx="4">
                  <c:v>33</c:v>
                </c:pt>
                <c:pt idx="5">
                  <c:v>38</c:v>
                </c:pt>
                <c:pt idx="6">
                  <c:v>43</c:v>
                </c:pt>
                <c:pt idx="7">
                  <c:v>48</c:v>
                </c:pt>
                <c:pt idx="8">
                  <c:v>53</c:v>
                </c:pt>
                <c:pt idx="9">
                  <c:v>58</c:v>
                </c:pt>
                <c:pt idx="10">
                  <c:v>63</c:v>
                </c:pt>
                <c:pt idx="11">
                  <c:v>68</c:v>
                </c:pt>
                <c:pt idx="12">
                  <c:v>73</c:v>
                </c:pt>
                <c:pt idx="13">
                  <c:v>78</c:v>
                </c:pt>
              </c:numCache>
            </c:numRef>
          </c:xVal>
          <c:yVal>
            <c:numRef>
              <c:f>'Kw,abs150bar'!$B$14:$B$27</c:f>
              <c:numCache>
                <c:formatCode>0.0</c:formatCode>
                <c:ptCount val="14"/>
                <c:pt idx="0">
                  <c:v>74</c:v>
                </c:pt>
                <c:pt idx="1">
                  <c:v>77</c:v>
                </c:pt>
                <c:pt idx="2">
                  <c:v>78</c:v>
                </c:pt>
                <c:pt idx="3">
                  <c:v>80</c:v>
                </c:pt>
                <c:pt idx="4">
                  <c:v>82</c:v>
                </c:pt>
                <c:pt idx="5">
                  <c:v>84</c:v>
                </c:pt>
                <c:pt idx="6">
                  <c:v>86</c:v>
                </c:pt>
                <c:pt idx="7">
                  <c:v>87</c:v>
                </c:pt>
                <c:pt idx="8">
                  <c:v>88</c:v>
                </c:pt>
                <c:pt idx="9">
                  <c:v>89</c:v>
                </c:pt>
                <c:pt idx="10">
                  <c:v>90</c:v>
                </c:pt>
                <c:pt idx="11">
                  <c:v>92</c:v>
                </c:pt>
                <c:pt idx="12">
                  <c:v>86</c:v>
                </c:pt>
                <c:pt idx="13">
                  <c:v>85</c:v>
                </c:pt>
              </c:numCache>
            </c:numRef>
          </c:yVal>
          <c:smooth val="0"/>
          <c:extLst>
            <c:ext xmlns:c16="http://schemas.microsoft.com/office/drawing/2014/chart" uri="{C3380CC4-5D6E-409C-BE32-E72D297353CC}">
              <c16:uniqueId val="{00000001-02CB-4908-9B4D-C63198FC9864}"/>
            </c:ext>
          </c:extLst>
        </c:ser>
        <c:ser>
          <c:idx val="2"/>
          <c:order val="2"/>
          <c:tx>
            <c:v>10 ml/min</c:v>
          </c:tx>
          <c:spPr>
            <a:ln w="25400" cap="rnd">
              <a:noFill/>
              <a:round/>
            </a:ln>
            <a:effectLst/>
          </c:spPr>
          <c:marker>
            <c:symbol val="triangle"/>
            <c:size val="6"/>
            <c:spPr>
              <a:solidFill>
                <a:schemeClr val="lt1"/>
              </a:solidFill>
              <a:ln w="15875">
                <a:solidFill>
                  <a:schemeClr val="accent3"/>
                </a:solidFill>
                <a:round/>
              </a:ln>
              <a:effectLst/>
            </c:spPr>
          </c:marker>
          <c:xVal>
            <c:numRef>
              <c:f>'Kw,abs150bar'!$H$28:$H$39</c:f>
              <c:numCache>
                <c:formatCode>General</c:formatCode>
                <c:ptCount val="12"/>
                <c:pt idx="0">
                  <c:v>83</c:v>
                </c:pt>
                <c:pt idx="1">
                  <c:v>88</c:v>
                </c:pt>
                <c:pt idx="2">
                  <c:v>93</c:v>
                </c:pt>
                <c:pt idx="3">
                  <c:v>98</c:v>
                </c:pt>
                <c:pt idx="4">
                  <c:v>103</c:v>
                </c:pt>
                <c:pt idx="5">
                  <c:v>108</c:v>
                </c:pt>
                <c:pt idx="6">
                  <c:v>113</c:v>
                </c:pt>
                <c:pt idx="7">
                  <c:v>118</c:v>
                </c:pt>
                <c:pt idx="8">
                  <c:v>123</c:v>
                </c:pt>
                <c:pt idx="9">
                  <c:v>128</c:v>
                </c:pt>
                <c:pt idx="10">
                  <c:v>133</c:v>
                </c:pt>
                <c:pt idx="11">
                  <c:v>138</c:v>
                </c:pt>
              </c:numCache>
            </c:numRef>
          </c:xVal>
          <c:yVal>
            <c:numRef>
              <c:f>'Kw,abs150bar'!$B$28:$B$39</c:f>
              <c:numCache>
                <c:formatCode>0.0</c:formatCode>
                <c:ptCount val="12"/>
                <c:pt idx="0">
                  <c:v>72</c:v>
                </c:pt>
                <c:pt idx="1">
                  <c:v>74</c:v>
                </c:pt>
                <c:pt idx="2">
                  <c:v>76</c:v>
                </c:pt>
                <c:pt idx="3">
                  <c:v>79</c:v>
                </c:pt>
                <c:pt idx="4">
                  <c:v>80</c:v>
                </c:pt>
                <c:pt idx="5">
                  <c:v>81</c:v>
                </c:pt>
                <c:pt idx="6">
                  <c:v>82</c:v>
                </c:pt>
                <c:pt idx="7">
                  <c:v>84</c:v>
                </c:pt>
                <c:pt idx="8">
                  <c:v>85</c:v>
                </c:pt>
                <c:pt idx="9">
                  <c:v>86</c:v>
                </c:pt>
                <c:pt idx="10">
                  <c:v>86</c:v>
                </c:pt>
                <c:pt idx="11">
                  <c:v>86</c:v>
                </c:pt>
              </c:numCache>
            </c:numRef>
          </c:yVal>
          <c:smooth val="0"/>
          <c:extLst>
            <c:ext xmlns:c16="http://schemas.microsoft.com/office/drawing/2014/chart" uri="{C3380CC4-5D6E-409C-BE32-E72D297353CC}">
              <c16:uniqueId val="{00000002-02CB-4908-9B4D-C63198FC9864}"/>
            </c:ext>
          </c:extLst>
        </c:ser>
        <c:ser>
          <c:idx val="3"/>
          <c:order val="3"/>
          <c:tx>
            <c:v>8 ml/min</c:v>
          </c:tx>
          <c:spPr>
            <a:ln w="25400" cap="rnd">
              <a:noFill/>
              <a:round/>
            </a:ln>
            <a:effectLst/>
          </c:spPr>
          <c:marker>
            <c:symbol val="x"/>
            <c:size val="6"/>
            <c:spPr>
              <a:noFill/>
              <a:ln w="15875">
                <a:solidFill>
                  <a:schemeClr val="accent4"/>
                </a:solidFill>
                <a:round/>
              </a:ln>
              <a:effectLst/>
            </c:spPr>
          </c:marker>
          <c:xVal>
            <c:numRef>
              <c:f>'Kw,abs150bar'!$H$40:$H$50</c:f>
              <c:numCache>
                <c:formatCode>General</c:formatCode>
                <c:ptCount val="11"/>
                <c:pt idx="0">
                  <c:v>143</c:v>
                </c:pt>
                <c:pt idx="1">
                  <c:v>148</c:v>
                </c:pt>
                <c:pt idx="2">
                  <c:v>153</c:v>
                </c:pt>
                <c:pt idx="3">
                  <c:v>158</c:v>
                </c:pt>
                <c:pt idx="4">
                  <c:v>163</c:v>
                </c:pt>
                <c:pt idx="5">
                  <c:v>168</c:v>
                </c:pt>
                <c:pt idx="6">
                  <c:v>173</c:v>
                </c:pt>
                <c:pt idx="7">
                  <c:v>178</c:v>
                </c:pt>
                <c:pt idx="8">
                  <c:v>183</c:v>
                </c:pt>
                <c:pt idx="9">
                  <c:v>188</c:v>
                </c:pt>
                <c:pt idx="10">
                  <c:v>193</c:v>
                </c:pt>
              </c:numCache>
            </c:numRef>
          </c:xVal>
          <c:yVal>
            <c:numRef>
              <c:f>'Kw,abs150bar'!$B$40:$B$50</c:f>
              <c:numCache>
                <c:formatCode>0.0</c:formatCode>
                <c:ptCount val="11"/>
                <c:pt idx="0">
                  <c:v>68</c:v>
                </c:pt>
                <c:pt idx="1">
                  <c:v>69.5</c:v>
                </c:pt>
                <c:pt idx="2">
                  <c:v>71</c:v>
                </c:pt>
                <c:pt idx="3">
                  <c:v>73</c:v>
                </c:pt>
                <c:pt idx="4">
                  <c:v>74</c:v>
                </c:pt>
                <c:pt idx="5">
                  <c:v>75</c:v>
                </c:pt>
                <c:pt idx="6">
                  <c:v>76</c:v>
                </c:pt>
                <c:pt idx="7">
                  <c:v>77</c:v>
                </c:pt>
                <c:pt idx="8">
                  <c:v>78</c:v>
                </c:pt>
                <c:pt idx="9">
                  <c:v>79</c:v>
                </c:pt>
                <c:pt idx="10">
                  <c:v>80</c:v>
                </c:pt>
              </c:numCache>
            </c:numRef>
          </c:yVal>
          <c:smooth val="0"/>
          <c:extLst>
            <c:ext xmlns:c16="http://schemas.microsoft.com/office/drawing/2014/chart" uri="{C3380CC4-5D6E-409C-BE32-E72D297353CC}">
              <c16:uniqueId val="{00000003-02CB-4908-9B4D-C63198FC9864}"/>
            </c:ext>
          </c:extLst>
        </c:ser>
        <c:ser>
          <c:idx val="4"/>
          <c:order val="4"/>
          <c:tx>
            <c:v>5 ml/min</c:v>
          </c:tx>
          <c:spPr>
            <a:ln w="25400" cap="rnd">
              <a:noFill/>
              <a:round/>
            </a:ln>
            <a:effectLst/>
          </c:spPr>
          <c:marker>
            <c:symbol val="star"/>
            <c:size val="6"/>
            <c:spPr>
              <a:noFill/>
              <a:ln w="15875">
                <a:solidFill>
                  <a:schemeClr val="accent5"/>
                </a:solidFill>
                <a:round/>
              </a:ln>
              <a:effectLst/>
            </c:spPr>
          </c:marker>
          <c:xVal>
            <c:numRef>
              <c:f>('Kw,abs150bar'!$H$51:$H$68,'Kw,abs150bar'!$H$74:$H$82)</c:f>
              <c:numCache>
                <c:formatCode>General</c:formatCode>
                <c:ptCount val="27"/>
                <c:pt idx="0">
                  <c:v>198</c:v>
                </c:pt>
                <c:pt idx="1">
                  <c:v>203</c:v>
                </c:pt>
                <c:pt idx="2">
                  <c:v>208</c:v>
                </c:pt>
                <c:pt idx="3">
                  <c:v>213</c:v>
                </c:pt>
                <c:pt idx="4">
                  <c:v>218</c:v>
                </c:pt>
                <c:pt idx="5">
                  <c:v>223</c:v>
                </c:pt>
                <c:pt idx="6">
                  <c:v>228</c:v>
                </c:pt>
                <c:pt idx="7">
                  <c:v>233</c:v>
                </c:pt>
                <c:pt idx="8">
                  <c:v>238</c:v>
                </c:pt>
                <c:pt idx="9">
                  <c:v>243</c:v>
                </c:pt>
                <c:pt idx="10">
                  <c:v>248</c:v>
                </c:pt>
                <c:pt idx="11">
                  <c:v>253</c:v>
                </c:pt>
                <c:pt idx="12">
                  <c:v>258</c:v>
                </c:pt>
                <c:pt idx="13">
                  <c:v>263</c:v>
                </c:pt>
                <c:pt idx="14">
                  <c:v>268</c:v>
                </c:pt>
                <c:pt idx="15">
                  <c:v>273</c:v>
                </c:pt>
                <c:pt idx="16">
                  <c:v>278</c:v>
                </c:pt>
                <c:pt idx="17">
                  <c:v>283</c:v>
                </c:pt>
                <c:pt idx="18">
                  <c:v>313</c:v>
                </c:pt>
                <c:pt idx="19">
                  <c:v>318</c:v>
                </c:pt>
                <c:pt idx="20">
                  <c:v>323</c:v>
                </c:pt>
                <c:pt idx="21">
                  <c:v>328</c:v>
                </c:pt>
                <c:pt idx="22">
                  <c:v>333</c:v>
                </c:pt>
                <c:pt idx="23">
                  <c:v>338</c:v>
                </c:pt>
                <c:pt idx="24">
                  <c:v>343</c:v>
                </c:pt>
                <c:pt idx="25">
                  <c:v>348</c:v>
                </c:pt>
                <c:pt idx="26">
                  <c:v>353</c:v>
                </c:pt>
              </c:numCache>
            </c:numRef>
          </c:xVal>
          <c:yVal>
            <c:numRef>
              <c:f>('Kw,abs150bar'!$B$51:$B$68,'Kw,abs150bar'!$B$74:$B$82)</c:f>
              <c:numCache>
                <c:formatCode>0.0</c:formatCode>
                <c:ptCount val="27"/>
                <c:pt idx="0">
                  <c:v>52</c:v>
                </c:pt>
                <c:pt idx="1">
                  <c:v>55</c:v>
                </c:pt>
                <c:pt idx="2">
                  <c:v>56</c:v>
                </c:pt>
                <c:pt idx="3">
                  <c:v>56.5</c:v>
                </c:pt>
                <c:pt idx="4">
                  <c:v>57</c:v>
                </c:pt>
                <c:pt idx="5">
                  <c:v>58</c:v>
                </c:pt>
                <c:pt idx="6">
                  <c:v>59</c:v>
                </c:pt>
                <c:pt idx="7">
                  <c:v>60</c:v>
                </c:pt>
                <c:pt idx="8">
                  <c:v>60</c:v>
                </c:pt>
                <c:pt idx="9">
                  <c:v>60.5</c:v>
                </c:pt>
                <c:pt idx="10">
                  <c:v>61</c:v>
                </c:pt>
                <c:pt idx="11">
                  <c:v>61</c:v>
                </c:pt>
                <c:pt idx="12">
                  <c:v>61.5</c:v>
                </c:pt>
                <c:pt idx="13">
                  <c:v>62</c:v>
                </c:pt>
                <c:pt idx="14">
                  <c:v>62.5</c:v>
                </c:pt>
                <c:pt idx="15">
                  <c:v>63</c:v>
                </c:pt>
                <c:pt idx="16">
                  <c:v>63.5</c:v>
                </c:pt>
                <c:pt idx="17">
                  <c:v>64</c:v>
                </c:pt>
                <c:pt idx="18">
                  <c:v>64.5</c:v>
                </c:pt>
                <c:pt idx="19">
                  <c:v>64.5</c:v>
                </c:pt>
                <c:pt idx="20">
                  <c:v>65</c:v>
                </c:pt>
                <c:pt idx="21">
                  <c:v>65</c:v>
                </c:pt>
                <c:pt idx="22">
                  <c:v>65</c:v>
                </c:pt>
                <c:pt idx="23">
                  <c:v>65</c:v>
                </c:pt>
                <c:pt idx="24">
                  <c:v>65</c:v>
                </c:pt>
                <c:pt idx="25">
                  <c:v>65</c:v>
                </c:pt>
                <c:pt idx="26">
                  <c:v>65</c:v>
                </c:pt>
              </c:numCache>
            </c:numRef>
          </c:yVal>
          <c:smooth val="0"/>
          <c:extLst>
            <c:ext xmlns:c16="http://schemas.microsoft.com/office/drawing/2014/chart" uri="{C3380CC4-5D6E-409C-BE32-E72D297353CC}">
              <c16:uniqueId val="{00000004-02CB-4908-9B4D-C63198FC9864}"/>
            </c:ext>
          </c:extLst>
        </c:ser>
        <c:ser>
          <c:idx val="5"/>
          <c:order val="5"/>
          <c:tx>
            <c:v>6 ml/min</c:v>
          </c:tx>
          <c:spPr>
            <a:ln w="25400" cap="rnd">
              <a:noFill/>
              <a:round/>
            </a:ln>
            <a:effectLst/>
          </c:spPr>
          <c:marker>
            <c:symbol val="circle"/>
            <c:size val="6"/>
            <c:spPr>
              <a:solidFill>
                <a:schemeClr val="lt1"/>
              </a:solidFill>
              <a:ln w="15875">
                <a:solidFill>
                  <a:schemeClr val="accent6"/>
                </a:solidFill>
                <a:round/>
              </a:ln>
              <a:effectLst/>
            </c:spPr>
          </c:marker>
          <c:xVal>
            <c:numRef>
              <c:f>('Kw,abs150bar'!$H$69:$H$73,'Kw,abs150bar'!$H$83:$H$89)</c:f>
              <c:numCache>
                <c:formatCode>General</c:formatCode>
                <c:ptCount val="12"/>
                <c:pt idx="0">
                  <c:v>288</c:v>
                </c:pt>
                <c:pt idx="1">
                  <c:v>293</c:v>
                </c:pt>
                <c:pt idx="2">
                  <c:v>298</c:v>
                </c:pt>
                <c:pt idx="3">
                  <c:v>303</c:v>
                </c:pt>
                <c:pt idx="4">
                  <c:v>308</c:v>
                </c:pt>
                <c:pt idx="5">
                  <c:v>358</c:v>
                </c:pt>
                <c:pt idx="6">
                  <c:v>363</c:v>
                </c:pt>
                <c:pt idx="7">
                  <c:v>368</c:v>
                </c:pt>
                <c:pt idx="8">
                  <c:v>373</c:v>
                </c:pt>
                <c:pt idx="9">
                  <c:v>378</c:v>
                </c:pt>
                <c:pt idx="10">
                  <c:v>383</c:v>
                </c:pt>
                <c:pt idx="11">
                  <c:v>388</c:v>
                </c:pt>
              </c:numCache>
            </c:numRef>
          </c:xVal>
          <c:yVal>
            <c:numRef>
              <c:f>('Kw,abs150bar'!$B$69:$B$73,'Kw,abs150bar'!$B$83:$B$89)</c:f>
              <c:numCache>
                <c:formatCode>0.0</c:formatCode>
                <c:ptCount val="12"/>
                <c:pt idx="0">
                  <c:v>75</c:v>
                </c:pt>
                <c:pt idx="1">
                  <c:v>74.5</c:v>
                </c:pt>
                <c:pt idx="2">
                  <c:v>75</c:v>
                </c:pt>
                <c:pt idx="3">
                  <c:v>75</c:v>
                </c:pt>
                <c:pt idx="4">
                  <c:v>75</c:v>
                </c:pt>
                <c:pt idx="5">
                  <c:v>78</c:v>
                </c:pt>
                <c:pt idx="6">
                  <c:v>78</c:v>
                </c:pt>
                <c:pt idx="7">
                  <c:v>78</c:v>
                </c:pt>
                <c:pt idx="8">
                  <c:v>78</c:v>
                </c:pt>
                <c:pt idx="9">
                  <c:v>78</c:v>
                </c:pt>
                <c:pt idx="10">
                  <c:v>78</c:v>
                </c:pt>
                <c:pt idx="11">
                  <c:v>78</c:v>
                </c:pt>
              </c:numCache>
            </c:numRef>
          </c:yVal>
          <c:smooth val="0"/>
          <c:extLst>
            <c:ext xmlns:c16="http://schemas.microsoft.com/office/drawing/2014/chart" uri="{C3380CC4-5D6E-409C-BE32-E72D297353CC}">
              <c16:uniqueId val="{00000005-02CB-4908-9B4D-C63198FC9864}"/>
            </c:ext>
          </c:extLst>
        </c:ser>
        <c:ser>
          <c:idx val="6"/>
          <c:order val="6"/>
          <c:tx>
            <c:v>7 ml/min</c:v>
          </c:tx>
          <c:spPr>
            <a:ln w="25400" cap="rnd">
              <a:noFill/>
              <a:round/>
            </a:ln>
            <a:effectLst/>
          </c:spPr>
          <c:marker>
            <c:symbol val="plus"/>
            <c:size val="6"/>
            <c:spPr>
              <a:noFill/>
              <a:ln w="15875">
                <a:solidFill>
                  <a:schemeClr val="accent1">
                    <a:lumMod val="60000"/>
                  </a:schemeClr>
                </a:solidFill>
                <a:round/>
              </a:ln>
              <a:effectLst/>
            </c:spPr>
          </c:marker>
          <c:xVal>
            <c:numRef>
              <c:f>'Kw,abs150bar'!$H$90:$H$96</c:f>
              <c:numCache>
                <c:formatCode>General</c:formatCode>
                <c:ptCount val="7"/>
                <c:pt idx="0">
                  <c:v>393</c:v>
                </c:pt>
                <c:pt idx="1">
                  <c:v>398</c:v>
                </c:pt>
                <c:pt idx="2">
                  <c:v>403</c:v>
                </c:pt>
                <c:pt idx="3">
                  <c:v>408</c:v>
                </c:pt>
                <c:pt idx="4">
                  <c:v>413</c:v>
                </c:pt>
                <c:pt idx="5">
                  <c:v>418</c:v>
                </c:pt>
                <c:pt idx="6">
                  <c:v>423</c:v>
                </c:pt>
              </c:numCache>
            </c:numRef>
          </c:xVal>
          <c:yVal>
            <c:numRef>
              <c:f>'Kw,abs150bar'!$B$90:$B$96</c:f>
              <c:numCache>
                <c:formatCode>0.0</c:formatCode>
                <c:ptCount val="7"/>
                <c:pt idx="0">
                  <c:v>88</c:v>
                </c:pt>
                <c:pt idx="1">
                  <c:v>88</c:v>
                </c:pt>
                <c:pt idx="2">
                  <c:v>88</c:v>
                </c:pt>
                <c:pt idx="3">
                  <c:v>88</c:v>
                </c:pt>
                <c:pt idx="4">
                  <c:v>88</c:v>
                </c:pt>
                <c:pt idx="5">
                  <c:v>88</c:v>
                </c:pt>
                <c:pt idx="6">
                  <c:v>88</c:v>
                </c:pt>
              </c:numCache>
            </c:numRef>
          </c:yVal>
          <c:smooth val="0"/>
          <c:extLst>
            <c:ext xmlns:c16="http://schemas.microsoft.com/office/drawing/2014/chart" uri="{C3380CC4-5D6E-409C-BE32-E72D297353CC}">
              <c16:uniqueId val="{00000006-02CB-4908-9B4D-C63198FC9864}"/>
            </c:ext>
          </c:extLst>
        </c:ser>
        <c:ser>
          <c:idx val="7"/>
          <c:order val="7"/>
          <c:tx>
            <c:v>4 ml/min</c:v>
          </c:tx>
          <c:spPr>
            <a:ln w="25400" cap="rnd">
              <a:noFill/>
              <a:round/>
            </a:ln>
            <a:effectLst/>
          </c:spPr>
          <c:marker>
            <c:symbol val="dot"/>
            <c:size val="6"/>
            <c:spPr>
              <a:solidFill>
                <a:schemeClr val="lt1"/>
              </a:solidFill>
              <a:ln w="15875">
                <a:solidFill>
                  <a:schemeClr val="accent2">
                    <a:lumMod val="60000"/>
                  </a:schemeClr>
                </a:solidFill>
                <a:round/>
              </a:ln>
              <a:effectLst/>
            </c:spPr>
          </c:marker>
          <c:xVal>
            <c:numRef>
              <c:f>'Kw,abs150bar'!$H$97:$H$103</c:f>
              <c:numCache>
                <c:formatCode>General</c:formatCode>
                <c:ptCount val="7"/>
                <c:pt idx="0">
                  <c:v>428</c:v>
                </c:pt>
                <c:pt idx="1">
                  <c:v>433</c:v>
                </c:pt>
                <c:pt idx="2">
                  <c:v>438</c:v>
                </c:pt>
                <c:pt idx="3">
                  <c:v>443</c:v>
                </c:pt>
                <c:pt idx="4">
                  <c:v>448</c:v>
                </c:pt>
                <c:pt idx="5">
                  <c:v>453</c:v>
                </c:pt>
                <c:pt idx="6">
                  <c:v>458</c:v>
                </c:pt>
              </c:numCache>
            </c:numRef>
          </c:xVal>
          <c:yVal>
            <c:numRef>
              <c:f>'Kw,abs150bar'!$B$97:$B$103</c:f>
              <c:numCache>
                <c:formatCode>0.0</c:formatCode>
                <c:ptCount val="7"/>
                <c:pt idx="0">
                  <c:v>52</c:v>
                </c:pt>
                <c:pt idx="1">
                  <c:v>52</c:v>
                </c:pt>
                <c:pt idx="2">
                  <c:v>52</c:v>
                </c:pt>
                <c:pt idx="3">
                  <c:v>52</c:v>
                </c:pt>
                <c:pt idx="4">
                  <c:v>52</c:v>
                </c:pt>
                <c:pt idx="5">
                  <c:v>52</c:v>
                </c:pt>
                <c:pt idx="6">
                  <c:v>52</c:v>
                </c:pt>
              </c:numCache>
            </c:numRef>
          </c:yVal>
          <c:smooth val="0"/>
          <c:extLst>
            <c:ext xmlns:c16="http://schemas.microsoft.com/office/drawing/2014/chart" uri="{C3380CC4-5D6E-409C-BE32-E72D297353CC}">
              <c16:uniqueId val="{00000007-02CB-4908-9B4D-C63198FC9864}"/>
            </c:ext>
          </c:extLst>
        </c:ser>
        <c:ser>
          <c:idx val="8"/>
          <c:order val="8"/>
          <c:tx>
            <c:v>3 ml/min</c:v>
          </c:tx>
          <c:spPr>
            <a:ln w="25400" cap="rnd">
              <a:noFill/>
              <a:round/>
            </a:ln>
            <a:effectLst/>
          </c:spPr>
          <c:marker>
            <c:symbol val="dash"/>
            <c:size val="6"/>
            <c:spPr>
              <a:solidFill>
                <a:schemeClr val="lt1"/>
              </a:solidFill>
              <a:ln w="15875">
                <a:solidFill>
                  <a:schemeClr val="accent3">
                    <a:lumMod val="60000"/>
                  </a:schemeClr>
                </a:solidFill>
                <a:round/>
              </a:ln>
              <a:effectLst/>
            </c:spPr>
          </c:marker>
          <c:xVal>
            <c:numRef>
              <c:f>'Kw,abs150bar'!$H$104:$H$107</c:f>
              <c:numCache>
                <c:formatCode>General</c:formatCode>
                <c:ptCount val="4"/>
                <c:pt idx="0">
                  <c:v>463</c:v>
                </c:pt>
                <c:pt idx="1">
                  <c:v>468</c:v>
                </c:pt>
                <c:pt idx="2">
                  <c:v>473</c:v>
                </c:pt>
                <c:pt idx="3">
                  <c:v>478</c:v>
                </c:pt>
              </c:numCache>
            </c:numRef>
          </c:xVal>
          <c:yVal>
            <c:numRef>
              <c:f>'Kw,abs150bar'!$B$104:$B$107</c:f>
              <c:numCache>
                <c:formatCode>0.0</c:formatCode>
                <c:ptCount val="4"/>
                <c:pt idx="0">
                  <c:v>41</c:v>
                </c:pt>
                <c:pt idx="1">
                  <c:v>41</c:v>
                </c:pt>
                <c:pt idx="2">
                  <c:v>41</c:v>
                </c:pt>
                <c:pt idx="3">
                  <c:v>41</c:v>
                </c:pt>
              </c:numCache>
            </c:numRef>
          </c:yVal>
          <c:smooth val="0"/>
          <c:extLst>
            <c:ext xmlns:c16="http://schemas.microsoft.com/office/drawing/2014/chart" uri="{C3380CC4-5D6E-409C-BE32-E72D297353CC}">
              <c16:uniqueId val="{00000008-02CB-4908-9B4D-C63198FC9864}"/>
            </c:ext>
          </c:extLst>
        </c:ser>
        <c:ser>
          <c:idx val="9"/>
          <c:order val="9"/>
          <c:tx>
            <c:v>2 ml/min</c:v>
          </c:tx>
          <c:spPr>
            <a:ln w="25400" cap="rnd">
              <a:noFill/>
              <a:round/>
            </a:ln>
            <a:effectLst/>
          </c:spPr>
          <c:marker>
            <c:symbol val="diamond"/>
            <c:size val="6"/>
            <c:spPr>
              <a:solidFill>
                <a:schemeClr val="lt1"/>
              </a:solidFill>
              <a:ln w="15875">
                <a:solidFill>
                  <a:schemeClr val="accent4">
                    <a:lumMod val="60000"/>
                  </a:schemeClr>
                </a:solidFill>
                <a:round/>
              </a:ln>
              <a:effectLst/>
            </c:spPr>
          </c:marker>
          <c:xVal>
            <c:numRef>
              <c:f>'Kw,abs150bar'!$H$108:$H$112</c:f>
              <c:numCache>
                <c:formatCode>General</c:formatCode>
                <c:ptCount val="5"/>
                <c:pt idx="0">
                  <c:v>483</c:v>
                </c:pt>
                <c:pt idx="1">
                  <c:v>488</c:v>
                </c:pt>
                <c:pt idx="2">
                  <c:v>493</c:v>
                </c:pt>
                <c:pt idx="3">
                  <c:v>498</c:v>
                </c:pt>
                <c:pt idx="4">
                  <c:v>503</c:v>
                </c:pt>
              </c:numCache>
            </c:numRef>
          </c:xVal>
          <c:yVal>
            <c:numRef>
              <c:f>'Kw,abs150bar'!$B$108:$B$111</c:f>
              <c:numCache>
                <c:formatCode>0.0</c:formatCode>
                <c:ptCount val="4"/>
                <c:pt idx="0">
                  <c:v>29</c:v>
                </c:pt>
                <c:pt idx="1">
                  <c:v>29</c:v>
                </c:pt>
                <c:pt idx="2">
                  <c:v>29</c:v>
                </c:pt>
                <c:pt idx="3">
                  <c:v>29</c:v>
                </c:pt>
              </c:numCache>
            </c:numRef>
          </c:yVal>
          <c:smooth val="0"/>
          <c:extLst>
            <c:ext xmlns:c16="http://schemas.microsoft.com/office/drawing/2014/chart" uri="{C3380CC4-5D6E-409C-BE32-E72D297353CC}">
              <c16:uniqueId val="{00000009-02CB-4908-9B4D-C63198FC9864}"/>
            </c:ext>
          </c:extLst>
        </c:ser>
        <c:ser>
          <c:idx val="10"/>
          <c:order val="10"/>
          <c:tx>
            <c:v>1 ml/min</c:v>
          </c:tx>
          <c:spPr>
            <a:ln w="25400" cap="rnd">
              <a:noFill/>
              <a:round/>
            </a:ln>
            <a:effectLst/>
          </c:spPr>
          <c:marker>
            <c:symbol val="square"/>
            <c:size val="6"/>
            <c:spPr>
              <a:solidFill>
                <a:schemeClr val="lt1"/>
              </a:solidFill>
              <a:ln w="15875">
                <a:solidFill>
                  <a:schemeClr val="accent5">
                    <a:lumMod val="60000"/>
                  </a:schemeClr>
                </a:solidFill>
                <a:round/>
              </a:ln>
              <a:effectLst/>
            </c:spPr>
          </c:marker>
          <c:xVal>
            <c:numRef>
              <c:f>'Kw,abs150bar'!$H$112:$H$115</c:f>
              <c:numCache>
                <c:formatCode>General</c:formatCode>
                <c:ptCount val="4"/>
                <c:pt idx="0">
                  <c:v>503</c:v>
                </c:pt>
                <c:pt idx="1">
                  <c:v>508</c:v>
                </c:pt>
                <c:pt idx="2">
                  <c:v>513</c:v>
                </c:pt>
                <c:pt idx="3">
                  <c:v>518</c:v>
                </c:pt>
              </c:numCache>
            </c:numRef>
          </c:xVal>
          <c:yVal>
            <c:numRef>
              <c:f>'Kw,abs150bar'!$B$112:$B$115</c:f>
              <c:numCache>
                <c:formatCode>0.0</c:formatCode>
                <c:ptCount val="4"/>
                <c:pt idx="0">
                  <c:v>16.5</c:v>
                </c:pt>
                <c:pt idx="1">
                  <c:v>16.5</c:v>
                </c:pt>
                <c:pt idx="2">
                  <c:v>16.5</c:v>
                </c:pt>
                <c:pt idx="3">
                  <c:v>16.5</c:v>
                </c:pt>
              </c:numCache>
            </c:numRef>
          </c:yVal>
          <c:smooth val="0"/>
          <c:extLst>
            <c:ext xmlns:c16="http://schemas.microsoft.com/office/drawing/2014/chart" uri="{C3380CC4-5D6E-409C-BE32-E72D297353CC}">
              <c16:uniqueId val="{0000000A-02CB-4908-9B4D-C63198FC9864}"/>
            </c:ext>
          </c:extLst>
        </c:ser>
        <c:ser>
          <c:idx val="11"/>
          <c:order val="11"/>
          <c:tx>
            <c:v>0,5 ml/min</c:v>
          </c:tx>
          <c:spPr>
            <a:ln w="25400" cap="rnd">
              <a:noFill/>
              <a:round/>
            </a:ln>
            <a:effectLst/>
          </c:spPr>
          <c:marker>
            <c:symbol val="triangle"/>
            <c:size val="6"/>
            <c:spPr>
              <a:solidFill>
                <a:schemeClr val="lt1"/>
              </a:solidFill>
              <a:ln w="15875">
                <a:solidFill>
                  <a:schemeClr val="accent6">
                    <a:lumMod val="60000"/>
                  </a:schemeClr>
                </a:solidFill>
                <a:round/>
              </a:ln>
              <a:effectLst/>
            </c:spPr>
          </c:marker>
          <c:xVal>
            <c:numRef>
              <c:f>'Kw,abs150bar'!$H$116:$H$119</c:f>
              <c:numCache>
                <c:formatCode>General</c:formatCode>
                <c:ptCount val="4"/>
                <c:pt idx="0">
                  <c:v>523</c:v>
                </c:pt>
                <c:pt idx="1">
                  <c:v>528</c:v>
                </c:pt>
                <c:pt idx="2">
                  <c:v>533</c:v>
                </c:pt>
                <c:pt idx="3">
                  <c:v>538</c:v>
                </c:pt>
              </c:numCache>
            </c:numRef>
          </c:xVal>
          <c:yVal>
            <c:numRef>
              <c:f>'Kw,abs150bar'!$B$116:$B$119</c:f>
              <c:numCache>
                <c:formatCode>0.0</c:formatCode>
                <c:ptCount val="4"/>
                <c:pt idx="0">
                  <c:v>9.5</c:v>
                </c:pt>
                <c:pt idx="1">
                  <c:v>9.5</c:v>
                </c:pt>
                <c:pt idx="2">
                  <c:v>9.5</c:v>
                </c:pt>
                <c:pt idx="3">
                  <c:v>9.5</c:v>
                </c:pt>
              </c:numCache>
            </c:numRef>
          </c:yVal>
          <c:smooth val="0"/>
          <c:extLst>
            <c:ext xmlns:c16="http://schemas.microsoft.com/office/drawing/2014/chart" uri="{C3380CC4-5D6E-409C-BE32-E72D297353CC}">
              <c16:uniqueId val="{0000000B-02CB-4908-9B4D-C63198FC9864}"/>
            </c:ext>
          </c:extLst>
        </c:ser>
        <c:ser>
          <c:idx val="12"/>
          <c:order val="12"/>
          <c:tx>
            <c:v>0,1 ml/min</c:v>
          </c:tx>
          <c:spPr>
            <a:ln w="25400" cap="rnd">
              <a:noFill/>
              <a:round/>
            </a:ln>
            <a:effectLst/>
          </c:spPr>
          <c:marker>
            <c:symbol val="x"/>
            <c:size val="6"/>
            <c:spPr>
              <a:noFill/>
              <a:ln w="15875">
                <a:solidFill>
                  <a:schemeClr val="accent1">
                    <a:lumMod val="80000"/>
                    <a:lumOff val="20000"/>
                  </a:schemeClr>
                </a:solidFill>
                <a:round/>
              </a:ln>
              <a:effectLst/>
            </c:spPr>
          </c:marker>
          <c:xVal>
            <c:numRef>
              <c:f>'Kw,abs150bar'!$H$120:$H$123</c:f>
              <c:numCache>
                <c:formatCode>General</c:formatCode>
                <c:ptCount val="4"/>
                <c:pt idx="0">
                  <c:v>543</c:v>
                </c:pt>
                <c:pt idx="1">
                  <c:v>548</c:v>
                </c:pt>
                <c:pt idx="2">
                  <c:v>553</c:v>
                </c:pt>
                <c:pt idx="3">
                  <c:v>558</c:v>
                </c:pt>
              </c:numCache>
            </c:numRef>
          </c:xVal>
          <c:yVal>
            <c:numRef>
              <c:f>'Kw,abs150bar'!$B$120:$B$123</c:f>
              <c:numCache>
                <c:formatCode>0.0</c:formatCode>
                <c:ptCount val="4"/>
                <c:pt idx="0">
                  <c:v>3.5</c:v>
                </c:pt>
                <c:pt idx="1">
                  <c:v>3.5</c:v>
                </c:pt>
                <c:pt idx="2">
                  <c:v>3.5</c:v>
                </c:pt>
                <c:pt idx="3">
                  <c:v>3.5</c:v>
                </c:pt>
              </c:numCache>
            </c:numRef>
          </c:yVal>
          <c:smooth val="0"/>
          <c:extLst>
            <c:ext xmlns:c16="http://schemas.microsoft.com/office/drawing/2014/chart" uri="{C3380CC4-5D6E-409C-BE32-E72D297353CC}">
              <c16:uniqueId val="{0000000C-02CB-4908-9B4D-C63198FC9864}"/>
            </c:ext>
          </c:extLst>
        </c:ser>
        <c:ser>
          <c:idx val="13"/>
          <c:order val="13"/>
          <c:tx>
            <c:v>0,05 ml/min</c:v>
          </c:tx>
          <c:spPr>
            <a:ln w="25400" cap="rnd">
              <a:noFill/>
              <a:round/>
            </a:ln>
            <a:effectLst/>
          </c:spPr>
          <c:marker>
            <c:symbol val="star"/>
            <c:size val="6"/>
            <c:spPr>
              <a:noFill/>
              <a:ln w="15875">
                <a:solidFill>
                  <a:schemeClr val="accent2">
                    <a:lumMod val="80000"/>
                    <a:lumOff val="20000"/>
                  </a:schemeClr>
                </a:solidFill>
                <a:round/>
              </a:ln>
              <a:effectLst/>
            </c:spPr>
          </c:marker>
          <c:xVal>
            <c:numRef>
              <c:f>'Kw,abs150bar'!$H$124:$H$127</c:f>
              <c:numCache>
                <c:formatCode>General</c:formatCode>
                <c:ptCount val="4"/>
                <c:pt idx="0">
                  <c:v>563</c:v>
                </c:pt>
                <c:pt idx="1">
                  <c:v>568</c:v>
                </c:pt>
                <c:pt idx="2">
                  <c:v>573</c:v>
                </c:pt>
                <c:pt idx="3">
                  <c:v>578</c:v>
                </c:pt>
              </c:numCache>
            </c:numRef>
          </c:xVal>
          <c:yVal>
            <c:numRef>
              <c:f>'Kw,abs150bar'!$B$124:$B$127</c:f>
              <c:numCache>
                <c:formatCode>0.0</c:formatCode>
                <c:ptCount val="4"/>
                <c:pt idx="0">
                  <c:v>2.5</c:v>
                </c:pt>
                <c:pt idx="1">
                  <c:v>2.5</c:v>
                </c:pt>
                <c:pt idx="2">
                  <c:v>2.5</c:v>
                </c:pt>
                <c:pt idx="3">
                  <c:v>2.5</c:v>
                </c:pt>
              </c:numCache>
            </c:numRef>
          </c:yVal>
          <c:smooth val="0"/>
          <c:extLst>
            <c:ext xmlns:c16="http://schemas.microsoft.com/office/drawing/2014/chart" uri="{C3380CC4-5D6E-409C-BE32-E72D297353CC}">
              <c16:uniqueId val="{0000000D-02CB-4908-9B4D-C63198FC9864}"/>
            </c:ext>
          </c:extLst>
        </c:ser>
        <c:ser>
          <c:idx val="14"/>
          <c:order val="14"/>
          <c:tx>
            <c:v>0,02 ml/min</c:v>
          </c:tx>
          <c:spPr>
            <a:ln w="25400" cap="rnd">
              <a:noFill/>
              <a:round/>
            </a:ln>
            <a:effectLst/>
          </c:spPr>
          <c:marker>
            <c:symbol val="circle"/>
            <c:size val="6"/>
            <c:spPr>
              <a:solidFill>
                <a:schemeClr val="lt1"/>
              </a:solidFill>
              <a:ln w="15875">
                <a:solidFill>
                  <a:schemeClr val="accent3">
                    <a:lumMod val="80000"/>
                    <a:lumOff val="20000"/>
                  </a:schemeClr>
                </a:solidFill>
                <a:round/>
              </a:ln>
              <a:effectLst/>
            </c:spPr>
          </c:marker>
          <c:xVal>
            <c:numRef>
              <c:f>'Kw,abs150bar'!$H$128:$H$131</c:f>
              <c:numCache>
                <c:formatCode>General</c:formatCode>
                <c:ptCount val="4"/>
                <c:pt idx="0">
                  <c:v>583</c:v>
                </c:pt>
                <c:pt idx="1">
                  <c:v>588</c:v>
                </c:pt>
                <c:pt idx="2">
                  <c:v>593</c:v>
                </c:pt>
                <c:pt idx="3">
                  <c:v>598</c:v>
                </c:pt>
              </c:numCache>
            </c:numRef>
          </c:xVal>
          <c:yVal>
            <c:numRef>
              <c:f>'Kw,abs150bar'!$B$128:$B$131</c:f>
              <c:numCache>
                <c:formatCode>0.0</c:formatCode>
                <c:ptCount val="4"/>
                <c:pt idx="0">
                  <c:v>2</c:v>
                </c:pt>
                <c:pt idx="1">
                  <c:v>2</c:v>
                </c:pt>
                <c:pt idx="2">
                  <c:v>2</c:v>
                </c:pt>
                <c:pt idx="3">
                  <c:v>2</c:v>
                </c:pt>
              </c:numCache>
            </c:numRef>
          </c:yVal>
          <c:smooth val="0"/>
          <c:extLst>
            <c:ext xmlns:c16="http://schemas.microsoft.com/office/drawing/2014/chart" uri="{C3380CC4-5D6E-409C-BE32-E72D297353CC}">
              <c16:uniqueId val="{0000000E-02CB-4908-9B4D-C63198FC9864}"/>
            </c:ext>
          </c:extLst>
        </c:ser>
        <c:dLbls>
          <c:showLegendKey val="0"/>
          <c:showVal val="0"/>
          <c:showCatName val="0"/>
          <c:showSerName val="0"/>
          <c:showPercent val="0"/>
          <c:showBubbleSize val="0"/>
        </c:dLbls>
        <c:axId val="159582080"/>
        <c:axId val="159604736"/>
      </c:scatterChart>
      <c:valAx>
        <c:axId val="159582080"/>
        <c:scaling>
          <c:orientation val="minMax"/>
          <c:max val="600"/>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crossAx val="159604736"/>
        <c:crosses val="autoZero"/>
        <c:crossBetween val="midCat"/>
      </c:valAx>
      <c:valAx>
        <c:axId val="159604736"/>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Pgauge(barg) </a:t>
                </a:r>
                <a:endParaRPr lang="el-G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l-GR"/>
            </a:p>
          </c:txPr>
        </c:title>
        <c:numFmt formatCode="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crossAx val="159582080"/>
        <c:crosses val="autoZero"/>
        <c:crossBetween val="midCat"/>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0.000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'Kw,abs150bar'!$O$158:$O$161</c:f>
              <c:numCache>
                <c:formatCode>General</c:formatCode>
                <c:ptCount val="4"/>
                <c:pt idx="0">
                  <c:v>80.925799999999995</c:v>
                </c:pt>
                <c:pt idx="1">
                  <c:v>90.794799999999995</c:v>
                </c:pt>
                <c:pt idx="2">
                  <c:v>68.096100000000007</c:v>
                </c:pt>
                <c:pt idx="3">
                  <c:v>55.266399999999997</c:v>
                </c:pt>
              </c:numCache>
            </c:numRef>
          </c:xVal>
          <c:yVal>
            <c:numRef>
              <c:f>'Kw,abs150bar'!$P$158:$P$161</c:f>
              <c:numCache>
                <c:formatCode>General</c:formatCode>
                <c:ptCount val="4"/>
                <c:pt idx="0">
                  <c:v>0.1</c:v>
                </c:pt>
                <c:pt idx="1">
                  <c:v>0.116666666666667</c:v>
                </c:pt>
                <c:pt idx="2">
                  <c:v>8.3333333333333301E-2</c:v>
                </c:pt>
                <c:pt idx="3">
                  <c:v>6.6666666666666666E-2</c:v>
                </c:pt>
              </c:numCache>
            </c:numRef>
          </c:yVal>
          <c:smooth val="0"/>
          <c:extLst>
            <c:ext xmlns:c16="http://schemas.microsoft.com/office/drawing/2014/chart" uri="{C3380CC4-5D6E-409C-BE32-E72D297353CC}">
              <c16:uniqueId val="{00000000-28AB-413B-A364-D45E0325B23C}"/>
            </c:ext>
          </c:extLst>
        </c:ser>
        <c:dLbls>
          <c:showLegendKey val="0"/>
          <c:showVal val="0"/>
          <c:showCatName val="0"/>
          <c:showSerName val="0"/>
          <c:showPercent val="0"/>
          <c:showBubbleSize val="0"/>
        </c:dLbls>
        <c:axId val="99425503"/>
        <c:axId val="146536271"/>
      </c:scatterChart>
      <c:valAx>
        <c:axId val="9942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46536271"/>
        <c:crosses val="autoZero"/>
        <c:crossBetween val="midCat"/>
      </c:valAx>
      <c:valAx>
        <c:axId val="146536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99425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21243175853018373"/>
                  <c:y val="4.5879629629629631E-2"/>
                </c:manualLayout>
              </c:layout>
              <c:numFmt formatCode="#,##0.00000000000000000000000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'Kw,abs150bar'!$O$158:$O$159</c:f>
              <c:numCache>
                <c:formatCode>General</c:formatCode>
                <c:ptCount val="2"/>
                <c:pt idx="0">
                  <c:v>80.925799999999995</c:v>
                </c:pt>
                <c:pt idx="1">
                  <c:v>90.794799999999995</c:v>
                </c:pt>
              </c:numCache>
            </c:numRef>
          </c:xVal>
          <c:yVal>
            <c:numRef>
              <c:f>'Kw,abs150bar'!$P$158:$P$159</c:f>
              <c:numCache>
                <c:formatCode>General</c:formatCode>
                <c:ptCount val="2"/>
                <c:pt idx="0">
                  <c:v>0.1</c:v>
                </c:pt>
                <c:pt idx="1">
                  <c:v>0.116666666666667</c:v>
                </c:pt>
              </c:numCache>
            </c:numRef>
          </c:yVal>
          <c:smooth val="0"/>
          <c:extLst>
            <c:ext xmlns:c16="http://schemas.microsoft.com/office/drawing/2014/chart" uri="{C3380CC4-5D6E-409C-BE32-E72D297353CC}">
              <c16:uniqueId val="{00000000-4747-43DD-BA4F-071B78C5D3B6}"/>
            </c:ext>
          </c:extLst>
        </c:ser>
        <c:dLbls>
          <c:showLegendKey val="0"/>
          <c:showVal val="0"/>
          <c:showCatName val="0"/>
          <c:showSerName val="0"/>
          <c:showPercent val="0"/>
          <c:showBubbleSize val="0"/>
        </c:dLbls>
        <c:axId val="2119275295"/>
        <c:axId val="93420047"/>
      </c:scatterChart>
      <c:valAx>
        <c:axId val="21192752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93420047"/>
        <c:crosses val="autoZero"/>
        <c:crossBetween val="midCat"/>
      </c:valAx>
      <c:valAx>
        <c:axId val="9342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119275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'Kw,abs150bar'!$O$158</c:f>
              <c:strCache>
                <c:ptCount val="1"/>
                <c:pt idx="0">
                  <c:v>80,9258</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0.000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'Kw,abs150bar'!$O$158:$O$160</c:f>
              <c:numCache>
                <c:formatCode>General</c:formatCode>
                <c:ptCount val="3"/>
                <c:pt idx="0">
                  <c:v>80.925799999999995</c:v>
                </c:pt>
                <c:pt idx="1">
                  <c:v>90.794799999999995</c:v>
                </c:pt>
                <c:pt idx="2">
                  <c:v>68.096100000000007</c:v>
                </c:pt>
              </c:numCache>
            </c:numRef>
          </c:xVal>
          <c:yVal>
            <c:numRef>
              <c:f>'Kw,abs150bar'!$P$158:$P$160</c:f>
              <c:numCache>
                <c:formatCode>General</c:formatCode>
                <c:ptCount val="3"/>
                <c:pt idx="0">
                  <c:v>0.1</c:v>
                </c:pt>
                <c:pt idx="1">
                  <c:v>0.116666666666667</c:v>
                </c:pt>
                <c:pt idx="2">
                  <c:v>8.3333333333333301E-2</c:v>
                </c:pt>
              </c:numCache>
            </c:numRef>
          </c:yVal>
          <c:smooth val="0"/>
          <c:extLst>
            <c:ext xmlns:c16="http://schemas.microsoft.com/office/drawing/2014/chart" uri="{C3380CC4-5D6E-409C-BE32-E72D297353CC}">
              <c16:uniqueId val="{00000000-2C2C-4A78-82EE-0CE5CE288F02}"/>
            </c:ext>
          </c:extLst>
        </c:ser>
        <c:dLbls>
          <c:showLegendKey val="0"/>
          <c:showVal val="0"/>
          <c:showCatName val="0"/>
          <c:showSerName val="0"/>
          <c:showPercent val="0"/>
          <c:showBubbleSize val="0"/>
        </c:dLbls>
        <c:axId val="160729487"/>
        <c:axId val="148776735"/>
      </c:scatterChart>
      <c:valAx>
        <c:axId val="1607294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48776735"/>
        <c:crosses val="autoZero"/>
        <c:crossBetween val="midCat"/>
      </c:valAx>
      <c:valAx>
        <c:axId val="148776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607294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0.000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'Kw,abs150bar'!$O$158:$O$162</c:f>
              <c:numCache>
                <c:formatCode>General</c:formatCode>
                <c:ptCount val="5"/>
                <c:pt idx="0">
                  <c:v>80.925799999999995</c:v>
                </c:pt>
                <c:pt idx="1">
                  <c:v>90.794799999999995</c:v>
                </c:pt>
                <c:pt idx="2">
                  <c:v>68.096100000000007</c:v>
                </c:pt>
                <c:pt idx="3">
                  <c:v>55.266399999999997</c:v>
                </c:pt>
                <c:pt idx="4">
                  <c:v>44.410499999999999</c:v>
                </c:pt>
              </c:numCache>
            </c:numRef>
          </c:xVal>
          <c:yVal>
            <c:numRef>
              <c:f>'Kw,abs150bar'!$P$158:$P$162</c:f>
              <c:numCache>
                <c:formatCode>General</c:formatCode>
                <c:ptCount val="5"/>
                <c:pt idx="0">
                  <c:v>0.1</c:v>
                </c:pt>
                <c:pt idx="1">
                  <c:v>0.116666666666667</c:v>
                </c:pt>
                <c:pt idx="2">
                  <c:v>8.3333333333333301E-2</c:v>
                </c:pt>
                <c:pt idx="3">
                  <c:v>6.6666666666666666E-2</c:v>
                </c:pt>
                <c:pt idx="4">
                  <c:v>0.05</c:v>
                </c:pt>
              </c:numCache>
            </c:numRef>
          </c:yVal>
          <c:smooth val="0"/>
          <c:extLst>
            <c:ext xmlns:c16="http://schemas.microsoft.com/office/drawing/2014/chart" uri="{C3380CC4-5D6E-409C-BE32-E72D297353CC}">
              <c16:uniqueId val="{00000000-C6BD-4B6C-B9E1-A5057A88F6D0}"/>
            </c:ext>
          </c:extLst>
        </c:ser>
        <c:dLbls>
          <c:showLegendKey val="0"/>
          <c:showVal val="0"/>
          <c:showCatName val="0"/>
          <c:showSerName val="0"/>
          <c:showPercent val="0"/>
          <c:showBubbleSize val="0"/>
        </c:dLbls>
        <c:axId val="147937615"/>
        <c:axId val="151373807"/>
      </c:scatterChart>
      <c:valAx>
        <c:axId val="147937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1373807"/>
        <c:crosses val="autoZero"/>
        <c:crossBetween val="midCat"/>
      </c:valAx>
      <c:valAx>
        <c:axId val="15137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47937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9.2600831146106732E-2"/>
                  <c:y val="1.2592957130358705E-2"/>
                </c:manualLayout>
              </c:layout>
              <c:numFmt formatCode="#,##0.000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'Kw,abs150bar'!$O$158:$O$163</c:f>
              <c:numCache>
                <c:formatCode>General</c:formatCode>
                <c:ptCount val="6"/>
                <c:pt idx="0">
                  <c:v>80.925799999999995</c:v>
                </c:pt>
                <c:pt idx="1">
                  <c:v>90.794799999999995</c:v>
                </c:pt>
                <c:pt idx="2">
                  <c:v>68.096100000000007</c:v>
                </c:pt>
                <c:pt idx="3">
                  <c:v>55.266399999999997</c:v>
                </c:pt>
                <c:pt idx="4">
                  <c:v>44.410499999999999</c:v>
                </c:pt>
                <c:pt idx="5">
                  <c:v>32.567700000000002</c:v>
                </c:pt>
              </c:numCache>
            </c:numRef>
          </c:xVal>
          <c:yVal>
            <c:numRef>
              <c:f>'Kw,abs150bar'!$P$158:$P$163</c:f>
              <c:numCache>
                <c:formatCode>General</c:formatCode>
                <c:ptCount val="6"/>
                <c:pt idx="0">
                  <c:v>0.1</c:v>
                </c:pt>
                <c:pt idx="1">
                  <c:v>0.116666666666667</c:v>
                </c:pt>
                <c:pt idx="2">
                  <c:v>8.3333333333333301E-2</c:v>
                </c:pt>
                <c:pt idx="3">
                  <c:v>6.6666666666666666E-2</c:v>
                </c:pt>
                <c:pt idx="4">
                  <c:v>0.05</c:v>
                </c:pt>
                <c:pt idx="5">
                  <c:v>3.3333333333333333E-2</c:v>
                </c:pt>
              </c:numCache>
            </c:numRef>
          </c:yVal>
          <c:smooth val="0"/>
          <c:extLst>
            <c:ext xmlns:c16="http://schemas.microsoft.com/office/drawing/2014/chart" uri="{C3380CC4-5D6E-409C-BE32-E72D297353CC}">
              <c16:uniqueId val="{00000000-0EEE-4D31-83E0-D32B7A416246}"/>
            </c:ext>
          </c:extLst>
        </c:ser>
        <c:dLbls>
          <c:showLegendKey val="0"/>
          <c:showVal val="0"/>
          <c:showCatName val="0"/>
          <c:showSerName val="0"/>
          <c:showPercent val="0"/>
          <c:showBubbleSize val="0"/>
        </c:dLbls>
        <c:axId val="158763487"/>
        <c:axId val="150792751"/>
      </c:scatterChart>
      <c:valAx>
        <c:axId val="1587634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0792751"/>
        <c:crosses val="autoZero"/>
        <c:crossBetween val="midCat"/>
      </c:valAx>
      <c:valAx>
        <c:axId val="15079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87634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0.000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'Kw,abs150bar'!$O$158:$O$168</c:f>
              <c:numCache>
                <c:formatCode>General</c:formatCode>
                <c:ptCount val="11"/>
                <c:pt idx="0">
                  <c:v>80.925799999999995</c:v>
                </c:pt>
                <c:pt idx="1">
                  <c:v>90.794799999999995</c:v>
                </c:pt>
                <c:pt idx="2">
                  <c:v>68.096100000000007</c:v>
                </c:pt>
                <c:pt idx="3">
                  <c:v>55.266399999999997</c:v>
                </c:pt>
                <c:pt idx="4">
                  <c:v>44.410499999999999</c:v>
                </c:pt>
                <c:pt idx="5">
                  <c:v>32.567700000000002</c:v>
                </c:pt>
                <c:pt idx="6">
                  <c:v>20.231449999999999</c:v>
                </c:pt>
                <c:pt idx="7">
                  <c:v>13.32315</c:v>
                </c:pt>
                <c:pt idx="8">
                  <c:v>7.4017499999999998</c:v>
                </c:pt>
                <c:pt idx="9">
                  <c:v>6.4148500000000004</c:v>
                </c:pt>
                <c:pt idx="10">
                  <c:v>5.9214000000000002</c:v>
                </c:pt>
              </c:numCache>
            </c:numRef>
          </c:xVal>
          <c:yVal>
            <c:numRef>
              <c:f>'Kw,abs150bar'!$P$158:$P$168</c:f>
              <c:numCache>
                <c:formatCode>General</c:formatCode>
                <c:ptCount val="11"/>
                <c:pt idx="0">
                  <c:v>0.1</c:v>
                </c:pt>
                <c:pt idx="1">
                  <c:v>0.116666666666667</c:v>
                </c:pt>
                <c:pt idx="2">
                  <c:v>8.3333333333333301E-2</c:v>
                </c:pt>
                <c:pt idx="3">
                  <c:v>6.6666666666666666E-2</c:v>
                </c:pt>
                <c:pt idx="4">
                  <c:v>0.05</c:v>
                </c:pt>
                <c:pt idx="5">
                  <c:v>3.3333333333333333E-2</c:v>
                </c:pt>
                <c:pt idx="6">
                  <c:v>1.6666666666666701E-2</c:v>
                </c:pt>
                <c:pt idx="7">
                  <c:v>8.3333333333333297E-3</c:v>
                </c:pt>
                <c:pt idx="8">
                  <c:v>1.6666666666666668E-3</c:v>
                </c:pt>
                <c:pt idx="9">
                  <c:v>8.3333333333333339E-4</c:v>
                </c:pt>
                <c:pt idx="10">
                  <c:v>3.3333333333333332E-4</c:v>
                </c:pt>
              </c:numCache>
            </c:numRef>
          </c:yVal>
          <c:smooth val="0"/>
          <c:extLst>
            <c:ext xmlns:c16="http://schemas.microsoft.com/office/drawing/2014/chart" uri="{C3380CC4-5D6E-409C-BE32-E72D297353CC}">
              <c16:uniqueId val="{00000000-7C8A-4079-BAA0-9EBE32B162CD}"/>
            </c:ext>
          </c:extLst>
        </c:ser>
        <c:dLbls>
          <c:showLegendKey val="0"/>
          <c:showVal val="0"/>
          <c:showCatName val="0"/>
          <c:showSerName val="0"/>
          <c:showPercent val="0"/>
          <c:showBubbleSize val="0"/>
        </c:dLbls>
        <c:axId val="101915503"/>
        <c:axId val="94556735"/>
      </c:scatterChart>
      <c:valAx>
        <c:axId val="10191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94556735"/>
        <c:crosses val="autoZero"/>
        <c:crossBetween val="midCat"/>
      </c:valAx>
      <c:valAx>
        <c:axId val="94556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01915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0.000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'Kw,abs150bar'!$O$158:$O$164</c:f>
              <c:numCache>
                <c:formatCode>General</c:formatCode>
                <c:ptCount val="7"/>
                <c:pt idx="0">
                  <c:v>80.925799999999995</c:v>
                </c:pt>
                <c:pt idx="1">
                  <c:v>90.794799999999995</c:v>
                </c:pt>
                <c:pt idx="2">
                  <c:v>68.096100000000007</c:v>
                </c:pt>
                <c:pt idx="3">
                  <c:v>55.266399999999997</c:v>
                </c:pt>
                <c:pt idx="4">
                  <c:v>44.410499999999999</c:v>
                </c:pt>
                <c:pt idx="5">
                  <c:v>32.567700000000002</c:v>
                </c:pt>
                <c:pt idx="6">
                  <c:v>20.231449999999999</c:v>
                </c:pt>
              </c:numCache>
            </c:numRef>
          </c:xVal>
          <c:yVal>
            <c:numRef>
              <c:f>'Kw,abs150bar'!$P$158:$P$164</c:f>
              <c:numCache>
                <c:formatCode>General</c:formatCode>
                <c:ptCount val="7"/>
                <c:pt idx="0">
                  <c:v>0.1</c:v>
                </c:pt>
                <c:pt idx="1">
                  <c:v>0.116666666666667</c:v>
                </c:pt>
                <c:pt idx="2">
                  <c:v>8.3333333333333301E-2</c:v>
                </c:pt>
                <c:pt idx="3">
                  <c:v>6.6666666666666666E-2</c:v>
                </c:pt>
                <c:pt idx="4">
                  <c:v>0.05</c:v>
                </c:pt>
                <c:pt idx="5">
                  <c:v>3.3333333333333333E-2</c:v>
                </c:pt>
                <c:pt idx="6">
                  <c:v>1.6666666666666701E-2</c:v>
                </c:pt>
              </c:numCache>
            </c:numRef>
          </c:yVal>
          <c:smooth val="0"/>
          <c:extLst>
            <c:ext xmlns:c16="http://schemas.microsoft.com/office/drawing/2014/chart" uri="{C3380CC4-5D6E-409C-BE32-E72D297353CC}">
              <c16:uniqueId val="{00000000-3C43-460A-B16D-D1685649C5E8}"/>
            </c:ext>
          </c:extLst>
        </c:ser>
        <c:dLbls>
          <c:showLegendKey val="0"/>
          <c:showVal val="0"/>
          <c:showCatName val="0"/>
          <c:showSerName val="0"/>
          <c:showPercent val="0"/>
          <c:showBubbleSize val="0"/>
        </c:dLbls>
        <c:axId val="159894063"/>
        <c:axId val="155178063"/>
      </c:scatterChart>
      <c:valAx>
        <c:axId val="1598940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5178063"/>
        <c:crosses val="autoZero"/>
        <c:crossBetween val="midCat"/>
      </c:valAx>
      <c:valAx>
        <c:axId val="15517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98940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0.000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'Kw,abs150bar'!$O$158:$O$165</c:f>
              <c:numCache>
                <c:formatCode>General</c:formatCode>
                <c:ptCount val="8"/>
                <c:pt idx="0">
                  <c:v>80.925799999999995</c:v>
                </c:pt>
                <c:pt idx="1">
                  <c:v>90.794799999999995</c:v>
                </c:pt>
                <c:pt idx="2">
                  <c:v>68.096100000000007</c:v>
                </c:pt>
                <c:pt idx="3">
                  <c:v>55.266399999999997</c:v>
                </c:pt>
                <c:pt idx="4">
                  <c:v>44.410499999999999</c:v>
                </c:pt>
                <c:pt idx="5">
                  <c:v>32.567700000000002</c:v>
                </c:pt>
                <c:pt idx="6">
                  <c:v>20.231449999999999</c:v>
                </c:pt>
                <c:pt idx="7">
                  <c:v>13.32315</c:v>
                </c:pt>
              </c:numCache>
            </c:numRef>
          </c:xVal>
          <c:yVal>
            <c:numRef>
              <c:f>'Kw,abs150bar'!$P$158:$P$165</c:f>
              <c:numCache>
                <c:formatCode>General</c:formatCode>
                <c:ptCount val="8"/>
                <c:pt idx="0">
                  <c:v>0.1</c:v>
                </c:pt>
                <c:pt idx="1">
                  <c:v>0.116666666666667</c:v>
                </c:pt>
                <c:pt idx="2">
                  <c:v>8.3333333333333301E-2</c:v>
                </c:pt>
                <c:pt idx="3">
                  <c:v>6.6666666666666666E-2</c:v>
                </c:pt>
                <c:pt idx="4">
                  <c:v>0.05</c:v>
                </c:pt>
                <c:pt idx="5">
                  <c:v>3.3333333333333333E-2</c:v>
                </c:pt>
                <c:pt idx="6">
                  <c:v>1.6666666666666701E-2</c:v>
                </c:pt>
                <c:pt idx="7">
                  <c:v>8.3333333333333297E-3</c:v>
                </c:pt>
              </c:numCache>
            </c:numRef>
          </c:yVal>
          <c:smooth val="0"/>
          <c:extLst>
            <c:ext xmlns:c16="http://schemas.microsoft.com/office/drawing/2014/chart" uri="{C3380CC4-5D6E-409C-BE32-E72D297353CC}">
              <c16:uniqueId val="{00000000-4F58-4FA8-A7AE-31DE18B4B754}"/>
            </c:ext>
          </c:extLst>
        </c:ser>
        <c:dLbls>
          <c:showLegendKey val="0"/>
          <c:showVal val="0"/>
          <c:showCatName val="0"/>
          <c:showSerName val="0"/>
          <c:showPercent val="0"/>
          <c:showBubbleSize val="0"/>
        </c:dLbls>
        <c:axId val="310212271"/>
        <c:axId val="152041487"/>
      </c:scatterChart>
      <c:valAx>
        <c:axId val="3102122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52041487"/>
        <c:crosses val="autoZero"/>
        <c:crossBetween val="midCat"/>
      </c:valAx>
      <c:valAx>
        <c:axId val="152041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102122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0.000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'Kw,abs150bar'!$O$158:$O$166</c:f>
              <c:numCache>
                <c:formatCode>General</c:formatCode>
                <c:ptCount val="9"/>
                <c:pt idx="0">
                  <c:v>80.925799999999995</c:v>
                </c:pt>
                <c:pt idx="1">
                  <c:v>90.794799999999995</c:v>
                </c:pt>
                <c:pt idx="2">
                  <c:v>68.096100000000007</c:v>
                </c:pt>
                <c:pt idx="3">
                  <c:v>55.266399999999997</c:v>
                </c:pt>
                <c:pt idx="4">
                  <c:v>44.410499999999999</c:v>
                </c:pt>
                <c:pt idx="5">
                  <c:v>32.567700000000002</c:v>
                </c:pt>
                <c:pt idx="6">
                  <c:v>20.231449999999999</c:v>
                </c:pt>
                <c:pt idx="7">
                  <c:v>13.32315</c:v>
                </c:pt>
                <c:pt idx="8">
                  <c:v>7.4017499999999998</c:v>
                </c:pt>
              </c:numCache>
            </c:numRef>
          </c:xVal>
          <c:yVal>
            <c:numRef>
              <c:f>'Kw,abs150bar'!$P$158:$P$166</c:f>
              <c:numCache>
                <c:formatCode>General</c:formatCode>
                <c:ptCount val="9"/>
                <c:pt idx="0">
                  <c:v>0.1</c:v>
                </c:pt>
                <c:pt idx="1">
                  <c:v>0.116666666666667</c:v>
                </c:pt>
                <c:pt idx="2">
                  <c:v>8.3333333333333301E-2</c:v>
                </c:pt>
                <c:pt idx="3">
                  <c:v>6.6666666666666666E-2</c:v>
                </c:pt>
                <c:pt idx="4">
                  <c:v>0.05</c:v>
                </c:pt>
                <c:pt idx="5">
                  <c:v>3.3333333333333333E-2</c:v>
                </c:pt>
                <c:pt idx="6">
                  <c:v>1.6666666666666701E-2</c:v>
                </c:pt>
                <c:pt idx="7">
                  <c:v>8.3333333333333297E-3</c:v>
                </c:pt>
                <c:pt idx="8">
                  <c:v>1.6666666666666668E-3</c:v>
                </c:pt>
              </c:numCache>
            </c:numRef>
          </c:yVal>
          <c:smooth val="0"/>
          <c:extLst>
            <c:ext xmlns:c16="http://schemas.microsoft.com/office/drawing/2014/chart" uri="{C3380CC4-5D6E-409C-BE32-E72D297353CC}">
              <c16:uniqueId val="{00000000-334C-4FAA-B4DC-A85DC432B878}"/>
            </c:ext>
          </c:extLst>
        </c:ser>
        <c:dLbls>
          <c:showLegendKey val="0"/>
          <c:showVal val="0"/>
          <c:showCatName val="0"/>
          <c:showSerName val="0"/>
          <c:showPercent val="0"/>
          <c:showBubbleSize val="0"/>
        </c:dLbls>
        <c:axId val="309721087"/>
        <c:axId val="92840815"/>
      </c:scatterChart>
      <c:valAx>
        <c:axId val="3097210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92840815"/>
        <c:crosses val="autoZero"/>
        <c:crossBetween val="midCat"/>
      </c:valAx>
      <c:valAx>
        <c:axId val="92840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097210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'Kw,abs150bar'!$O$164:$O$168</c:f>
              <c:numCache>
                <c:formatCode>General</c:formatCode>
                <c:ptCount val="5"/>
                <c:pt idx="0">
                  <c:v>20.231449999999999</c:v>
                </c:pt>
                <c:pt idx="1">
                  <c:v>13.32315</c:v>
                </c:pt>
                <c:pt idx="2">
                  <c:v>7.4017499999999998</c:v>
                </c:pt>
                <c:pt idx="3">
                  <c:v>6.4148500000000004</c:v>
                </c:pt>
                <c:pt idx="4">
                  <c:v>5.9214000000000002</c:v>
                </c:pt>
              </c:numCache>
            </c:numRef>
          </c:xVal>
          <c:yVal>
            <c:numRef>
              <c:f>'Kw,abs150bar'!$P$164:$P$168</c:f>
              <c:numCache>
                <c:formatCode>General</c:formatCode>
                <c:ptCount val="5"/>
                <c:pt idx="0">
                  <c:v>1.6666666666666701E-2</c:v>
                </c:pt>
                <c:pt idx="1">
                  <c:v>8.3333333333333297E-3</c:v>
                </c:pt>
                <c:pt idx="2">
                  <c:v>1.6666666666666668E-3</c:v>
                </c:pt>
                <c:pt idx="3">
                  <c:v>8.3333333333333339E-4</c:v>
                </c:pt>
                <c:pt idx="4">
                  <c:v>3.3333333333333332E-4</c:v>
                </c:pt>
              </c:numCache>
            </c:numRef>
          </c:yVal>
          <c:smooth val="0"/>
          <c:extLst>
            <c:ext xmlns:c16="http://schemas.microsoft.com/office/drawing/2014/chart" uri="{C3380CC4-5D6E-409C-BE32-E72D297353CC}">
              <c16:uniqueId val="{00000000-9147-4D00-9052-6E232800A108}"/>
            </c:ext>
          </c:extLst>
        </c:ser>
        <c:dLbls>
          <c:showLegendKey val="0"/>
          <c:showVal val="0"/>
          <c:showCatName val="0"/>
          <c:showSerName val="0"/>
          <c:showPercent val="0"/>
          <c:showBubbleSize val="0"/>
        </c:dLbls>
        <c:axId val="223836559"/>
        <c:axId val="315674735"/>
      </c:scatterChart>
      <c:valAx>
        <c:axId val="223836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15674735"/>
        <c:crosses val="autoZero"/>
        <c:crossBetween val="midCat"/>
      </c:valAx>
      <c:valAx>
        <c:axId val="315674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238365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νερού υπό πίεση υπερκειμένων </a:t>
            </a:r>
            <a:r>
              <a:rPr lang="en-US" sz="1400" b="0" i="0" baseline="0">
                <a:effectLst/>
              </a:rPr>
              <a:t>150</a:t>
            </a:r>
            <a:r>
              <a:rPr lang="el-GR" sz="1400" b="0" i="0" baseline="0">
                <a:effectLst/>
              </a:rPr>
              <a:t>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smoothMarker"/>
        <c:varyColors val="0"/>
        <c:ser>
          <c:idx val="0"/>
          <c:order val="0"/>
          <c:tx>
            <c:v>Buckinghum-Reiner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'Kw,abs150bar'!$Z$118:$Z$127</c:f>
              <c:numCache>
                <c:formatCode>General</c:formatCode>
                <c:ptCount val="10"/>
                <c:pt idx="0">
                  <c:v>10</c:v>
                </c:pt>
                <c:pt idx="1">
                  <c:v>20</c:v>
                </c:pt>
                <c:pt idx="2">
                  <c:v>30</c:v>
                </c:pt>
                <c:pt idx="3">
                  <c:v>40</c:v>
                </c:pt>
                <c:pt idx="4">
                  <c:v>50</c:v>
                </c:pt>
                <c:pt idx="5">
                  <c:v>60</c:v>
                </c:pt>
                <c:pt idx="6">
                  <c:v>70</c:v>
                </c:pt>
                <c:pt idx="7">
                  <c:v>80</c:v>
                </c:pt>
                <c:pt idx="8">
                  <c:v>90</c:v>
                </c:pt>
                <c:pt idx="9">
                  <c:v>100</c:v>
                </c:pt>
              </c:numCache>
            </c:numRef>
          </c:xVal>
          <c:yVal>
            <c:numRef>
              <c:f>'Kw,abs150bar'!$AC$118:$AC$127</c:f>
              <c:numCache>
                <c:formatCode>0.000</c:formatCode>
                <c:ptCount val="10"/>
                <c:pt idx="0">
                  <c:v>0.36949977869138739</c:v>
                </c:pt>
                <c:pt idx="1">
                  <c:v>0.82066409393679263</c:v>
                </c:pt>
                <c:pt idx="2">
                  <c:v>0.98262982815015343</c:v>
                </c:pt>
                <c:pt idx="3">
                  <c:v>1.0643469382808022</c:v>
                </c:pt>
                <c:pt idx="4" formatCode="0.00">
                  <c:v>1.1134988920517339</c:v>
                </c:pt>
                <c:pt idx="5" formatCode="0.00">
                  <c:v>1.146298154882861</c:v>
                </c:pt>
                <c:pt idx="6" formatCode="0.00">
                  <c:v>1.1697366411572809</c:v>
                </c:pt>
                <c:pt idx="7" formatCode="0.00">
                  <c:v>1.1873196533728885</c:v>
                </c:pt>
                <c:pt idx="8" formatCode="0.00">
                  <c:v>1.2009971974867455</c:v>
                </c:pt>
                <c:pt idx="9" formatCode="0.00">
                  <c:v>1.2119401579476887</c:v>
                </c:pt>
              </c:numCache>
            </c:numRef>
          </c:yVal>
          <c:smooth val="1"/>
          <c:extLst>
            <c:ext xmlns:c16="http://schemas.microsoft.com/office/drawing/2014/chart" uri="{C3380CC4-5D6E-409C-BE32-E72D297353CC}">
              <c16:uniqueId val="{00000003-4698-444B-96D5-E7FEA5CAA1A3}"/>
            </c:ext>
          </c:extLst>
        </c:ser>
        <c:ser>
          <c:idx val="1"/>
          <c:order val="1"/>
          <c:tx>
            <c:v>πειραματικά σημεία</c:v>
          </c:tx>
          <c:spPr>
            <a:ln w="19050" cap="rnd">
              <a:noFill/>
              <a:round/>
            </a:ln>
            <a:effectLst/>
          </c:spPr>
          <c:marker>
            <c:symbol val="circle"/>
            <c:size val="5"/>
            <c:spPr>
              <a:solidFill>
                <a:schemeClr val="accent2"/>
              </a:solidFill>
              <a:ln w="9525">
                <a:solidFill>
                  <a:schemeClr val="accent2"/>
                </a:solidFill>
              </a:ln>
              <a:effectLst/>
            </c:spPr>
          </c:marker>
          <c:xVal>
            <c:numRef>
              <c:f>'Kw,abs150bar'!$AA$96:$AA$103</c:f>
              <c:numCache>
                <c:formatCode>0.0</c:formatCode>
                <c:ptCount val="8"/>
                <c:pt idx="0">
                  <c:v>80.925799999999995</c:v>
                </c:pt>
                <c:pt idx="1">
                  <c:v>90.794799999999995</c:v>
                </c:pt>
                <c:pt idx="2">
                  <c:v>68.096100000000007</c:v>
                </c:pt>
                <c:pt idx="3">
                  <c:v>55.266399999999997</c:v>
                </c:pt>
                <c:pt idx="4">
                  <c:v>44.410499999999999</c:v>
                </c:pt>
                <c:pt idx="5">
                  <c:v>32.567700000000002</c:v>
                </c:pt>
                <c:pt idx="6">
                  <c:v>20.231449999999999</c:v>
                </c:pt>
                <c:pt idx="7">
                  <c:v>13.32315</c:v>
                </c:pt>
              </c:numCache>
            </c:numRef>
          </c:xVal>
          <c:yVal>
            <c:numRef>
              <c:f>'Kw,abs150bar'!$AC$96:$AC$103</c:f>
              <c:numCache>
                <c:formatCode>0.00</c:formatCode>
                <c:ptCount val="8"/>
                <c:pt idx="0">
                  <c:v>1.15588712774415</c:v>
                </c:pt>
                <c:pt idx="1">
                  <c:v>1.2019550929803298</c:v>
                </c:pt>
                <c:pt idx="2">
                  <c:v>1.1447191361717424</c:v>
                </c:pt>
                <c:pt idx="3">
                  <c:v>1.1283660056550036</c:v>
                </c:pt>
                <c:pt idx="4">
                  <c:v>1.0531416052780032</c:v>
                </c:pt>
                <c:pt idx="5">
                  <c:v>0.95740145934363929</c:v>
                </c:pt>
                <c:pt idx="6">
                  <c:v>0.77059141849609991</c:v>
                </c:pt>
                <c:pt idx="7">
                  <c:v>0.58507866959889077</c:v>
                </c:pt>
              </c:numCache>
            </c:numRef>
          </c:yVal>
          <c:smooth val="1"/>
          <c:extLst>
            <c:ext xmlns:c16="http://schemas.microsoft.com/office/drawing/2014/chart" uri="{C3380CC4-5D6E-409C-BE32-E72D297353CC}">
              <c16:uniqueId val="{00000004-4698-444B-96D5-E7FEA5CAA1A3}"/>
            </c:ext>
          </c:extLst>
        </c:ser>
        <c:dLbls>
          <c:showLegendKey val="0"/>
          <c:showVal val="0"/>
          <c:showCatName val="0"/>
          <c:showSerName val="0"/>
          <c:showPercent val="0"/>
          <c:showBubbleSize val="0"/>
        </c:dLbls>
        <c:axId val="557139552"/>
        <c:axId val="548582576"/>
      </c:scatterChart>
      <c:valAx>
        <c:axId val="557139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sz="1000" b="1" i="0" u="none" strike="noStrike" baseline="0">
                    <a:effectLst/>
                  </a:rPr>
                  <a:t>Δ</a:t>
                </a:r>
                <a:r>
                  <a:rPr lang="en-US" sz="1000" b="1" i="0" u="none" strike="noStrike" baseline="0">
                    <a:effectLst/>
                  </a:rPr>
                  <a:t>P(Pa)</a:t>
                </a:r>
                <a:r>
                  <a:rPr lang="en-US" sz="1000" b="0" i="0" u="none" strike="noStrike" baseline="0"/>
                  <a:t>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548582576"/>
        <c:crosses val="autoZero"/>
        <c:crossBetween val="midCat"/>
      </c:valAx>
      <c:valAx>
        <c:axId val="548582576"/>
        <c:scaling>
          <c:orientation val="minMax"/>
          <c:min val="0.300000000000000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effectLst/>
                  </a:rPr>
                  <a:t>Kw(mD)</a:t>
                </a:r>
                <a:r>
                  <a:rPr lang="en-US" sz="1000" b="0" i="0" u="none" strike="noStrike" baseline="0"/>
                  <a:t>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55713955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νερού υπό πίεση υπερκειμένων </a:t>
            </a:r>
            <a:r>
              <a:rPr lang="en-US" sz="1400" b="0" i="0" baseline="0">
                <a:effectLst/>
              </a:rPr>
              <a:t>150</a:t>
            </a:r>
            <a:r>
              <a:rPr lang="el-GR" sz="1400" b="0" i="0" baseline="0">
                <a:effectLst/>
              </a:rPr>
              <a:t>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smoothMarker"/>
        <c:varyColors val="0"/>
        <c:ser>
          <c:idx val="0"/>
          <c:order val="0"/>
          <c:tx>
            <c:v>Buckinghum-Reiner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'Kw,abs150bar'!$AH$198:$AH$207</c:f>
              <c:numCache>
                <c:formatCode>General</c:formatCode>
                <c:ptCount val="10"/>
                <c:pt idx="0">
                  <c:v>10</c:v>
                </c:pt>
                <c:pt idx="1">
                  <c:v>20</c:v>
                </c:pt>
                <c:pt idx="2">
                  <c:v>30</c:v>
                </c:pt>
                <c:pt idx="3">
                  <c:v>40</c:v>
                </c:pt>
                <c:pt idx="4">
                  <c:v>50</c:v>
                </c:pt>
                <c:pt idx="5">
                  <c:v>60</c:v>
                </c:pt>
                <c:pt idx="6">
                  <c:v>70</c:v>
                </c:pt>
                <c:pt idx="7">
                  <c:v>80</c:v>
                </c:pt>
                <c:pt idx="8">
                  <c:v>90</c:v>
                </c:pt>
                <c:pt idx="9">
                  <c:v>100</c:v>
                </c:pt>
              </c:numCache>
            </c:numRef>
          </c:xVal>
          <c:yVal>
            <c:numRef>
              <c:f>'Kw,abs150bar'!$AK$198:$AK$207</c:f>
              <c:numCache>
                <c:formatCode>0.000</c:formatCode>
                <c:ptCount val="10"/>
                <c:pt idx="0">
                  <c:v>0.60433704413587497</c:v>
                </c:pt>
                <c:pt idx="1">
                  <c:v>0.76267776503175011</c:v>
                </c:pt>
                <c:pt idx="2">
                  <c:v>0.93500225779832591</c:v>
                </c:pt>
                <c:pt idx="3">
                  <c:v>1.0287458951929085</c:v>
                </c:pt>
                <c:pt idx="4">
                  <c:v>1.0862485580432446</c:v>
                </c:pt>
                <c:pt idx="5">
                  <c:v>1.1249067876925414</c:v>
                </c:pt>
                <c:pt idx="6">
                  <c:v>1.1526276209926785</c:v>
                </c:pt>
                <c:pt idx="7">
                  <c:v>1.1734610708805637</c:v>
                </c:pt>
                <c:pt idx="8">
                  <c:v>1.1896841526260202</c:v>
                </c:pt>
                <c:pt idx="9">
                  <c:v>1.2026721708192265</c:v>
                </c:pt>
              </c:numCache>
            </c:numRef>
          </c:yVal>
          <c:smooth val="1"/>
          <c:extLst>
            <c:ext xmlns:c16="http://schemas.microsoft.com/office/drawing/2014/chart" uri="{C3380CC4-5D6E-409C-BE32-E72D297353CC}">
              <c16:uniqueId val="{00000000-37A8-4D7C-AC4B-C668119561E2}"/>
            </c:ext>
          </c:extLst>
        </c:ser>
        <c:ser>
          <c:idx val="1"/>
          <c:order val="1"/>
          <c:tx>
            <c:v>πειραματικά σημεία</c:v>
          </c:tx>
          <c:spPr>
            <a:ln w="19050" cap="rnd">
              <a:noFill/>
              <a:round/>
            </a:ln>
            <a:effectLst/>
          </c:spPr>
          <c:marker>
            <c:symbol val="circle"/>
            <c:size val="5"/>
            <c:spPr>
              <a:solidFill>
                <a:schemeClr val="accent2"/>
              </a:solidFill>
              <a:ln w="9525">
                <a:solidFill>
                  <a:schemeClr val="accent2"/>
                </a:solidFill>
              </a:ln>
              <a:effectLst/>
            </c:spPr>
          </c:marker>
          <c:xVal>
            <c:numRef>
              <c:f>'Kw,abs150bar'!$AA$96:$AA$103</c:f>
              <c:numCache>
                <c:formatCode>0.0</c:formatCode>
                <c:ptCount val="8"/>
                <c:pt idx="0">
                  <c:v>80.925799999999995</c:v>
                </c:pt>
                <c:pt idx="1">
                  <c:v>90.794799999999995</c:v>
                </c:pt>
                <c:pt idx="2">
                  <c:v>68.096100000000007</c:v>
                </c:pt>
                <c:pt idx="3">
                  <c:v>55.266399999999997</c:v>
                </c:pt>
                <c:pt idx="4">
                  <c:v>44.410499999999999</c:v>
                </c:pt>
                <c:pt idx="5">
                  <c:v>32.567700000000002</c:v>
                </c:pt>
                <c:pt idx="6">
                  <c:v>20.231449999999999</c:v>
                </c:pt>
                <c:pt idx="7">
                  <c:v>13.32315</c:v>
                </c:pt>
              </c:numCache>
            </c:numRef>
          </c:xVal>
          <c:yVal>
            <c:numRef>
              <c:f>'Kw,abs150bar'!$AC$96:$AC$103</c:f>
              <c:numCache>
                <c:formatCode>0.00</c:formatCode>
                <c:ptCount val="8"/>
                <c:pt idx="0">
                  <c:v>1.15588712774415</c:v>
                </c:pt>
                <c:pt idx="1">
                  <c:v>1.2019550929803298</c:v>
                </c:pt>
                <c:pt idx="2">
                  <c:v>1.1447191361717424</c:v>
                </c:pt>
                <c:pt idx="3">
                  <c:v>1.1283660056550036</c:v>
                </c:pt>
                <c:pt idx="4">
                  <c:v>1.0531416052780032</c:v>
                </c:pt>
                <c:pt idx="5">
                  <c:v>0.95740145934363929</c:v>
                </c:pt>
                <c:pt idx="6">
                  <c:v>0.77059141849609991</c:v>
                </c:pt>
                <c:pt idx="7">
                  <c:v>0.58507866959889077</c:v>
                </c:pt>
              </c:numCache>
            </c:numRef>
          </c:yVal>
          <c:smooth val="1"/>
          <c:extLst>
            <c:ext xmlns:c16="http://schemas.microsoft.com/office/drawing/2014/chart" uri="{C3380CC4-5D6E-409C-BE32-E72D297353CC}">
              <c16:uniqueId val="{00000002-37A8-4D7C-AC4B-C668119561E2}"/>
            </c:ext>
          </c:extLst>
        </c:ser>
        <c:dLbls>
          <c:showLegendKey val="0"/>
          <c:showVal val="0"/>
          <c:showCatName val="0"/>
          <c:showSerName val="0"/>
          <c:showPercent val="0"/>
          <c:showBubbleSize val="0"/>
        </c:dLbls>
        <c:axId val="602910320"/>
        <c:axId val="101832736"/>
      </c:scatterChart>
      <c:valAx>
        <c:axId val="602910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sz="1000" b="0" i="0" u="none" strike="noStrike" baseline="0">
                    <a:effectLst/>
                  </a:rPr>
                  <a:t>Δ</a:t>
                </a:r>
                <a:r>
                  <a:rPr lang="en-US" sz="1000" b="0" i="0" u="none" strike="noStrike" baseline="0">
                    <a:effectLst/>
                  </a:rPr>
                  <a:t>P(atm)</a:t>
                </a:r>
                <a:r>
                  <a:rPr lang="en-US" sz="1000" b="0" i="0" u="none" strike="noStrike" baseline="0"/>
                  <a:t>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01832736"/>
        <c:crosses val="autoZero"/>
        <c:crossBetween val="midCat"/>
      </c:valAx>
      <c:valAx>
        <c:axId val="101832736"/>
        <c:scaling>
          <c:orientation val="minMax"/>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K(mD)</a:t>
                </a:r>
                <a:r>
                  <a:rPr lang="en-US" sz="1000" b="0" i="0" u="none" strike="noStrike" baseline="0"/>
                  <a:t>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6029103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πετρελαίου στο μη περαιτέρω μειώσιμο βαθμό κορεσμού σε νερό υπό πίεση υπερκειμένων </a:t>
            </a:r>
            <a:r>
              <a:rPr lang="en-US" sz="1400" b="0" i="0" baseline="0">
                <a:effectLst/>
              </a:rPr>
              <a:t>150</a:t>
            </a:r>
            <a:r>
              <a:rPr lang="el-GR" sz="1400" b="0" i="0" baseline="0">
                <a:effectLst/>
              </a:rPr>
              <a:t>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πειραμτικά σημεία</c:v>
          </c:tx>
          <c:spPr>
            <a:ln w="25400" cap="rnd">
              <a:noFill/>
              <a:round/>
            </a:ln>
            <a:effectLst/>
          </c:spPr>
          <c:marker>
            <c:symbol val="circle"/>
            <c:size val="5"/>
            <c:spPr>
              <a:solidFill>
                <a:schemeClr val="accent1"/>
              </a:solidFill>
              <a:ln w="9525">
                <a:solidFill>
                  <a:schemeClr val="accent1"/>
                </a:solidFill>
              </a:ln>
              <a:effectLst/>
            </c:spPr>
          </c:marker>
          <c:trendline>
            <c:name>y=αx+β</c:name>
            <c:spPr>
              <a:ln w="19050" cap="rnd">
                <a:solidFill>
                  <a:schemeClr val="accent1"/>
                </a:solidFill>
                <a:prstDash val="sysDot"/>
              </a:ln>
              <a:effectLst/>
            </c:spPr>
            <c:trendlineType val="linear"/>
            <c:dispRSqr val="1"/>
            <c:dispEq val="1"/>
            <c:trendlineLbl>
              <c:layout>
                <c:manualLayout>
                  <c:x val="-7.1627427690419812E-2"/>
                  <c:y val="1.902676399026764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'Keo@Swi150bar'!$L$2:$L$9</c:f>
              <c:numCache>
                <c:formatCode>0.0</c:formatCode>
                <c:ptCount val="8"/>
                <c:pt idx="0">
                  <c:v>14.8035</c:v>
                </c:pt>
                <c:pt idx="1">
                  <c:v>19.24455</c:v>
                </c:pt>
                <c:pt idx="2">
                  <c:v>24.17905</c:v>
                </c:pt>
                <c:pt idx="3">
                  <c:v>30.100449999999999</c:v>
                </c:pt>
                <c:pt idx="4">
                  <c:v>38.982550000000003</c:v>
                </c:pt>
                <c:pt idx="5">
                  <c:v>44.903950000000002</c:v>
                </c:pt>
                <c:pt idx="6">
                  <c:v>65.135400000000004</c:v>
                </c:pt>
                <c:pt idx="7">
                  <c:v>83.393050000000002</c:v>
                </c:pt>
              </c:numCache>
            </c:numRef>
          </c:xVal>
          <c:yVal>
            <c:numRef>
              <c:f>'Keo@Swi150bar'!$K$2:$K$9</c:f>
              <c:numCache>
                <c:formatCode>0.0000</c:formatCode>
                <c:ptCount val="8"/>
                <c:pt idx="0">
                  <c:v>8.3333333333333301E-2</c:v>
                </c:pt>
                <c:pt idx="1">
                  <c:v>0.11666666666666667</c:v>
                </c:pt>
                <c:pt idx="2">
                  <c:v>0.16666666666666666</c:v>
                </c:pt>
                <c:pt idx="3">
                  <c:v>0.25</c:v>
                </c:pt>
                <c:pt idx="4">
                  <c:v>0.33333333333333331</c:v>
                </c:pt>
                <c:pt idx="5">
                  <c:v>0.41666666666666669</c:v>
                </c:pt>
                <c:pt idx="6">
                  <c:v>0.66666666666666663</c:v>
                </c:pt>
                <c:pt idx="7">
                  <c:v>0.91666666666666696</c:v>
                </c:pt>
              </c:numCache>
            </c:numRef>
          </c:yVal>
          <c:smooth val="0"/>
          <c:extLst>
            <c:ext xmlns:c16="http://schemas.microsoft.com/office/drawing/2014/chart" uri="{C3380CC4-5D6E-409C-BE32-E72D297353CC}">
              <c16:uniqueId val="{00000001-AC8A-42F0-BFB4-09D71D36A04C}"/>
            </c:ext>
          </c:extLst>
        </c:ser>
        <c:dLbls>
          <c:showLegendKey val="0"/>
          <c:showVal val="0"/>
          <c:showCatName val="0"/>
          <c:showSerName val="0"/>
          <c:showPercent val="0"/>
          <c:showBubbleSize val="0"/>
        </c:dLbls>
        <c:axId val="163651968"/>
        <c:axId val="163653888"/>
      </c:scatterChart>
      <c:valAx>
        <c:axId val="163651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Δ</a:t>
                </a:r>
                <a:r>
                  <a:rPr lang="en-US"/>
                  <a:t>P(atm)</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63653888"/>
        <c:crosses val="autoZero"/>
        <c:crossBetween val="midCat"/>
      </c:valAx>
      <c:valAx>
        <c:axId val="163653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Q(ml/sec)</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636519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πετρελαίου στο μη περαιτέρω μειώσιμο βαθμό κορεσμού σε νερό υπό πίεση υπερκειμένων</a:t>
            </a:r>
            <a:r>
              <a:rPr lang="en-US" sz="1400" b="0" i="0" baseline="0">
                <a:effectLst/>
              </a:rPr>
              <a:t> 150</a:t>
            </a:r>
            <a:r>
              <a:rPr lang="el-GR" sz="1400" b="0" i="0" baseline="0">
                <a:effectLst/>
              </a:rPr>
              <a:t>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smoothMarker"/>
        <c:varyColors val="0"/>
        <c:ser>
          <c:idx val="0"/>
          <c:order val="0"/>
          <c:tx>
            <c:v>Buckinghum-Reiner</c:v>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'Keo@Swi150bar'!$K$53:$K$62</c:f>
              <c:numCache>
                <c:formatCode>0.0</c:formatCode>
                <c:ptCount val="10"/>
                <c:pt idx="0">
                  <c:v>10</c:v>
                </c:pt>
                <c:pt idx="1">
                  <c:v>20</c:v>
                </c:pt>
                <c:pt idx="2">
                  <c:v>30</c:v>
                </c:pt>
                <c:pt idx="3">
                  <c:v>40</c:v>
                </c:pt>
                <c:pt idx="4">
                  <c:v>50</c:v>
                </c:pt>
                <c:pt idx="5">
                  <c:v>60</c:v>
                </c:pt>
                <c:pt idx="6">
                  <c:v>70</c:v>
                </c:pt>
                <c:pt idx="7">
                  <c:v>80</c:v>
                </c:pt>
                <c:pt idx="8">
                  <c:v>90</c:v>
                </c:pt>
                <c:pt idx="9">
                  <c:v>100</c:v>
                </c:pt>
              </c:numCache>
            </c:numRef>
          </c:xVal>
          <c:yVal>
            <c:numRef>
              <c:f>'Keo@Swi150bar'!$N$53:$N$62</c:f>
              <c:numCache>
                <c:formatCode>0.00</c:formatCode>
                <c:ptCount val="10"/>
                <c:pt idx="0">
                  <c:v>1.7098967826409712</c:v>
                </c:pt>
                <c:pt idx="1">
                  <c:v>2.2086363678621863</c:v>
                </c:pt>
                <c:pt idx="2">
                  <c:v>2.3763130562558672</c:v>
                </c:pt>
                <c:pt idx="3">
                  <c:v>2.4602420999371524</c:v>
                </c:pt>
                <c:pt idx="4">
                  <c:v>2.5106145579686538</c:v>
                </c:pt>
                <c:pt idx="5">
                  <c:v>2.5442000622946375</c:v>
                </c:pt>
                <c:pt idx="6">
                  <c:v>2.5681909980451674</c:v>
                </c:pt>
                <c:pt idx="7">
                  <c:v>2.5861847121911579</c:v>
                </c:pt>
                <c:pt idx="8">
                  <c:v>2.6001800539370254</c:v>
                </c:pt>
                <c:pt idx="9">
                  <c:v>2.611376441617991</c:v>
                </c:pt>
              </c:numCache>
            </c:numRef>
          </c:yVal>
          <c:smooth val="1"/>
          <c:extLst>
            <c:ext xmlns:c16="http://schemas.microsoft.com/office/drawing/2014/chart" uri="{C3380CC4-5D6E-409C-BE32-E72D297353CC}">
              <c16:uniqueId val="{00000000-ADDB-4E15-97D3-80BDBB99F2F9}"/>
            </c:ext>
          </c:extLst>
        </c:ser>
        <c:dLbls>
          <c:showLegendKey val="0"/>
          <c:showVal val="0"/>
          <c:showCatName val="0"/>
          <c:showSerName val="0"/>
          <c:showPercent val="0"/>
          <c:showBubbleSize val="0"/>
        </c:dLbls>
        <c:axId val="163683328"/>
        <c:axId val="163701888"/>
      </c:scatterChart>
      <c:scatterChart>
        <c:scatterStyle val="lineMarker"/>
        <c:varyColors val="0"/>
        <c:ser>
          <c:idx val="1"/>
          <c:order val="1"/>
          <c:tx>
            <c:v>πειραματικά σημεία</c:v>
          </c:tx>
          <c:spPr>
            <a:ln w="25400" cap="rnd">
              <a:noFill/>
              <a:round/>
            </a:ln>
            <a:effectLst/>
          </c:spPr>
          <c:marker>
            <c:symbol val="circle"/>
            <c:size val="5"/>
            <c:spPr>
              <a:solidFill>
                <a:schemeClr val="accent2"/>
              </a:solidFill>
              <a:ln w="9525">
                <a:solidFill>
                  <a:schemeClr val="accent2"/>
                </a:solidFill>
              </a:ln>
              <a:effectLst/>
            </c:spPr>
          </c:marker>
          <c:xVal>
            <c:numRef>
              <c:f>'Keo@Swi150bar'!$L$2:$L$9</c:f>
              <c:numCache>
                <c:formatCode>0.0</c:formatCode>
                <c:ptCount val="8"/>
                <c:pt idx="0">
                  <c:v>14.8035</c:v>
                </c:pt>
                <c:pt idx="1">
                  <c:v>19.24455</c:v>
                </c:pt>
                <c:pt idx="2">
                  <c:v>24.17905</c:v>
                </c:pt>
                <c:pt idx="3">
                  <c:v>30.100449999999999</c:v>
                </c:pt>
                <c:pt idx="4">
                  <c:v>38.982550000000003</c:v>
                </c:pt>
                <c:pt idx="5">
                  <c:v>44.903950000000002</c:v>
                </c:pt>
                <c:pt idx="6">
                  <c:v>65.135400000000004</c:v>
                </c:pt>
                <c:pt idx="7">
                  <c:v>83.393050000000002</c:v>
                </c:pt>
              </c:numCache>
            </c:numRef>
          </c:xVal>
          <c:yVal>
            <c:numRef>
              <c:f>'Keo@Swi150bar'!$M$2:$M$9</c:f>
              <c:numCache>
                <c:formatCode>0.00</c:formatCode>
                <c:ptCount val="8"/>
                <c:pt idx="0">
                  <c:v>2.0325632981865462</c:v>
                </c:pt>
                <c:pt idx="1">
                  <c:v>2.1889143211239728</c:v>
                </c:pt>
                <c:pt idx="2">
                  <c:v>2.4888530181876072</c:v>
                </c:pt>
                <c:pt idx="3">
                  <c:v>2.9988638825703138</c:v>
                </c:pt>
                <c:pt idx="4">
                  <c:v>3.087437921296019</c:v>
                </c:pt>
                <c:pt idx="5">
                  <c:v>3.3503790629448558</c:v>
                </c:pt>
                <c:pt idx="6">
                  <c:v>3.6955696330664467</c:v>
                </c:pt>
                <c:pt idx="7">
                  <c:v>3.9689105822577515</c:v>
                </c:pt>
              </c:numCache>
            </c:numRef>
          </c:yVal>
          <c:smooth val="0"/>
          <c:extLst>
            <c:ext xmlns:c16="http://schemas.microsoft.com/office/drawing/2014/chart" uri="{C3380CC4-5D6E-409C-BE32-E72D297353CC}">
              <c16:uniqueId val="{00000001-ADDB-4E15-97D3-80BDBB99F2F9}"/>
            </c:ext>
          </c:extLst>
        </c:ser>
        <c:dLbls>
          <c:showLegendKey val="0"/>
          <c:showVal val="0"/>
          <c:showCatName val="0"/>
          <c:showSerName val="0"/>
          <c:showPercent val="0"/>
          <c:showBubbleSize val="0"/>
        </c:dLbls>
        <c:axId val="163683328"/>
        <c:axId val="163701888"/>
      </c:scatterChart>
      <c:valAx>
        <c:axId val="163683328"/>
        <c:scaling>
          <c:orientation val="minMax"/>
          <c:max val="1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Δ</a:t>
                </a:r>
                <a:r>
                  <a:rPr lang="en-US"/>
                  <a:t>P(atm)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63701888"/>
        <c:crosses val="autoZero"/>
        <c:crossBetween val="midCat"/>
      </c:valAx>
      <c:valAx>
        <c:axId val="163701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Keo@Sor(mD)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636833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l-GR" sz="1400" b="0" i="0" baseline="0">
                <a:effectLst/>
              </a:rPr>
              <a:t>Μονοφασική ροή πετρελαίου στο μη περαιτέρω μειώσιμο βαθμό κορεσμού σε νερό υπό πίεση υπερκειμένων </a:t>
            </a:r>
            <a:r>
              <a:rPr lang="en-US" sz="1400" b="0" i="0" baseline="0">
                <a:effectLst/>
              </a:rPr>
              <a:t>150</a:t>
            </a:r>
            <a:r>
              <a:rPr lang="el-GR" sz="1400" b="0" i="0" baseline="0">
                <a:effectLst/>
              </a:rPr>
              <a:t>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l-GR"/>
        </a:p>
      </c:txPr>
    </c:title>
    <c:autoTitleDeleted val="0"/>
    <c:plotArea>
      <c:layout/>
      <c:scatterChart>
        <c:scatterStyle val="lineMarker"/>
        <c:varyColors val="0"/>
        <c:ser>
          <c:idx val="0"/>
          <c:order val="0"/>
          <c:tx>
            <c:v>20 ml/min</c:v>
          </c:tx>
          <c:spPr>
            <a:ln w="25400" cap="rnd">
              <a:noFill/>
              <a:round/>
            </a:ln>
            <a:effectLst/>
          </c:spPr>
          <c:marker>
            <c:symbol val="diamond"/>
            <c:size val="6"/>
            <c:spPr>
              <a:solidFill>
                <a:schemeClr val="lt1"/>
              </a:solidFill>
              <a:ln w="15875">
                <a:solidFill>
                  <a:schemeClr val="accent1"/>
                </a:solidFill>
                <a:round/>
              </a:ln>
              <a:effectLst/>
            </c:spPr>
          </c:marker>
          <c:xVal>
            <c:numRef>
              <c:f>('Keo@Swi150bar'!$H$2:$H$9,'Keo@Swi150bar'!$H$62:$H$68)</c:f>
              <c:numCache>
                <c:formatCode>General</c:formatCode>
                <c:ptCount val="15"/>
                <c:pt idx="0">
                  <c:v>0</c:v>
                </c:pt>
                <c:pt idx="1">
                  <c:v>3</c:v>
                </c:pt>
                <c:pt idx="2">
                  <c:v>6</c:v>
                </c:pt>
                <c:pt idx="3">
                  <c:v>9</c:v>
                </c:pt>
                <c:pt idx="4">
                  <c:v>12</c:v>
                </c:pt>
                <c:pt idx="5">
                  <c:v>15</c:v>
                </c:pt>
                <c:pt idx="6">
                  <c:v>18</c:v>
                </c:pt>
                <c:pt idx="7">
                  <c:v>21</c:v>
                </c:pt>
                <c:pt idx="8">
                  <c:v>224</c:v>
                </c:pt>
                <c:pt idx="9">
                  <c:v>229</c:v>
                </c:pt>
                <c:pt idx="10">
                  <c:v>234</c:v>
                </c:pt>
                <c:pt idx="11">
                  <c:v>239</c:v>
                </c:pt>
                <c:pt idx="12">
                  <c:v>244</c:v>
                </c:pt>
                <c:pt idx="13">
                  <c:v>249</c:v>
                </c:pt>
                <c:pt idx="14">
                  <c:v>254</c:v>
                </c:pt>
              </c:numCache>
            </c:numRef>
          </c:xVal>
          <c:yVal>
            <c:numRef>
              <c:f>('Keo@Swi150bar'!$B$2:$B$9,'Keo@Swi150bar'!$B$62:$B$68)</c:f>
              <c:numCache>
                <c:formatCode>0.0</c:formatCode>
                <c:ptCount val="15"/>
                <c:pt idx="0">
                  <c:v>51</c:v>
                </c:pt>
                <c:pt idx="1">
                  <c:v>46.5</c:v>
                </c:pt>
                <c:pt idx="2">
                  <c:v>41</c:v>
                </c:pt>
                <c:pt idx="3">
                  <c:v>40</c:v>
                </c:pt>
                <c:pt idx="4">
                  <c:v>38</c:v>
                </c:pt>
                <c:pt idx="5">
                  <c:v>37</c:v>
                </c:pt>
                <c:pt idx="6">
                  <c:v>36</c:v>
                </c:pt>
                <c:pt idx="7">
                  <c:v>35</c:v>
                </c:pt>
                <c:pt idx="8">
                  <c:v>30</c:v>
                </c:pt>
                <c:pt idx="9">
                  <c:v>36</c:v>
                </c:pt>
                <c:pt idx="10">
                  <c:v>36</c:v>
                </c:pt>
                <c:pt idx="11">
                  <c:v>36</c:v>
                </c:pt>
                <c:pt idx="12">
                  <c:v>36</c:v>
                </c:pt>
                <c:pt idx="13">
                  <c:v>36</c:v>
                </c:pt>
                <c:pt idx="14">
                  <c:v>36</c:v>
                </c:pt>
              </c:numCache>
            </c:numRef>
          </c:yVal>
          <c:smooth val="0"/>
          <c:extLst>
            <c:ext xmlns:c16="http://schemas.microsoft.com/office/drawing/2014/chart" uri="{C3380CC4-5D6E-409C-BE32-E72D297353CC}">
              <c16:uniqueId val="{00000000-99F4-4618-820B-B86D6E2A7FB8}"/>
            </c:ext>
          </c:extLst>
        </c:ser>
        <c:ser>
          <c:idx val="1"/>
          <c:order val="1"/>
          <c:tx>
            <c:v>15 ml/min</c:v>
          </c:tx>
          <c:spPr>
            <a:ln w="25400" cap="rnd">
              <a:noFill/>
              <a:round/>
            </a:ln>
            <a:effectLst/>
          </c:spPr>
          <c:marker>
            <c:symbol val="square"/>
            <c:size val="6"/>
            <c:spPr>
              <a:solidFill>
                <a:schemeClr val="lt1"/>
              </a:solidFill>
              <a:ln w="15875">
                <a:solidFill>
                  <a:schemeClr val="accent2"/>
                </a:solidFill>
                <a:round/>
              </a:ln>
              <a:effectLst/>
            </c:spPr>
          </c:marker>
          <c:xVal>
            <c:numRef>
              <c:f>('Keo@Swi150bar'!$H$10:$H$13,'Keo@Swi150bar'!$H$20:$H$31,'Keo@Swi150bar'!$H$55:$H$61)</c:f>
              <c:numCache>
                <c:formatCode>General</c:formatCode>
                <c:ptCount val="23"/>
                <c:pt idx="0">
                  <c:v>26</c:v>
                </c:pt>
                <c:pt idx="1">
                  <c:v>31</c:v>
                </c:pt>
                <c:pt idx="2">
                  <c:v>34</c:v>
                </c:pt>
                <c:pt idx="3">
                  <c:v>37</c:v>
                </c:pt>
                <c:pt idx="4">
                  <c:v>57</c:v>
                </c:pt>
                <c:pt idx="5">
                  <c:v>59</c:v>
                </c:pt>
                <c:pt idx="6">
                  <c:v>61</c:v>
                </c:pt>
                <c:pt idx="7">
                  <c:v>63</c:v>
                </c:pt>
                <c:pt idx="8">
                  <c:v>65</c:v>
                </c:pt>
                <c:pt idx="9">
                  <c:v>68</c:v>
                </c:pt>
                <c:pt idx="10">
                  <c:v>71</c:v>
                </c:pt>
                <c:pt idx="11">
                  <c:v>74</c:v>
                </c:pt>
                <c:pt idx="12">
                  <c:v>77</c:v>
                </c:pt>
                <c:pt idx="13">
                  <c:v>81</c:v>
                </c:pt>
                <c:pt idx="14">
                  <c:v>85</c:v>
                </c:pt>
                <c:pt idx="15">
                  <c:v>89</c:v>
                </c:pt>
                <c:pt idx="16">
                  <c:v>194</c:v>
                </c:pt>
                <c:pt idx="17">
                  <c:v>199</c:v>
                </c:pt>
                <c:pt idx="18">
                  <c:v>204</c:v>
                </c:pt>
                <c:pt idx="19">
                  <c:v>209</c:v>
                </c:pt>
                <c:pt idx="20">
                  <c:v>214</c:v>
                </c:pt>
                <c:pt idx="21">
                  <c:v>219</c:v>
                </c:pt>
                <c:pt idx="22">
                  <c:v>224</c:v>
                </c:pt>
              </c:numCache>
            </c:numRef>
          </c:xVal>
          <c:yVal>
            <c:numRef>
              <c:f>('Keo@Swi150bar'!$B$10:$B$13,'Keo@Swi150bar'!$B$20:$B$31,'Keo@Swi150bar'!$B$55:$B$61)</c:f>
              <c:numCache>
                <c:formatCode>0.0</c:formatCode>
                <c:ptCount val="23"/>
                <c:pt idx="0">
                  <c:v>54</c:v>
                </c:pt>
                <c:pt idx="1">
                  <c:v>50</c:v>
                </c:pt>
                <c:pt idx="2">
                  <c:v>46</c:v>
                </c:pt>
                <c:pt idx="3">
                  <c:v>45</c:v>
                </c:pt>
                <c:pt idx="4">
                  <c:v>80</c:v>
                </c:pt>
                <c:pt idx="5">
                  <c:v>62</c:v>
                </c:pt>
                <c:pt idx="6">
                  <c:v>58</c:v>
                </c:pt>
                <c:pt idx="7">
                  <c:v>51</c:v>
                </c:pt>
                <c:pt idx="8">
                  <c:v>48</c:v>
                </c:pt>
                <c:pt idx="9">
                  <c:v>46</c:v>
                </c:pt>
                <c:pt idx="10">
                  <c:v>43</c:v>
                </c:pt>
                <c:pt idx="11">
                  <c:v>42</c:v>
                </c:pt>
                <c:pt idx="12">
                  <c:v>40</c:v>
                </c:pt>
                <c:pt idx="13">
                  <c:v>38.5</c:v>
                </c:pt>
                <c:pt idx="14">
                  <c:v>38</c:v>
                </c:pt>
                <c:pt idx="15">
                  <c:v>37</c:v>
                </c:pt>
                <c:pt idx="16">
                  <c:v>24</c:v>
                </c:pt>
                <c:pt idx="17">
                  <c:v>26.5</c:v>
                </c:pt>
                <c:pt idx="18">
                  <c:v>27</c:v>
                </c:pt>
                <c:pt idx="19">
                  <c:v>27</c:v>
                </c:pt>
                <c:pt idx="20">
                  <c:v>27</c:v>
                </c:pt>
                <c:pt idx="21">
                  <c:v>27</c:v>
                </c:pt>
                <c:pt idx="22">
                  <c:v>27</c:v>
                </c:pt>
              </c:numCache>
            </c:numRef>
          </c:yVal>
          <c:smooth val="0"/>
          <c:extLst>
            <c:ext xmlns:c16="http://schemas.microsoft.com/office/drawing/2014/chart" uri="{C3380CC4-5D6E-409C-BE32-E72D297353CC}">
              <c16:uniqueId val="{00000001-99F4-4618-820B-B86D6E2A7FB8}"/>
            </c:ext>
          </c:extLst>
        </c:ser>
        <c:ser>
          <c:idx val="2"/>
          <c:order val="2"/>
          <c:tx>
            <c:v>25 ml/min</c:v>
          </c:tx>
          <c:spPr>
            <a:ln w="25400" cap="rnd">
              <a:noFill/>
              <a:round/>
            </a:ln>
            <a:effectLst/>
          </c:spPr>
          <c:marker>
            <c:symbol val="triangle"/>
            <c:size val="6"/>
            <c:spPr>
              <a:solidFill>
                <a:schemeClr val="lt1"/>
              </a:solidFill>
              <a:ln w="15875">
                <a:solidFill>
                  <a:schemeClr val="accent3"/>
                </a:solidFill>
                <a:round/>
              </a:ln>
              <a:effectLst/>
            </c:spPr>
          </c:marker>
          <c:xVal>
            <c:numRef>
              <c:f>('Keo@Swi150bar'!$H$14:$H$19,'Keo@Swi150bar'!$H$70:$H$74,'Keo@Swi150bar'!$H$69)</c:f>
              <c:numCache>
                <c:formatCode>General</c:formatCode>
                <c:ptCount val="12"/>
                <c:pt idx="0">
                  <c:v>40</c:v>
                </c:pt>
                <c:pt idx="1">
                  <c:v>43</c:v>
                </c:pt>
                <c:pt idx="2">
                  <c:v>46</c:v>
                </c:pt>
                <c:pt idx="3">
                  <c:v>49</c:v>
                </c:pt>
                <c:pt idx="4">
                  <c:v>52</c:v>
                </c:pt>
                <c:pt idx="5">
                  <c:v>55</c:v>
                </c:pt>
                <c:pt idx="6">
                  <c:v>259</c:v>
                </c:pt>
                <c:pt idx="7">
                  <c:v>264</c:v>
                </c:pt>
                <c:pt idx="8">
                  <c:v>269</c:v>
                </c:pt>
                <c:pt idx="9">
                  <c:v>274</c:v>
                </c:pt>
                <c:pt idx="10">
                  <c:v>279</c:v>
                </c:pt>
                <c:pt idx="11">
                  <c:v>254</c:v>
                </c:pt>
              </c:numCache>
            </c:numRef>
          </c:xVal>
          <c:yVal>
            <c:numRef>
              <c:f>('Keo@Swi150bar'!$B$14:$B$19,'Keo@Swi150bar'!$B$69:$B$74)</c:f>
              <c:numCache>
                <c:formatCode>0.0</c:formatCode>
                <c:ptCount val="12"/>
                <c:pt idx="0">
                  <c:v>62</c:v>
                </c:pt>
                <c:pt idx="1">
                  <c:v>57</c:v>
                </c:pt>
                <c:pt idx="2">
                  <c:v>56</c:v>
                </c:pt>
                <c:pt idx="3">
                  <c:v>54.5</c:v>
                </c:pt>
                <c:pt idx="4">
                  <c:v>54</c:v>
                </c:pt>
                <c:pt idx="5">
                  <c:v>52</c:v>
                </c:pt>
                <c:pt idx="6">
                  <c:v>38</c:v>
                </c:pt>
                <c:pt idx="7">
                  <c:v>42</c:v>
                </c:pt>
                <c:pt idx="8">
                  <c:v>42</c:v>
                </c:pt>
                <c:pt idx="9">
                  <c:v>42</c:v>
                </c:pt>
                <c:pt idx="10">
                  <c:v>42</c:v>
                </c:pt>
                <c:pt idx="11">
                  <c:v>42</c:v>
                </c:pt>
              </c:numCache>
            </c:numRef>
          </c:yVal>
          <c:smooth val="0"/>
          <c:extLst>
            <c:ext xmlns:c16="http://schemas.microsoft.com/office/drawing/2014/chart" uri="{C3380CC4-5D6E-409C-BE32-E72D297353CC}">
              <c16:uniqueId val="{00000002-99F4-4618-820B-B86D6E2A7FB8}"/>
            </c:ext>
          </c:extLst>
        </c:ser>
        <c:ser>
          <c:idx val="3"/>
          <c:order val="3"/>
          <c:tx>
            <c:v>10 ml/min</c:v>
          </c:tx>
          <c:spPr>
            <a:ln w="25400" cap="rnd">
              <a:noFill/>
              <a:round/>
            </a:ln>
            <a:effectLst/>
          </c:spPr>
          <c:marker>
            <c:symbol val="x"/>
            <c:size val="6"/>
            <c:spPr>
              <a:noFill/>
              <a:ln w="15875">
                <a:solidFill>
                  <a:schemeClr val="accent4"/>
                </a:solidFill>
                <a:round/>
              </a:ln>
              <a:effectLst/>
            </c:spPr>
          </c:marker>
          <c:xVal>
            <c:numRef>
              <c:f>'Keo@Swi150bar'!$H$32:$H$40</c:f>
              <c:numCache>
                <c:formatCode>General</c:formatCode>
                <c:ptCount val="9"/>
                <c:pt idx="0">
                  <c:v>89</c:v>
                </c:pt>
                <c:pt idx="1">
                  <c:v>94</c:v>
                </c:pt>
                <c:pt idx="2">
                  <c:v>99</c:v>
                </c:pt>
                <c:pt idx="3">
                  <c:v>104</c:v>
                </c:pt>
                <c:pt idx="4">
                  <c:v>109</c:v>
                </c:pt>
                <c:pt idx="5">
                  <c:v>114</c:v>
                </c:pt>
                <c:pt idx="6">
                  <c:v>119</c:v>
                </c:pt>
                <c:pt idx="7">
                  <c:v>124</c:v>
                </c:pt>
                <c:pt idx="8">
                  <c:v>129</c:v>
                </c:pt>
              </c:numCache>
            </c:numRef>
          </c:xVal>
          <c:yVal>
            <c:numRef>
              <c:f>'Keo@Swi150bar'!$B$32:$B$40</c:f>
              <c:numCache>
                <c:formatCode>0.0</c:formatCode>
                <c:ptCount val="9"/>
                <c:pt idx="0">
                  <c:v>18</c:v>
                </c:pt>
                <c:pt idx="1">
                  <c:v>20</c:v>
                </c:pt>
                <c:pt idx="2">
                  <c:v>20</c:v>
                </c:pt>
                <c:pt idx="3">
                  <c:v>20.5</c:v>
                </c:pt>
                <c:pt idx="4">
                  <c:v>21</c:v>
                </c:pt>
                <c:pt idx="5">
                  <c:v>21</c:v>
                </c:pt>
                <c:pt idx="6">
                  <c:v>21</c:v>
                </c:pt>
                <c:pt idx="7">
                  <c:v>21</c:v>
                </c:pt>
                <c:pt idx="8">
                  <c:v>21</c:v>
                </c:pt>
              </c:numCache>
            </c:numRef>
          </c:yVal>
          <c:smooth val="0"/>
          <c:extLst>
            <c:ext xmlns:c16="http://schemas.microsoft.com/office/drawing/2014/chart" uri="{C3380CC4-5D6E-409C-BE32-E72D297353CC}">
              <c16:uniqueId val="{00000003-99F4-4618-820B-B86D6E2A7FB8}"/>
            </c:ext>
          </c:extLst>
        </c:ser>
        <c:ser>
          <c:idx val="4"/>
          <c:order val="4"/>
          <c:tx>
            <c:v>7 ml/min</c:v>
          </c:tx>
          <c:spPr>
            <a:ln w="25400" cap="rnd">
              <a:noFill/>
              <a:round/>
            </a:ln>
            <a:effectLst/>
          </c:spPr>
          <c:marker>
            <c:symbol val="star"/>
            <c:size val="6"/>
            <c:spPr>
              <a:noFill/>
              <a:ln w="15875">
                <a:solidFill>
                  <a:schemeClr val="accent5"/>
                </a:solidFill>
                <a:round/>
              </a:ln>
              <a:effectLst/>
            </c:spPr>
          </c:marker>
          <c:xVal>
            <c:numRef>
              <c:f>'Keo@Swi150bar'!$H$41:$H$47</c:f>
              <c:numCache>
                <c:formatCode>General</c:formatCode>
                <c:ptCount val="7"/>
                <c:pt idx="0">
                  <c:v>129</c:v>
                </c:pt>
                <c:pt idx="1">
                  <c:v>134</c:v>
                </c:pt>
                <c:pt idx="2">
                  <c:v>139</c:v>
                </c:pt>
                <c:pt idx="3">
                  <c:v>144</c:v>
                </c:pt>
                <c:pt idx="4">
                  <c:v>149</c:v>
                </c:pt>
                <c:pt idx="5">
                  <c:v>154</c:v>
                </c:pt>
                <c:pt idx="6">
                  <c:v>159</c:v>
                </c:pt>
              </c:numCache>
            </c:numRef>
          </c:xVal>
          <c:yVal>
            <c:numRef>
              <c:f>'Keo@Swi150bar'!$B$41:$B$47</c:f>
              <c:numCache>
                <c:formatCode>0.0</c:formatCode>
                <c:ptCount val="7"/>
                <c:pt idx="0">
                  <c:v>16</c:v>
                </c:pt>
                <c:pt idx="1">
                  <c:v>16</c:v>
                </c:pt>
                <c:pt idx="2">
                  <c:v>16</c:v>
                </c:pt>
                <c:pt idx="3">
                  <c:v>16</c:v>
                </c:pt>
                <c:pt idx="4">
                  <c:v>16</c:v>
                </c:pt>
                <c:pt idx="5">
                  <c:v>16</c:v>
                </c:pt>
                <c:pt idx="6">
                  <c:v>16</c:v>
                </c:pt>
              </c:numCache>
            </c:numRef>
          </c:yVal>
          <c:smooth val="0"/>
          <c:extLst>
            <c:ext xmlns:c16="http://schemas.microsoft.com/office/drawing/2014/chart" uri="{C3380CC4-5D6E-409C-BE32-E72D297353CC}">
              <c16:uniqueId val="{00000004-99F4-4618-820B-B86D6E2A7FB8}"/>
            </c:ext>
          </c:extLst>
        </c:ser>
        <c:ser>
          <c:idx val="5"/>
          <c:order val="5"/>
          <c:tx>
            <c:v>5 ml/min</c:v>
          </c:tx>
          <c:spPr>
            <a:ln w="25400" cap="rnd">
              <a:noFill/>
              <a:round/>
            </a:ln>
            <a:effectLst/>
          </c:spPr>
          <c:marker>
            <c:symbol val="circle"/>
            <c:size val="6"/>
            <c:spPr>
              <a:solidFill>
                <a:schemeClr val="lt1"/>
              </a:solidFill>
              <a:ln w="15875">
                <a:solidFill>
                  <a:schemeClr val="accent6"/>
                </a:solidFill>
                <a:round/>
              </a:ln>
              <a:effectLst/>
            </c:spPr>
          </c:marker>
          <c:xVal>
            <c:numRef>
              <c:f>'Keo@Swi150bar'!$H$48:$H$54</c:f>
              <c:numCache>
                <c:formatCode>General</c:formatCode>
                <c:ptCount val="7"/>
                <c:pt idx="0">
                  <c:v>159</c:v>
                </c:pt>
                <c:pt idx="1">
                  <c:v>164</c:v>
                </c:pt>
                <c:pt idx="2">
                  <c:v>169</c:v>
                </c:pt>
                <c:pt idx="3">
                  <c:v>174</c:v>
                </c:pt>
                <c:pt idx="4">
                  <c:v>179</c:v>
                </c:pt>
                <c:pt idx="5">
                  <c:v>184</c:v>
                </c:pt>
                <c:pt idx="6">
                  <c:v>189</c:v>
                </c:pt>
              </c:numCache>
            </c:numRef>
          </c:xVal>
          <c:yVal>
            <c:numRef>
              <c:f>'Keo@Swi150bar'!$B$48:$B$54</c:f>
              <c:numCache>
                <c:formatCode>0.0</c:formatCode>
                <c:ptCount val="7"/>
                <c:pt idx="0">
                  <c:v>11.5</c:v>
                </c:pt>
                <c:pt idx="1">
                  <c:v>11.5</c:v>
                </c:pt>
                <c:pt idx="2">
                  <c:v>11.5</c:v>
                </c:pt>
                <c:pt idx="3">
                  <c:v>11.5</c:v>
                </c:pt>
                <c:pt idx="4">
                  <c:v>11.5</c:v>
                </c:pt>
                <c:pt idx="5">
                  <c:v>11.5</c:v>
                </c:pt>
                <c:pt idx="6">
                  <c:v>11.5</c:v>
                </c:pt>
              </c:numCache>
            </c:numRef>
          </c:yVal>
          <c:smooth val="0"/>
          <c:extLst>
            <c:ext xmlns:c16="http://schemas.microsoft.com/office/drawing/2014/chart" uri="{C3380CC4-5D6E-409C-BE32-E72D297353CC}">
              <c16:uniqueId val="{00000005-99F4-4618-820B-B86D6E2A7FB8}"/>
            </c:ext>
          </c:extLst>
        </c:ser>
        <c:ser>
          <c:idx val="6"/>
          <c:order val="6"/>
          <c:tx>
            <c:v>40 ml/min</c:v>
          </c:tx>
          <c:spPr>
            <a:ln w="25400" cap="rnd">
              <a:noFill/>
              <a:round/>
            </a:ln>
            <a:effectLst/>
          </c:spPr>
          <c:marker>
            <c:symbol val="plus"/>
            <c:size val="6"/>
            <c:spPr>
              <a:noFill/>
              <a:ln w="15875">
                <a:solidFill>
                  <a:schemeClr val="accent1">
                    <a:lumMod val="60000"/>
                  </a:schemeClr>
                </a:solidFill>
                <a:round/>
              </a:ln>
              <a:effectLst/>
            </c:spPr>
          </c:marker>
          <c:xVal>
            <c:numRef>
              <c:f>'Keo@Swi150bar'!$H$75:$H$81</c:f>
              <c:numCache>
                <c:formatCode>General</c:formatCode>
                <c:ptCount val="7"/>
                <c:pt idx="0">
                  <c:v>279</c:v>
                </c:pt>
                <c:pt idx="1">
                  <c:v>284</c:v>
                </c:pt>
                <c:pt idx="2">
                  <c:v>289</c:v>
                </c:pt>
                <c:pt idx="3">
                  <c:v>294</c:v>
                </c:pt>
                <c:pt idx="4">
                  <c:v>299</c:v>
                </c:pt>
                <c:pt idx="5">
                  <c:v>304</c:v>
                </c:pt>
                <c:pt idx="6">
                  <c:v>309</c:v>
                </c:pt>
              </c:numCache>
            </c:numRef>
          </c:xVal>
          <c:yVal>
            <c:numRef>
              <c:f>'Keo@Swi150bar'!$B$75:$B$81</c:f>
              <c:numCache>
                <c:formatCode>0.0</c:formatCode>
                <c:ptCount val="7"/>
                <c:pt idx="0">
                  <c:v>60</c:v>
                </c:pt>
                <c:pt idx="1">
                  <c:v>62.5</c:v>
                </c:pt>
                <c:pt idx="2">
                  <c:v>62.5</c:v>
                </c:pt>
                <c:pt idx="3">
                  <c:v>62.5</c:v>
                </c:pt>
                <c:pt idx="4">
                  <c:v>62.5</c:v>
                </c:pt>
                <c:pt idx="5">
                  <c:v>62.5</c:v>
                </c:pt>
                <c:pt idx="6">
                  <c:v>62.5</c:v>
                </c:pt>
              </c:numCache>
            </c:numRef>
          </c:yVal>
          <c:smooth val="0"/>
          <c:extLst>
            <c:ext xmlns:c16="http://schemas.microsoft.com/office/drawing/2014/chart" uri="{C3380CC4-5D6E-409C-BE32-E72D297353CC}">
              <c16:uniqueId val="{00000006-99F4-4618-820B-B86D6E2A7FB8}"/>
            </c:ext>
          </c:extLst>
        </c:ser>
        <c:ser>
          <c:idx val="7"/>
          <c:order val="7"/>
          <c:tx>
            <c:v>55 ml/min</c:v>
          </c:tx>
          <c:spPr>
            <a:ln w="25400" cap="rnd">
              <a:noFill/>
              <a:round/>
            </a:ln>
            <a:effectLst/>
          </c:spPr>
          <c:marker>
            <c:symbol val="dot"/>
            <c:size val="6"/>
            <c:spPr>
              <a:solidFill>
                <a:schemeClr val="lt1"/>
              </a:solidFill>
              <a:ln w="15875">
                <a:solidFill>
                  <a:schemeClr val="accent2">
                    <a:lumMod val="60000"/>
                  </a:schemeClr>
                </a:solidFill>
                <a:round/>
              </a:ln>
              <a:effectLst/>
            </c:spPr>
          </c:marker>
          <c:xVal>
            <c:numRef>
              <c:f>'Keo@Swi150bar'!$H$82:$H$87</c:f>
              <c:numCache>
                <c:formatCode>General</c:formatCode>
                <c:ptCount val="6"/>
                <c:pt idx="0">
                  <c:v>309</c:v>
                </c:pt>
                <c:pt idx="1">
                  <c:v>314</c:v>
                </c:pt>
                <c:pt idx="2">
                  <c:v>319</c:v>
                </c:pt>
                <c:pt idx="3">
                  <c:v>324</c:v>
                </c:pt>
                <c:pt idx="4">
                  <c:v>329</c:v>
                </c:pt>
                <c:pt idx="5">
                  <c:v>334</c:v>
                </c:pt>
              </c:numCache>
            </c:numRef>
          </c:xVal>
          <c:yVal>
            <c:numRef>
              <c:f>'Keo@Swi150bar'!$B$82:$B$87</c:f>
              <c:numCache>
                <c:formatCode>0.0</c:formatCode>
                <c:ptCount val="6"/>
                <c:pt idx="0">
                  <c:v>80</c:v>
                </c:pt>
                <c:pt idx="1">
                  <c:v>81</c:v>
                </c:pt>
                <c:pt idx="2">
                  <c:v>81</c:v>
                </c:pt>
                <c:pt idx="3">
                  <c:v>81</c:v>
                </c:pt>
                <c:pt idx="4">
                  <c:v>81</c:v>
                </c:pt>
                <c:pt idx="5">
                  <c:v>81</c:v>
                </c:pt>
              </c:numCache>
            </c:numRef>
          </c:yVal>
          <c:smooth val="0"/>
          <c:extLst>
            <c:ext xmlns:c16="http://schemas.microsoft.com/office/drawing/2014/chart" uri="{C3380CC4-5D6E-409C-BE32-E72D297353CC}">
              <c16:uniqueId val="{00000007-99F4-4618-820B-B86D6E2A7FB8}"/>
            </c:ext>
          </c:extLst>
        </c:ser>
        <c:dLbls>
          <c:showLegendKey val="0"/>
          <c:showVal val="0"/>
          <c:showCatName val="0"/>
          <c:showSerName val="0"/>
          <c:showPercent val="0"/>
          <c:showBubbleSize val="0"/>
        </c:dLbls>
        <c:axId val="163880320"/>
        <c:axId val="163919360"/>
      </c:scatterChart>
      <c:valAx>
        <c:axId val="163880320"/>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crossAx val="163919360"/>
        <c:crosses val="autoZero"/>
        <c:crossBetween val="midCat"/>
      </c:valAx>
      <c:valAx>
        <c:axId val="16391936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Pgauge(barg) </a:t>
                </a:r>
                <a:endParaRPr lang="el-G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l-GR"/>
            </a:p>
          </c:txPr>
        </c:title>
        <c:numFmt formatCode="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crossAx val="163880320"/>
        <c:crosses val="autoZero"/>
        <c:crossBetween val="midCat"/>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a:t>Διφασική ροή νερού-πετρελαίου υπό πίεση υπερκειμένων 150 </a:t>
            </a:r>
            <a:r>
              <a:rPr lang="en-US"/>
              <a:t>bar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Qw/Qo=1/8</c:v>
          </c:tx>
          <c:spPr>
            <a:ln w="25400" cap="rnd">
              <a:noFill/>
              <a:round/>
            </a:ln>
            <a:effectLst/>
          </c:spPr>
          <c:marker>
            <c:symbol val="circle"/>
            <c:size val="5"/>
            <c:spPr>
              <a:solidFill>
                <a:schemeClr val="accent1"/>
              </a:solidFill>
              <a:ln w="9525">
                <a:solidFill>
                  <a:schemeClr val="accent1"/>
                </a:solidFill>
              </a:ln>
              <a:effectLst/>
            </c:spPr>
          </c:marker>
          <c:xVal>
            <c:numRef>
              <c:f>'Κe@Sw2'!$J$23:$J$46</c:f>
              <c:numCache>
                <c:formatCode>General</c:formatCode>
                <c:ptCount val="24"/>
                <c:pt idx="0">
                  <c:v>0</c:v>
                </c:pt>
                <c:pt idx="1">
                  <c:v>1</c:v>
                </c:pt>
                <c:pt idx="2">
                  <c:v>3</c:v>
                </c:pt>
                <c:pt idx="3">
                  <c:v>6</c:v>
                </c:pt>
                <c:pt idx="4">
                  <c:v>11</c:v>
                </c:pt>
                <c:pt idx="5">
                  <c:v>16</c:v>
                </c:pt>
                <c:pt idx="6">
                  <c:v>21</c:v>
                </c:pt>
                <c:pt idx="7">
                  <c:v>26</c:v>
                </c:pt>
                <c:pt idx="8">
                  <c:v>31</c:v>
                </c:pt>
                <c:pt idx="9">
                  <c:v>36</c:v>
                </c:pt>
                <c:pt idx="10">
                  <c:v>41</c:v>
                </c:pt>
                <c:pt idx="11">
                  <c:v>46</c:v>
                </c:pt>
                <c:pt idx="12">
                  <c:v>51</c:v>
                </c:pt>
                <c:pt idx="13">
                  <c:v>56</c:v>
                </c:pt>
                <c:pt idx="14">
                  <c:v>61</c:v>
                </c:pt>
                <c:pt idx="15">
                  <c:v>66</c:v>
                </c:pt>
                <c:pt idx="16">
                  <c:v>71</c:v>
                </c:pt>
                <c:pt idx="17">
                  <c:v>76</c:v>
                </c:pt>
                <c:pt idx="18">
                  <c:v>81</c:v>
                </c:pt>
                <c:pt idx="19">
                  <c:v>86</c:v>
                </c:pt>
                <c:pt idx="20">
                  <c:v>91</c:v>
                </c:pt>
                <c:pt idx="21">
                  <c:v>96</c:v>
                </c:pt>
                <c:pt idx="22">
                  <c:v>101</c:v>
                </c:pt>
                <c:pt idx="23">
                  <c:v>106</c:v>
                </c:pt>
              </c:numCache>
            </c:numRef>
          </c:xVal>
          <c:yVal>
            <c:numRef>
              <c:f>'Κe@Sw2'!$C$23:$C$46</c:f>
              <c:numCache>
                <c:formatCode>0.0</c:formatCode>
                <c:ptCount val="24"/>
                <c:pt idx="0">
                  <c:v>31</c:v>
                </c:pt>
                <c:pt idx="1">
                  <c:v>39</c:v>
                </c:pt>
                <c:pt idx="2">
                  <c:v>44.5</c:v>
                </c:pt>
                <c:pt idx="3">
                  <c:v>50</c:v>
                </c:pt>
                <c:pt idx="4">
                  <c:v>54.5</c:v>
                </c:pt>
                <c:pt idx="5">
                  <c:v>59</c:v>
                </c:pt>
                <c:pt idx="6">
                  <c:v>63</c:v>
                </c:pt>
                <c:pt idx="7">
                  <c:v>64</c:v>
                </c:pt>
                <c:pt idx="8">
                  <c:v>66</c:v>
                </c:pt>
                <c:pt idx="9">
                  <c:v>70</c:v>
                </c:pt>
                <c:pt idx="10">
                  <c:v>72.5</c:v>
                </c:pt>
                <c:pt idx="11">
                  <c:v>74</c:v>
                </c:pt>
                <c:pt idx="12">
                  <c:v>76</c:v>
                </c:pt>
                <c:pt idx="13">
                  <c:v>77</c:v>
                </c:pt>
                <c:pt idx="14">
                  <c:v>80</c:v>
                </c:pt>
                <c:pt idx="15">
                  <c:v>82</c:v>
                </c:pt>
                <c:pt idx="16">
                  <c:v>81</c:v>
                </c:pt>
                <c:pt idx="17">
                  <c:v>82</c:v>
                </c:pt>
                <c:pt idx="18">
                  <c:v>82</c:v>
                </c:pt>
                <c:pt idx="19">
                  <c:v>82</c:v>
                </c:pt>
                <c:pt idx="20">
                  <c:v>82</c:v>
                </c:pt>
                <c:pt idx="21">
                  <c:v>82</c:v>
                </c:pt>
                <c:pt idx="22">
                  <c:v>82</c:v>
                </c:pt>
                <c:pt idx="23">
                  <c:v>82</c:v>
                </c:pt>
              </c:numCache>
            </c:numRef>
          </c:yVal>
          <c:smooth val="0"/>
          <c:extLst>
            <c:ext xmlns:c16="http://schemas.microsoft.com/office/drawing/2014/chart" uri="{C3380CC4-5D6E-409C-BE32-E72D297353CC}">
              <c16:uniqueId val="{00000000-6CF5-47FA-9BE0-7C106C8A9410}"/>
            </c:ext>
          </c:extLst>
        </c:ser>
        <c:dLbls>
          <c:showLegendKey val="0"/>
          <c:showVal val="0"/>
          <c:showCatName val="0"/>
          <c:showSerName val="0"/>
          <c:showPercent val="0"/>
          <c:showBubbleSize val="0"/>
        </c:dLbls>
        <c:axId val="164033664"/>
        <c:axId val="164035584"/>
      </c:scatterChart>
      <c:valAx>
        <c:axId val="1640336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64035584"/>
        <c:crosses val="autoZero"/>
        <c:crossBetween val="midCat"/>
      </c:valAx>
      <c:valAx>
        <c:axId val="164035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Pgauge(barg)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640336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Διφασική ροή νερού-πετρελαίου υπό πίεση υπερκειμένων 150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Qw/Qo=1/3</c:v>
          </c:tx>
          <c:spPr>
            <a:ln w="25400" cap="rnd">
              <a:noFill/>
              <a:round/>
            </a:ln>
            <a:effectLst/>
          </c:spPr>
          <c:marker>
            <c:symbol val="circle"/>
            <c:size val="5"/>
            <c:spPr>
              <a:solidFill>
                <a:schemeClr val="accent1"/>
              </a:solidFill>
              <a:ln w="9525">
                <a:solidFill>
                  <a:schemeClr val="accent1"/>
                </a:solidFill>
              </a:ln>
              <a:effectLst/>
            </c:spPr>
          </c:marker>
          <c:xVal>
            <c:numRef>
              <c:f>'Ke@Sw1'!$J$21:$J$54</c:f>
              <c:numCache>
                <c:formatCode>General</c:formatCode>
                <c:ptCount val="34"/>
                <c:pt idx="0">
                  <c:v>0</c:v>
                </c:pt>
                <c:pt idx="1">
                  <c:v>4</c:v>
                </c:pt>
                <c:pt idx="2">
                  <c:v>11</c:v>
                </c:pt>
                <c:pt idx="3">
                  <c:v>16</c:v>
                </c:pt>
                <c:pt idx="4">
                  <c:v>20</c:v>
                </c:pt>
                <c:pt idx="5">
                  <c:v>25</c:v>
                </c:pt>
                <c:pt idx="6">
                  <c:v>30</c:v>
                </c:pt>
                <c:pt idx="7">
                  <c:v>35</c:v>
                </c:pt>
                <c:pt idx="8">
                  <c:v>40</c:v>
                </c:pt>
                <c:pt idx="9">
                  <c:v>45</c:v>
                </c:pt>
                <c:pt idx="10">
                  <c:v>60</c:v>
                </c:pt>
                <c:pt idx="11">
                  <c:v>75</c:v>
                </c:pt>
                <c:pt idx="12">
                  <c:v>93</c:v>
                </c:pt>
                <c:pt idx="13">
                  <c:v>100</c:v>
                </c:pt>
                <c:pt idx="14">
                  <c:v>117</c:v>
                </c:pt>
                <c:pt idx="15">
                  <c:v>120</c:v>
                </c:pt>
                <c:pt idx="16">
                  <c:v>124</c:v>
                </c:pt>
                <c:pt idx="17">
                  <c:v>130</c:v>
                </c:pt>
                <c:pt idx="18">
                  <c:v>137</c:v>
                </c:pt>
                <c:pt idx="19">
                  <c:v>146</c:v>
                </c:pt>
                <c:pt idx="20">
                  <c:v>148</c:v>
                </c:pt>
                <c:pt idx="21">
                  <c:v>150</c:v>
                </c:pt>
                <c:pt idx="22">
                  <c:v>155</c:v>
                </c:pt>
                <c:pt idx="23">
                  <c:v>158</c:v>
                </c:pt>
                <c:pt idx="24">
                  <c:v>160</c:v>
                </c:pt>
                <c:pt idx="25">
                  <c:v>165</c:v>
                </c:pt>
                <c:pt idx="26">
                  <c:v>170</c:v>
                </c:pt>
                <c:pt idx="27">
                  <c:v>175</c:v>
                </c:pt>
                <c:pt idx="28">
                  <c:v>180</c:v>
                </c:pt>
                <c:pt idx="29">
                  <c:v>185</c:v>
                </c:pt>
                <c:pt idx="30">
                  <c:v>190</c:v>
                </c:pt>
                <c:pt idx="31">
                  <c:v>195</c:v>
                </c:pt>
                <c:pt idx="32">
                  <c:v>200</c:v>
                </c:pt>
                <c:pt idx="33">
                  <c:v>205</c:v>
                </c:pt>
              </c:numCache>
            </c:numRef>
          </c:xVal>
          <c:yVal>
            <c:numRef>
              <c:f>'Ke@Sw1'!$C$21:$C$55</c:f>
              <c:numCache>
                <c:formatCode>0.0</c:formatCode>
                <c:ptCount val="35"/>
                <c:pt idx="0">
                  <c:v>24</c:v>
                </c:pt>
                <c:pt idx="1">
                  <c:v>43</c:v>
                </c:pt>
                <c:pt idx="2">
                  <c:v>42.5</c:v>
                </c:pt>
                <c:pt idx="3">
                  <c:v>44</c:v>
                </c:pt>
                <c:pt idx="4">
                  <c:v>45</c:v>
                </c:pt>
                <c:pt idx="5">
                  <c:v>46</c:v>
                </c:pt>
                <c:pt idx="6">
                  <c:v>47.5</c:v>
                </c:pt>
                <c:pt idx="7">
                  <c:v>46</c:v>
                </c:pt>
                <c:pt idx="8">
                  <c:v>48</c:v>
                </c:pt>
                <c:pt idx="9">
                  <c:v>50</c:v>
                </c:pt>
                <c:pt idx="10">
                  <c:v>52</c:v>
                </c:pt>
                <c:pt idx="11">
                  <c:v>54</c:v>
                </c:pt>
                <c:pt idx="12">
                  <c:v>56.5</c:v>
                </c:pt>
                <c:pt idx="13">
                  <c:v>56</c:v>
                </c:pt>
                <c:pt idx="14">
                  <c:v>56</c:v>
                </c:pt>
                <c:pt idx="15">
                  <c:v>58</c:v>
                </c:pt>
                <c:pt idx="16">
                  <c:v>60</c:v>
                </c:pt>
                <c:pt idx="17">
                  <c:v>61</c:v>
                </c:pt>
                <c:pt idx="18">
                  <c:v>61</c:v>
                </c:pt>
                <c:pt idx="19">
                  <c:v>62</c:v>
                </c:pt>
                <c:pt idx="20">
                  <c:v>58</c:v>
                </c:pt>
                <c:pt idx="21">
                  <c:v>63</c:v>
                </c:pt>
                <c:pt idx="22">
                  <c:v>62</c:v>
                </c:pt>
                <c:pt idx="23">
                  <c:v>64</c:v>
                </c:pt>
                <c:pt idx="24">
                  <c:v>55</c:v>
                </c:pt>
                <c:pt idx="25">
                  <c:v>64</c:v>
                </c:pt>
                <c:pt idx="26">
                  <c:v>62</c:v>
                </c:pt>
                <c:pt idx="27">
                  <c:v>59</c:v>
                </c:pt>
                <c:pt idx="28">
                  <c:v>59</c:v>
                </c:pt>
                <c:pt idx="29">
                  <c:v>59</c:v>
                </c:pt>
                <c:pt idx="30">
                  <c:v>59</c:v>
                </c:pt>
                <c:pt idx="31">
                  <c:v>59</c:v>
                </c:pt>
                <c:pt idx="32">
                  <c:v>59</c:v>
                </c:pt>
                <c:pt idx="33">
                  <c:v>59</c:v>
                </c:pt>
                <c:pt idx="34">
                  <c:v>90</c:v>
                </c:pt>
              </c:numCache>
            </c:numRef>
          </c:yVal>
          <c:smooth val="0"/>
          <c:extLst>
            <c:ext xmlns:c16="http://schemas.microsoft.com/office/drawing/2014/chart" uri="{C3380CC4-5D6E-409C-BE32-E72D297353CC}">
              <c16:uniqueId val="{00000000-F296-433D-B322-890E4AA39F24}"/>
            </c:ext>
          </c:extLst>
        </c:ser>
        <c:dLbls>
          <c:showLegendKey val="0"/>
          <c:showVal val="0"/>
          <c:showCatName val="0"/>
          <c:showSerName val="0"/>
          <c:showPercent val="0"/>
          <c:showBubbleSize val="0"/>
        </c:dLbls>
        <c:axId val="164212096"/>
        <c:axId val="181564928"/>
      </c:scatterChart>
      <c:valAx>
        <c:axId val="16421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81564928"/>
        <c:crosses val="autoZero"/>
        <c:crossBetween val="midCat"/>
      </c:valAx>
      <c:valAx>
        <c:axId val="181564928"/>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Pgauge(barg)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642120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Διφασική ροή νερού-πετρελαίου υπό πίεση υπερκειμένων 150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Qw/Qo=6/1</c:v>
          </c:tx>
          <c:spPr>
            <a:ln w="25400" cap="rnd">
              <a:noFill/>
              <a:round/>
            </a:ln>
            <a:effectLst/>
          </c:spPr>
          <c:marker>
            <c:symbol val="circle"/>
            <c:size val="5"/>
            <c:spPr>
              <a:solidFill>
                <a:schemeClr val="accent1"/>
              </a:solidFill>
              <a:ln w="9525">
                <a:solidFill>
                  <a:schemeClr val="accent1"/>
                </a:solidFill>
              </a:ln>
              <a:effectLst/>
            </c:spPr>
          </c:marker>
          <c:xVal>
            <c:numRef>
              <c:f>'Ke@Sw3'!$J$3:$J$18</c:f>
              <c:numCache>
                <c:formatCode>General</c:formatCode>
                <c:ptCount val="16"/>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numCache>
            </c:numRef>
          </c:xVal>
          <c:yVal>
            <c:numRef>
              <c:f>'Ke@Sw3'!$C$3:$C$18</c:f>
              <c:numCache>
                <c:formatCode>0.0</c:formatCode>
                <c:ptCount val="16"/>
                <c:pt idx="0">
                  <c:v>74</c:v>
                </c:pt>
                <c:pt idx="1">
                  <c:v>90</c:v>
                </c:pt>
                <c:pt idx="2">
                  <c:v>95</c:v>
                </c:pt>
                <c:pt idx="3">
                  <c:v>64</c:v>
                </c:pt>
                <c:pt idx="4">
                  <c:v>67</c:v>
                </c:pt>
                <c:pt idx="5">
                  <c:v>71</c:v>
                </c:pt>
                <c:pt idx="6">
                  <c:v>72</c:v>
                </c:pt>
                <c:pt idx="7">
                  <c:v>72</c:v>
                </c:pt>
                <c:pt idx="8">
                  <c:v>73</c:v>
                </c:pt>
                <c:pt idx="9">
                  <c:v>74</c:v>
                </c:pt>
                <c:pt idx="10">
                  <c:v>74</c:v>
                </c:pt>
                <c:pt idx="11">
                  <c:v>74</c:v>
                </c:pt>
                <c:pt idx="12">
                  <c:v>74</c:v>
                </c:pt>
                <c:pt idx="13">
                  <c:v>74</c:v>
                </c:pt>
                <c:pt idx="14">
                  <c:v>74</c:v>
                </c:pt>
                <c:pt idx="15">
                  <c:v>74</c:v>
                </c:pt>
              </c:numCache>
            </c:numRef>
          </c:yVal>
          <c:smooth val="0"/>
          <c:extLst>
            <c:ext xmlns:c16="http://schemas.microsoft.com/office/drawing/2014/chart" uri="{C3380CC4-5D6E-409C-BE32-E72D297353CC}">
              <c16:uniqueId val="{00000000-4A1F-4335-AA67-0D786F16CF46}"/>
            </c:ext>
          </c:extLst>
        </c:ser>
        <c:dLbls>
          <c:showLegendKey val="0"/>
          <c:showVal val="0"/>
          <c:showCatName val="0"/>
          <c:showSerName val="0"/>
          <c:showPercent val="0"/>
          <c:showBubbleSize val="0"/>
        </c:dLbls>
        <c:axId val="181619328"/>
        <c:axId val="181625600"/>
      </c:scatterChart>
      <c:valAx>
        <c:axId val="181619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81625600"/>
        <c:crosses val="autoZero"/>
        <c:crossBetween val="midCat"/>
      </c:valAx>
      <c:valAx>
        <c:axId val="181625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Pgauge(barg)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816193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a:t>Μονοφασική ροή νερού</a:t>
            </a:r>
            <a:r>
              <a:rPr lang="el-GR" baseline="0"/>
              <a:t> στον υπολλειμματικό βαθμό κορεσμού σε πετρέλαιο υπό πίεση υπερκειμένων 150 </a:t>
            </a:r>
            <a:r>
              <a:rPr lang="en-US" baseline="0"/>
              <a:t>bar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5 ml/min</c:v>
          </c:tx>
          <c:spPr>
            <a:ln w="25400" cap="rnd">
              <a:noFill/>
              <a:round/>
            </a:ln>
            <a:effectLst/>
          </c:spPr>
          <c:marker>
            <c:symbol val="circle"/>
            <c:size val="5"/>
            <c:spPr>
              <a:solidFill>
                <a:schemeClr val="accent1"/>
              </a:solidFill>
              <a:ln w="9525">
                <a:solidFill>
                  <a:schemeClr val="accent1"/>
                </a:solidFill>
              </a:ln>
              <a:effectLst/>
            </c:spPr>
          </c:marker>
          <c:xVal>
            <c:numRef>
              <c:f>'Kew@1-Sor'!$H$49:$H$80</c:f>
              <c:numCache>
                <c:formatCode>General</c:formatCode>
                <c:ptCount val="32"/>
                <c:pt idx="0">
                  <c:v>0</c:v>
                </c:pt>
                <c:pt idx="1">
                  <c:v>5</c:v>
                </c:pt>
                <c:pt idx="2">
                  <c:v>10</c:v>
                </c:pt>
                <c:pt idx="3">
                  <c:v>15</c:v>
                </c:pt>
                <c:pt idx="4">
                  <c:v>20</c:v>
                </c:pt>
                <c:pt idx="5">
                  <c:v>25</c:v>
                </c:pt>
                <c:pt idx="6">
                  <c:v>35</c:v>
                </c:pt>
                <c:pt idx="7">
                  <c:v>40</c:v>
                </c:pt>
                <c:pt idx="8">
                  <c:v>45</c:v>
                </c:pt>
                <c:pt idx="9">
                  <c:v>50</c:v>
                </c:pt>
                <c:pt idx="10">
                  <c:v>55</c:v>
                </c:pt>
                <c:pt idx="11">
                  <c:v>65</c:v>
                </c:pt>
                <c:pt idx="12">
                  <c:v>70</c:v>
                </c:pt>
                <c:pt idx="13">
                  <c:v>75</c:v>
                </c:pt>
                <c:pt idx="14">
                  <c:v>80</c:v>
                </c:pt>
                <c:pt idx="15">
                  <c:v>85</c:v>
                </c:pt>
                <c:pt idx="16">
                  <c:v>90</c:v>
                </c:pt>
                <c:pt idx="17">
                  <c:v>100</c:v>
                </c:pt>
                <c:pt idx="18">
                  <c:v>105</c:v>
                </c:pt>
                <c:pt idx="19">
                  <c:v>110</c:v>
                </c:pt>
                <c:pt idx="20">
                  <c:v>115</c:v>
                </c:pt>
                <c:pt idx="21">
                  <c:v>120</c:v>
                </c:pt>
                <c:pt idx="22">
                  <c:v>125</c:v>
                </c:pt>
                <c:pt idx="23">
                  <c:v>130</c:v>
                </c:pt>
                <c:pt idx="24">
                  <c:v>135</c:v>
                </c:pt>
                <c:pt idx="25">
                  <c:v>140</c:v>
                </c:pt>
                <c:pt idx="26">
                  <c:v>145</c:v>
                </c:pt>
                <c:pt idx="27">
                  <c:v>150</c:v>
                </c:pt>
                <c:pt idx="28">
                  <c:v>155</c:v>
                </c:pt>
                <c:pt idx="29">
                  <c:v>160</c:v>
                </c:pt>
                <c:pt idx="30">
                  <c:v>165</c:v>
                </c:pt>
                <c:pt idx="31">
                  <c:v>170</c:v>
                </c:pt>
              </c:numCache>
            </c:numRef>
          </c:xVal>
          <c:yVal>
            <c:numRef>
              <c:f>'Kew@1-Sor'!$B$49:$B$80</c:f>
              <c:numCache>
                <c:formatCode>0.0</c:formatCode>
                <c:ptCount val="32"/>
                <c:pt idx="0">
                  <c:v>70.5</c:v>
                </c:pt>
                <c:pt idx="1">
                  <c:v>71</c:v>
                </c:pt>
                <c:pt idx="2">
                  <c:v>72.5</c:v>
                </c:pt>
                <c:pt idx="3">
                  <c:v>74</c:v>
                </c:pt>
                <c:pt idx="4">
                  <c:v>74.5</c:v>
                </c:pt>
                <c:pt idx="5">
                  <c:v>75.5</c:v>
                </c:pt>
                <c:pt idx="6">
                  <c:v>76</c:v>
                </c:pt>
                <c:pt idx="7">
                  <c:v>77</c:v>
                </c:pt>
                <c:pt idx="8">
                  <c:v>78</c:v>
                </c:pt>
                <c:pt idx="9">
                  <c:v>79</c:v>
                </c:pt>
                <c:pt idx="10">
                  <c:v>79</c:v>
                </c:pt>
                <c:pt idx="11">
                  <c:v>80</c:v>
                </c:pt>
                <c:pt idx="12">
                  <c:v>81</c:v>
                </c:pt>
                <c:pt idx="13">
                  <c:v>81.5</c:v>
                </c:pt>
                <c:pt idx="14">
                  <c:v>82</c:v>
                </c:pt>
                <c:pt idx="15">
                  <c:v>82</c:v>
                </c:pt>
                <c:pt idx="16">
                  <c:v>82.5</c:v>
                </c:pt>
                <c:pt idx="17">
                  <c:v>84</c:v>
                </c:pt>
                <c:pt idx="18">
                  <c:v>84</c:v>
                </c:pt>
                <c:pt idx="19">
                  <c:v>85</c:v>
                </c:pt>
                <c:pt idx="20">
                  <c:v>87</c:v>
                </c:pt>
                <c:pt idx="21">
                  <c:v>85.5</c:v>
                </c:pt>
                <c:pt idx="22">
                  <c:v>87</c:v>
                </c:pt>
                <c:pt idx="23">
                  <c:v>86</c:v>
                </c:pt>
                <c:pt idx="24">
                  <c:v>87</c:v>
                </c:pt>
                <c:pt idx="25">
                  <c:v>85.5</c:v>
                </c:pt>
                <c:pt idx="26">
                  <c:v>87</c:v>
                </c:pt>
                <c:pt idx="27">
                  <c:v>87</c:v>
                </c:pt>
                <c:pt idx="28">
                  <c:v>87</c:v>
                </c:pt>
                <c:pt idx="29">
                  <c:v>87</c:v>
                </c:pt>
                <c:pt idx="30">
                  <c:v>87</c:v>
                </c:pt>
                <c:pt idx="31">
                  <c:v>87</c:v>
                </c:pt>
              </c:numCache>
            </c:numRef>
          </c:yVal>
          <c:smooth val="0"/>
          <c:extLst>
            <c:ext xmlns:c16="http://schemas.microsoft.com/office/drawing/2014/chart" uri="{C3380CC4-5D6E-409C-BE32-E72D297353CC}">
              <c16:uniqueId val="{00000000-6AD3-4EA1-BA09-4075C411EB1F}"/>
            </c:ext>
          </c:extLst>
        </c:ser>
        <c:dLbls>
          <c:showLegendKey val="0"/>
          <c:showVal val="0"/>
          <c:showCatName val="0"/>
          <c:showSerName val="0"/>
          <c:showPercent val="0"/>
          <c:showBubbleSize val="0"/>
        </c:dLbls>
        <c:axId val="181712768"/>
        <c:axId val="181776384"/>
      </c:scatterChart>
      <c:valAx>
        <c:axId val="181712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81776384"/>
        <c:crosses val="autoZero"/>
        <c:crossBetween val="midCat"/>
      </c:valAx>
      <c:valAx>
        <c:axId val="181776384"/>
        <c:scaling>
          <c:orientation val="minMax"/>
          <c:min val="7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Pgauge(barg)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817127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0,8 ml/min</c:v>
          </c:tx>
          <c:spPr>
            <a:ln w="25400" cap="rnd">
              <a:noFill/>
              <a:round/>
            </a:ln>
            <a:effectLst/>
          </c:spPr>
          <c:marker>
            <c:symbol val="circle"/>
            <c:size val="5"/>
            <c:spPr>
              <a:solidFill>
                <a:schemeClr val="accent1"/>
              </a:solidFill>
              <a:ln w="9525">
                <a:solidFill>
                  <a:schemeClr val="accent1"/>
                </a:solidFill>
              </a:ln>
              <a:effectLst/>
            </c:spPr>
          </c:marker>
          <c:xVal>
            <c:numRef>
              <c:f>'Kew@1-Sor'!$H$3:$H$13</c:f>
              <c:numCache>
                <c:formatCode>General</c:formatCode>
                <c:ptCount val="11"/>
                <c:pt idx="0">
                  <c:v>0</c:v>
                </c:pt>
                <c:pt idx="1">
                  <c:v>6</c:v>
                </c:pt>
                <c:pt idx="2">
                  <c:v>11</c:v>
                </c:pt>
                <c:pt idx="3">
                  <c:v>20</c:v>
                </c:pt>
                <c:pt idx="4">
                  <c:v>24</c:v>
                </c:pt>
                <c:pt idx="5">
                  <c:v>29</c:v>
                </c:pt>
                <c:pt idx="6">
                  <c:v>36</c:v>
                </c:pt>
                <c:pt idx="7">
                  <c:v>46</c:v>
                </c:pt>
                <c:pt idx="8">
                  <c:v>50</c:v>
                </c:pt>
                <c:pt idx="9">
                  <c:v>55</c:v>
                </c:pt>
                <c:pt idx="10">
                  <c:v>57</c:v>
                </c:pt>
              </c:numCache>
            </c:numRef>
          </c:xVal>
          <c:yVal>
            <c:numRef>
              <c:f>'Kew@1-Sor'!$B$3:$B$13</c:f>
              <c:numCache>
                <c:formatCode>General</c:formatCode>
                <c:ptCount val="11"/>
                <c:pt idx="0">
                  <c:v>9.06</c:v>
                </c:pt>
                <c:pt idx="1">
                  <c:v>9.24</c:v>
                </c:pt>
                <c:pt idx="2">
                  <c:v>9.3699999999999992</c:v>
                </c:pt>
                <c:pt idx="3">
                  <c:v>9.68</c:v>
                </c:pt>
                <c:pt idx="4">
                  <c:v>9.7799999999999994</c:v>
                </c:pt>
                <c:pt idx="5">
                  <c:v>9.81</c:v>
                </c:pt>
                <c:pt idx="6">
                  <c:v>9.91</c:v>
                </c:pt>
                <c:pt idx="7">
                  <c:v>10.02</c:v>
                </c:pt>
                <c:pt idx="8">
                  <c:v>10.07</c:v>
                </c:pt>
                <c:pt idx="9">
                  <c:v>10.5</c:v>
                </c:pt>
                <c:pt idx="10">
                  <c:v>11.1</c:v>
                </c:pt>
              </c:numCache>
            </c:numRef>
          </c:yVal>
          <c:smooth val="0"/>
          <c:extLst>
            <c:ext xmlns:c16="http://schemas.microsoft.com/office/drawing/2014/chart" uri="{C3380CC4-5D6E-409C-BE32-E72D297353CC}">
              <c16:uniqueId val="{00000000-A686-488F-A658-706251DC5366}"/>
            </c:ext>
          </c:extLst>
        </c:ser>
        <c:ser>
          <c:idx val="1"/>
          <c:order val="1"/>
          <c:tx>
            <c:v>0,7 ml/min</c:v>
          </c:tx>
          <c:spPr>
            <a:ln w="25400" cap="rnd">
              <a:noFill/>
              <a:round/>
            </a:ln>
            <a:effectLst/>
          </c:spPr>
          <c:marker>
            <c:symbol val="circle"/>
            <c:size val="5"/>
            <c:spPr>
              <a:solidFill>
                <a:schemeClr val="accent2"/>
              </a:solidFill>
              <a:ln w="9525">
                <a:solidFill>
                  <a:schemeClr val="accent2"/>
                </a:solidFill>
              </a:ln>
              <a:effectLst/>
            </c:spPr>
          </c:marker>
          <c:xVal>
            <c:numRef>
              <c:f>'Kew@1-Sor'!$H$14:$H$29</c:f>
              <c:numCache>
                <c:formatCode>General</c:formatCode>
                <c:ptCount val="16"/>
                <c:pt idx="0">
                  <c:v>59</c:v>
                </c:pt>
                <c:pt idx="1">
                  <c:v>69</c:v>
                </c:pt>
                <c:pt idx="2">
                  <c:v>71</c:v>
                </c:pt>
                <c:pt idx="3">
                  <c:v>76</c:v>
                </c:pt>
                <c:pt idx="4">
                  <c:v>84</c:v>
                </c:pt>
                <c:pt idx="5">
                  <c:v>88</c:v>
                </c:pt>
                <c:pt idx="6">
                  <c:v>92</c:v>
                </c:pt>
                <c:pt idx="7">
                  <c:v>97</c:v>
                </c:pt>
                <c:pt idx="8">
                  <c:v>102</c:v>
                </c:pt>
                <c:pt idx="9">
                  <c:v>117</c:v>
                </c:pt>
                <c:pt idx="10">
                  <c:v>127</c:v>
                </c:pt>
                <c:pt idx="11">
                  <c:v>137</c:v>
                </c:pt>
                <c:pt idx="12">
                  <c:v>142</c:v>
                </c:pt>
                <c:pt idx="13">
                  <c:v>160</c:v>
                </c:pt>
                <c:pt idx="14">
                  <c:v>171</c:v>
                </c:pt>
                <c:pt idx="15">
                  <c:v>184</c:v>
                </c:pt>
              </c:numCache>
            </c:numRef>
          </c:xVal>
          <c:yVal>
            <c:numRef>
              <c:f>'Kew@1-Sor'!$B$14:$B$29</c:f>
              <c:numCache>
                <c:formatCode>General</c:formatCode>
                <c:ptCount val="16"/>
                <c:pt idx="0">
                  <c:v>9.2200000000000006</c:v>
                </c:pt>
                <c:pt idx="1">
                  <c:v>9.2100000000000009</c:v>
                </c:pt>
                <c:pt idx="2">
                  <c:v>9.24</c:v>
                </c:pt>
                <c:pt idx="3">
                  <c:v>9.34</c:v>
                </c:pt>
                <c:pt idx="4">
                  <c:v>9.4</c:v>
                </c:pt>
                <c:pt idx="5">
                  <c:v>9.4499999999999993</c:v>
                </c:pt>
                <c:pt idx="6">
                  <c:v>9.4499999999999993</c:v>
                </c:pt>
                <c:pt idx="7">
                  <c:v>9.51</c:v>
                </c:pt>
                <c:pt idx="8">
                  <c:v>9.57</c:v>
                </c:pt>
                <c:pt idx="9">
                  <c:v>9.68</c:v>
                </c:pt>
                <c:pt idx="10">
                  <c:v>9.75</c:v>
                </c:pt>
                <c:pt idx="11">
                  <c:v>9.82</c:v>
                </c:pt>
                <c:pt idx="12">
                  <c:v>9.83</c:v>
                </c:pt>
                <c:pt idx="13">
                  <c:v>9.9600000000000009</c:v>
                </c:pt>
                <c:pt idx="14">
                  <c:v>10.050000000000001</c:v>
                </c:pt>
                <c:pt idx="15">
                  <c:v>10.08</c:v>
                </c:pt>
              </c:numCache>
            </c:numRef>
          </c:yVal>
          <c:smooth val="0"/>
          <c:extLst>
            <c:ext xmlns:c16="http://schemas.microsoft.com/office/drawing/2014/chart" uri="{C3380CC4-5D6E-409C-BE32-E72D297353CC}">
              <c16:uniqueId val="{00000001-A686-488F-A658-706251DC5366}"/>
            </c:ext>
          </c:extLst>
        </c:ser>
        <c:ser>
          <c:idx val="2"/>
          <c:order val="2"/>
          <c:tx>
            <c:v>0,6 ml/min</c:v>
          </c:tx>
          <c:spPr>
            <a:ln w="25400" cap="rnd">
              <a:noFill/>
              <a:round/>
            </a:ln>
            <a:effectLst/>
          </c:spPr>
          <c:marker>
            <c:symbol val="circle"/>
            <c:size val="5"/>
            <c:spPr>
              <a:solidFill>
                <a:schemeClr val="accent3"/>
              </a:solidFill>
              <a:ln w="9525">
                <a:solidFill>
                  <a:schemeClr val="accent3"/>
                </a:solidFill>
              </a:ln>
              <a:effectLst/>
            </c:spPr>
          </c:marker>
          <c:xVal>
            <c:numRef>
              <c:f>'Kew@1-Sor'!$H$30:$H$48</c:f>
              <c:numCache>
                <c:formatCode>General</c:formatCode>
                <c:ptCount val="19"/>
                <c:pt idx="0">
                  <c:v>189</c:v>
                </c:pt>
                <c:pt idx="1">
                  <c:v>195</c:v>
                </c:pt>
                <c:pt idx="2">
                  <c:v>202</c:v>
                </c:pt>
                <c:pt idx="3">
                  <c:v>212</c:v>
                </c:pt>
                <c:pt idx="4">
                  <c:v>218</c:v>
                </c:pt>
                <c:pt idx="5">
                  <c:v>223</c:v>
                </c:pt>
                <c:pt idx="6">
                  <c:v>234</c:v>
                </c:pt>
                <c:pt idx="7">
                  <c:v>243</c:v>
                </c:pt>
                <c:pt idx="8">
                  <c:v>255</c:v>
                </c:pt>
                <c:pt idx="9">
                  <c:v>265</c:v>
                </c:pt>
                <c:pt idx="10">
                  <c:v>269</c:v>
                </c:pt>
                <c:pt idx="11">
                  <c:v>278</c:v>
                </c:pt>
                <c:pt idx="12">
                  <c:v>286</c:v>
                </c:pt>
                <c:pt idx="13">
                  <c:v>292</c:v>
                </c:pt>
                <c:pt idx="14">
                  <c:v>298</c:v>
                </c:pt>
                <c:pt idx="15">
                  <c:v>311</c:v>
                </c:pt>
                <c:pt idx="16">
                  <c:v>317</c:v>
                </c:pt>
                <c:pt idx="17">
                  <c:v>322</c:v>
                </c:pt>
                <c:pt idx="18">
                  <c:v>327</c:v>
                </c:pt>
              </c:numCache>
            </c:numRef>
          </c:xVal>
          <c:yVal>
            <c:numRef>
              <c:f>'Kew@1-Sor'!$B$30:$B$48</c:f>
              <c:numCache>
                <c:formatCode>General</c:formatCode>
                <c:ptCount val="19"/>
                <c:pt idx="0">
                  <c:v>8.89</c:v>
                </c:pt>
                <c:pt idx="1">
                  <c:v>8.9700000000000006</c:v>
                </c:pt>
                <c:pt idx="2">
                  <c:v>9.07</c:v>
                </c:pt>
                <c:pt idx="3">
                  <c:v>9.1199999999999992</c:v>
                </c:pt>
                <c:pt idx="4">
                  <c:v>9.19</c:v>
                </c:pt>
                <c:pt idx="5">
                  <c:v>9.2200000000000006</c:v>
                </c:pt>
                <c:pt idx="6">
                  <c:v>9.2799999999999994</c:v>
                </c:pt>
                <c:pt idx="7">
                  <c:v>9.31</c:v>
                </c:pt>
                <c:pt idx="8">
                  <c:v>9.3699999999999992</c:v>
                </c:pt>
                <c:pt idx="9">
                  <c:v>9.42</c:v>
                </c:pt>
                <c:pt idx="10">
                  <c:v>9.4600000000000009</c:v>
                </c:pt>
                <c:pt idx="11">
                  <c:v>9.5299999999999994</c:v>
                </c:pt>
                <c:pt idx="12">
                  <c:v>9.5399999999999991</c:v>
                </c:pt>
                <c:pt idx="13">
                  <c:v>9.58</c:v>
                </c:pt>
                <c:pt idx="14">
                  <c:v>9.6</c:v>
                </c:pt>
                <c:pt idx="15">
                  <c:v>9.64</c:v>
                </c:pt>
                <c:pt idx="16">
                  <c:v>9.67</c:v>
                </c:pt>
                <c:pt idx="17">
                  <c:v>9.6300000000000008</c:v>
                </c:pt>
                <c:pt idx="18">
                  <c:v>9.69</c:v>
                </c:pt>
              </c:numCache>
            </c:numRef>
          </c:yVal>
          <c:smooth val="0"/>
          <c:extLst>
            <c:ext xmlns:c16="http://schemas.microsoft.com/office/drawing/2014/chart" uri="{C3380CC4-5D6E-409C-BE32-E72D297353CC}">
              <c16:uniqueId val="{00000002-A686-488F-A658-706251DC5366}"/>
            </c:ext>
          </c:extLst>
        </c:ser>
        <c:dLbls>
          <c:showLegendKey val="0"/>
          <c:showVal val="0"/>
          <c:showCatName val="0"/>
          <c:showSerName val="0"/>
          <c:showPercent val="0"/>
          <c:showBubbleSize val="0"/>
        </c:dLbls>
        <c:axId val="48502272"/>
        <c:axId val="48504192"/>
      </c:scatterChart>
      <c:valAx>
        <c:axId val="4850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l-GR"/>
                  <a:t>Σ</a:t>
                </a:r>
                <a:r>
                  <a:rPr lang="en-US"/>
                  <a:t>t(min)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48504192"/>
        <c:crosses val="autoZero"/>
        <c:crossBetween val="midCat"/>
      </c:valAx>
      <c:valAx>
        <c:axId val="48504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Pgauge(bar)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485022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v>oil</c:v>
          </c:tx>
          <c:xVal>
            <c:numRef>
              <c:f>διαγραμμα!$H$4:$H$8</c:f>
              <c:numCache>
                <c:formatCode>0.0</c:formatCode>
                <c:ptCount val="5"/>
                <c:pt idx="0">
                  <c:v>32.835255332415642</c:v>
                </c:pt>
                <c:pt idx="1">
                  <c:v>42.78276112583935</c:v>
                </c:pt>
                <c:pt idx="2">
                  <c:v>45.301979761393689</c:v>
                </c:pt>
                <c:pt idx="3">
                  <c:v>51.381041689160568</c:v>
                </c:pt>
                <c:pt idx="4">
                  <c:v>70.166703495625811</c:v>
                </c:pt>
              </c:numCache>
            </c:numRef>
          </c:xVal>
          <c:yVal>
            <c:numRef>
              <c:f>διαγραμμα!$I$4:$I$8</c:f>
              <c:numCache>
                <c:formatCode>0.000</c:formatCode>
                <c:ptCount val="5"/>
                <c:pt idx="0" formatCode="0.00">
                  <c:v>3.9689105822577515</c:v>
                </c:pt>
                <c:pt idx="1">
                  <c:v>0.4254202252018352</c:v>
                </c:pt>
                <c:pt idx="2">
                  <c:v>0.29023159330669462</c:v>
                </c:pt>
                <c:pt idx="3">
                  <c:v>3.9087755734356654E-2</c:v>
                </c:pt>
                <c:pt idx="4" formatCode="General">
                  <c:v>0</c:v>
                </c:pt>
              </c:numCache>
            </c:numRef>
          </c:yVal>
          <c:smooth val="1"/>
          <c:extLst>
            <c:ext xmlns:c16="http://schemas.microsoft.com/office/drawing/2014/chart" uri="{C3380CC4-5D6E-409C-BE32-E72D297353CC}">
              <c16:uniqueId val="{00000000-256F-4240-8E02-30EDCFF3766E}"/>
            </c:ext>
          </c:extLst>
        </c:ser>
        <c:ser>
          <c:idx val="1"/>
          <c:order val="1"/>
          <c:tx>
            <c:v>water</c:v>
          </c:tx>
          <c:xVal>
            <c:numRef>
              <c:f>διαγραμμα!$H$4:$H$8</c:f>
              <c:numCache>
                <c:formatCode>0.0</c:formatCode>
                <c:ptCount val="5"/>
                <c:pt idx="0">
                  <c:v>32.835255332415642</c:v>
                </c:pt>
                <c:pt idx="1">
                  <c:v>42.78276112583935</c:v>
                </c:pt>
                <c:pt idx="2">
                  <c:v>45.301979761393689</c:v>
                </c:pt>
                <c:pt idx="3">
                  <c:v>51.381041689160568</c:v>
                </c:pt>
                <c:pt idx="4">
                  <c:v>70.166703495625811</c:v>
                </c:pt>
              </c:numCache>
            </c:numRef>
          </c:xVal>
          <c:yVal>
            <c:numRef>
              <c:f>διαγραμμα!$J$4:$J$8</c:f>
              <c:numCache>
                <c:formatCode>0.000</c:formatCode>
                <c:ptCount val="5"/>
                <c:pt idx="0" formatCode="General">
                  <c:v>0</c:v>
                </c:pt>
                <c:pt idx="1">
                  <c:v>0.1377656169695062</c:v>
                </c:pt>
                <c:pt idx="2">
                  <c:v>0.25063177314913176</c:v>
                </c:pt>
                <c:pt idx="3">
                  <c:v>0.60758169535269402</c:v>
                </c:pt>
                <c:pt idx="4">
                  <c:v>0.86544120562545512</c:v>
                </c:pt>
              </c:numCache>
            </c:numRef>
          </c:yVal>
          <c:smooth val="1"/>
          <c:extLst>
            <c:ext xmlns:c16="http://schemas.microsoft.com/office/drawing/2014/chart" uri="{C3380CC4-5D6E-409C-BE32-E72D297353CC}">
              <c16:uniqueId val="{00000001-256F-4240-8E02-30EDCFF3766E}"/>
            </c:ext>
          </c:extLst>
        </c:ser>
        <c:dLbls>
          <c:showLegendKey val="0"/>
          <c:showVal val="0"/>
          <c:showCatName val="0"/>
          <c:showSerName val="0"/>
          <c:showPercent val="0"/>
          <c:showBubbleSize val="0"/>
        </c:dLbls>
        <c:axId val="49046656"/>
        <c:axId val="49048576"/>
      </c:scatterChart>
      <c:valAx>
        <c:axId val="49046656"/>
        <c:scaling>
          <c:orientation val="minMax"/>
        </c:scaling>
        <c:delete val="0"/>
        <c:axPos val="b"/>
        <c:title>
          <c:tx>
            <c:rich>
              <a:bodyPr/>
              <a:lstStyle/>
              <a:p>
                <a:pPr>
                  <a:defRPr/>
                </a:pPr>
                <a:r>
                  <a:rPr lang="en-US" sz="1000" b="1" i="0" u="none" strike="noStrike" baseline="0">
                    <a:effectLst/>
                  </a:rPr>
                  <a:t>Sw(%)</a:t>
                </a:r>
                <a:r>
                  <a:rPr lang="en-US" sz="1000" b="1" i="0" u="none" strike="noStrike" baseline="0"/>
                  <a:t> </a:t>
                </a:r>
                <a:endParaRPr lang="el-GR" b="1"/>
              </a:p>
            </c:rich>
          </c:tx>
          <c:overlay val="0"/>
        </c:title>
        <c:numFmt formatCode="0.0" sourceLinked="1"/>
        <c:majorTickMark val="none"/>
        <c:minorTickMark val="none"/>
        <c:tickLblPos val="nextTo"/>
        <c:crossAx val="49048576"/>
        <c:crosses val="autoZero"/>
        <c:crossBetween val="midCat"/>
      </c:valAx>
      <c:valAx>
        <c:axId val="49048576"/>
        <c:scaling>
          <c:orientation val="minMax"/>
        </c:scaling>
        <c:delete val="0"/>
        <c:axPos val="l"/>
        <c:majorGridlines/>
        <c:title>
          <c:tx>
            <c:rich>
              <a:bodyPr/>
              <a:lstStyle/>
              <a:p>
                <a:pPr>
                  <a:defRPr/>
                </a:pPr>
                <a:r>
                  <a:rPr lang="en-US" sz="1000" b="1" i="0" u="none" strike="noStrike" baseline="0">
                    <a:effectLst/>
                  </a:rPr>
                  <a:t>Ke(mD)</a:t>
                </a:r>
                <a:r>
                  <a:rPr lang="en-US" sz="1000" b="1" i="0" u="none" strike="noStrike" baseline="0"/>
                  <a:t> </a:t>
                </a:r>
                <a:endParaRPr lang="el-GR" b="1"/>
              </a:p>
            </c:rich>
          </c:tx>
          <c:overlay val="0"/>
        </c:title>
        <c:numFmt formatCode="0.00" sourceLinked="1"/>
        <c:majorTickMark val="none"/>
        <c:minorTickMark val="none"/>
        <c:tickLblPos val="nextTo"/>
        <c:crossAx val="4904665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poly"/>
            <c:order val="2"/>
            <c:dispRSqr val="1"/>
            <c:dispEq val="1"/>
            <c:trendlineLbl>
              <c:layout>
                <c:manualLayout>
                  <c:x val="-0.20048687664041995"/>
                  <c:y val="-3.9529381743948676E-2"/>
                </c:manualLayout>
              </c:layout>
              <c:numFmt formatCode="General" sourceLinked="0"/>
            </c:trendlineLbl>
          </c:trendline>
          <c:xVal>
            <c:numRef>
              <c:f>διαγραμμα!$H$5:$H$7</c:f>
              <c:numCache>
                <c:formatCode>0.0</c:formatCode>
                <c:ptCount val="3"/>
                <c:pt idx="0">
                  <c:v>42.78276112583935</c:v>
                </c:pt>
                <c:pt idx="1">
                  <c:v>45.301979761393689</c:v>
                </c:pt>
                <c:pt idx="2">
                  <c:v>51.381041689160568</c:v>
                </c:pt>
              </c:numCache>
            </c:numRef>
          </c:xVal>
          <c:yVal>
            <c:numRef>
              <c:f>διαγραμμα!$I$12:$I$14</c:f>
              <c:numCache>
                <c:formatCode>0.0000</c:formatCode>
                <c:ptCount val="3"/>
                <c:pt idx="0" formatCode="0.000">
                  <c:v>0.10718816067653279</c:v>
                </c:pt>
                <c:pt idx="1">
                  <c:v>7.3126261549987776E-2</c:v>
                </c:pt>
                <c:pt idx="2" formatCode="0.000">
                  <c:v>9.8484848484848512E-3</c:v>
                </c:pt>
              </c:numCache>
            </c:numRef>
          </c:yVal>
          <c:smooth val="0"/>
          <c:extLst>
            <c:ext xmlns:c16="http://schemas.microsoft.com/office/drawing/2014/chart" uri="{C3380CC4-5D6E-409C-BE32-E72D297353CC}">
              <c16:uniqueId val="{00000001-A2B3-4BC2-AA82-B033EE94D1FE}"/>
            </c:ext>
          </c:extLst>
        </c:ser>
        <c:ser>
          <c:idx val="1"/>
          <c:order val="1"/>
          <c:spPr>
            <a:ln w="28575">
              <a:noFill/>
            </a:ln>
          </c:spPr>
          <c:trendline>
            <c:trendlineType val="poly"/>
            <c:order val="2"/>
            <c:dispRSqr val="1"/>
            <c:dispEq val="1"/>
            <c:trendlineLbl>
              <c:layout>
                <c:manualLayout>
                  <c:x val="-0.12826465441819773"/>
                  <c:y val="4.1550014581510641E-3"/>
                </c:manualLayout>
              </c:layout>
              <c:numFmt formatCode="#,##0.00" sourceLinked="0"/>
            </c:trendlineLbl>
          </c:trendline>
          <c:xVal>
            <c:numRef>
              <c:f>διαγραμμα!$H$5:$H$7</c:f>
              <c:numCache>
                <c:formatCode>0.0</c:formatCode>
                <c:ptCount val="3"/>
                <c:pt idx="0">
                  <c:v>42.78276112583935</c:v>
                </c:pt>
                <c:pt idx="1">
                  <c:v>45.301979761393689</c:v>
                </c:pt>
                <c:pt idx="2">
                  <c:v>51.381041689160568</c:v>
                </c:pt>
              </c:numCache>
            </c:numRef>
          </c:xVal>
          <c:yVal>
            <c:numRef>
              <c:f>διαγραμμα!$J$12:$J$14</c:f>
              <c:numCache>
                <c:formatCode>0.0000</c:formatCode>
                <c:ptCount val="3"/>
                <c:pt idx="0" formatCode="0.000">
                  <c:v>3.4711191928929012E-2</c:v>
                </c:pt>
                <c:pt idx="1">
                  <c:v>6.3148757815188056E-2</c:v>
                </c:pt>
                <c:pt idx="2" formatCode="0.000">
                  <c:v>0.15308525671219975</c:v>
                </c:pt>
              </c:numCache>
            </c:numRef>
          </c:yVal>
          <c:smooth val="0"/>
          <c:extLst>
            <c:ext xmlns:c16="http://schemas.microsoft.com/office/drawing/2014/chart" uri="{C3380CC4-5D6E-409C-BE32-E72D297353CC}">
              <c16:uniqueId val="{00000003-A2B3-4BC2-AA82-B033EE94D1FE}"/>
            </c:ext>
          </c:extLst>
        </c:ser>
        <c:dLbls>
          <c:showLegendKey val="0"/>
          <c:showVal val="0"/>
          <c:showCatName val="0"/>
          <c:showSerName val="0"/>
          <c:showPercent val="0"/>
          <c:showBubbleSize val="0"/>
        </c:dLbls>
        <c:axId val="49079808"/>
        <c:axId val="49081344"/>
      </c:scatterChart>
      <c:valAx>
        <c:axId val="49079808"/>
        <c:scaling>
          <c:orientation val="minMax"/>
          <c:min val="40"/>
        </c:scaling>
        <c:delete val="0"/>
        <c:axPos val="b"/>
        <c:numFmt formatCode="0.0" sourceLinked="1"/>
        <c:majorTickMark val="out"/>
        <c:minorTickMark val="none"/>
        <c:tickLblPos val="nextTo"/>
        <c:crossAx val="49081344"/>
        <c:crosses val="autoZero"/>
        <c:crossBetween val="midCat"/>
      </c:valAx>
      <c:valAx>
        <c:axId val="49081344"/>
        <c:scaling>
          <c:orientation val="minMax"/>
        </c:scaling>
        <c:delete val="0"/>
        <c:axPos val="l"/>
        <c:majorGridlines/>
        <c:numFmt formatCode="0.000" sourceLinked="1"/>
        <c:majorTickMark val="out"/>
        <c:minorTickMark val="none"/>
        <c:tickLblPos val="nextTo"/>
        <c:crossAx val="49079808"/>
        <c:crosses val="autoZero"/>
        <c:crossBetween val="midCat"/>
      </c:valAx>
    </c:plotArea>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Διάγραμμα σχετικών διαπερατοτήτων υπό πίεση υπερκειμένων 150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smoothMarker"/>
        <c:varyColors val="0"/>
        <c:ser>
          <c:idx val="0"/>
          <c:order val="0"/>
          <c:tx>
            <c:v>πετρέλαιο</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διαγραμμα!$H$4:$H$8</c:f>
              <c:numCache>
                <c:formatCode>0.0</c:formatCode>
                <c:ptCount val="5"/>
                <c:pt idx="0">
                  <c:v>32.835255332415642</c:v>
                </c:pt>
                <c:pt idx="1">
                  <c:v>42.78276112583935</c:v>
                </c:pt>
                <c:pt idx="2">
                  <c:v>45.301979761393689</c:v>
                </c:pt>
                <c:pt idx="3">
                  <c:v>51.381041689160568</c:v>
                </c:pt>
                <c:pt idx="4">
                  <c:v>70.166703495625811</c:v>
                </c:pt>
              </c:numCache>
            </c:numRef>
          </c:xVal>
          <c:yVal>
            <c:numRef>
              <c:f>διαγραμμα!$I$11:$I$15</c:f>
              <c:numCache>
                <c:formatCode>0.000</c:formatCode>
                <c:ptCount val="5"/>
                <c:pt idx="0" formatCode="General">
                  <c:v>1</c:v>
                </c:pt>
                <c:pt idx="1">
                  <c:v>0.10718816067653279</c:v>
                </c:pt>
                <c:pt idx="2" formatCode="0.0000">
                  <c:v>7.3126261549987776E-2</c:v>
                </c:pt>
                <c:pt idx="3">
                  <c:v>9.8484848484848512E-3</c:v>
                </c:pt>
                <c:pt idx="4" formatCode="General">
                  <c:v>0</c:v>
                </c:pt>
              </c:numCache>
            </c:numRef>
          </c:yVal>
          <c:smooth val="1"/>
          <c:extLst>
            <c:ext xmlns:c16="http://schemas.microsoft.com/office/drawing/2014/chart" uri="{C3380CC4-5D6E-409C-BE32-E72D297353CC}">
              <c16:uniqueId val="{00000000-DB0F-4123-9B35-20B390D13F66}"/>
            </c:ext>
          </c:extLst>
        </c:ser>
        <c:ser>
          <c:idx val="1"/>
          <c:order val="1"/>
          <c:tx>
            <c:v>νερό</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διαγραμμα!$H$4:$H$8</c:f>
              <c:numCache>
                <c:formatCode>0.0</c:formatCode>
                <c:ptCount val="5"/>
                <c:pt idx="0">
                  <c:v>32.835255332415642</c:v>
                </c:pt>
                <c:pt idx="1">
                  <c:v>42.78276112583935</c:v>
                </c:pt>
                <c:pt idx="2">
                  <c:v>45.301979761393689</c:v>
                </c:pt>
                <c:pt idx="3">
                  <c:v>51.381041689160568</c:v>
                </c:pt>
                <c:pt idx="4">
                  <c:v>70.166703495625811</c:v>
                </c:pt>
              </c:numCache>
            </c:numRef>
          </c:xVal>
          <c:yVal>
            <c:numRef>
              <c:f>διαγραμμα!$J$11:$J$15</c:f>
              <c:numCache>
                <c:formatCode>0.000</c:formatCode>
                <c:ptCount val="5"/>
                <c:pt idx="0" formatCode="General">
                  <c:v>0</c:v>
                </c:pt>
                <c:pt idx="1">
                  <c:v>3.4711191928929012E-2</c:v>
                </c:pt>
                <c:pt idx="2" formatCode="0.0000">
                  <c:v>6.3148757815188056E-2</c:v>
                </c:pt>
                <c:pt idx="3">
                  <c:v>0.15308525671219975</c:v>
                </c:pt>
                <c:pt idx="4">
                  <c:v>0.21805510295299746</c:v>
                </c:pt>
              </c:numCache>
            </c:numRef>
          </c:yVal>
          <c:smooth val="1"/>
          <c:extLst>
            <c:ext xmlns:c16="http://schemas.microsoft.com/office/drawing/2014/chart" uri="{C3380CC4-5D6E-409C-BE32-E72D297353CC}">
              <c16:uniqueId val="{00000002-DB0F-4123-9B35-20B390D13F66}"/>
            </c:ext>
          </c:extLst>
        </c:ser>
        <c:dLbls>
          <c:showLegendKey val="0"/>
          <c:showVal val="0"/>
          <c:showCatName val="0"/>
          <c:showSerName val="0"/>
          <c:showPercent val="0"/>
          <c:showBubbleSize val="0"/>
        </c:dLbls>
        <c:axId val="476044016"/>
        <c:axId val="351428800"/>
      </c:scatterChart>
      <c:valAx>
        <c:axId val="476044016"/>
        <c:scaling>
          <c:orientation val="minMax"/>
          <c:max val="80"/>
          <c:min val="2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Sw(%)</a:t>
                </a:r>
                <a:endParaRPr lang="el-GR"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51428800"/>
        <c:crosses val="autoZero"/>
        <c:crossBetween val="midCat"/>
      </c:valAx>
      <c:valAx>
        <c:axId val="351428800"/>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Kr</a:t>
                </a:r>
                <a:endParaRPr lang="el-GR"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4760440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chart" Target="../charts/chart21.xml"/><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chart" Target="../charts/chart20.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5" Type="http://schemas.openxmlformats.org/officeDocument/2006/relationships/chart" Target="../charts/chart2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 Id="rId14" Type="http://schemas.openxmlformats.org/officeDocument/2006/relationships/chart" Target="../charts/chart2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31.xml"/><Relationship Id="rId1" Type="http://schemas.openxmlformats.org/officeDocument/2006/relationships/chart" Target="../charts/chart30.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s>
</file>

<file path=xl/drawings/drawing1.xml><?xml version="1.0" encoding="utf-8"?>
<xdr:wsDr xmlns:xdr="http://schemas.openxmlformats.org/drawingml/2006/spreadsheetDrawing" xmlns:a="http://schemas.openxmlformats.org/drawingml/2006/main">
  <xdr:twoCellAnchor>
    <xdr:from>
      <xdr:col>14</xdr:col>
      <xdr:colOff>161924</xdr:colOff>
      <xdr:row>8</xdr:row>
      <xdr:rowOff>161924</xdr:rowOff>
    </xdr:from>
    <xdr:to>
      <xdr:col>29</xdr:col>
      <xdr:colOff>361949</xdr:colOff>
      <xdr:row>30</xdr:row>
      <xdr:rowOff>0</xdr:rowOff>
    </xdr:to>
    <xdr:graphicFrame macro="">
      <xdr:nvGraphicFramePr>
        <xdr:cNvPr id="9" name="Γράφημα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13</xdr:col>
      <xdr:colOff>245533</xdr:colOff>
      <xdr:row>31</xdr:row>
      <xdr:rowOff>95250</xdr:rowOff>
    </xdr:from>
    <xdr:ext cx="8068733" cy="1581149"/>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9728200" y="5869517"/>
          <a:ext cx="8068733" cy="1581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Οι</a:t>
          </a:r>
          <a:r>
            <a:rPr lang="el-GR" sz="1100" baseline="0"/>
            <a:t> παροχές μειώνονταν διότι αυξανόταν η πίεση του μανομέτρου και δεν έπρεπε να υπερβεί την οριακή της τιμή</a:t>
          </a:r>
          <a:r>
            <a:rPr lang="en-US" sz="1100" baseline="0"/>
            <a:t>, </a:t>
          </a:r>
          <a:r>
            <a:rPr lang="el-GR" sz="1100" baseline="0"/>
            <a:t>τα 10 </a:t>
          </a:r>
          <a:r>
            <a:rPr lang="en-US" sz="1100" baseline="0"/>
            <a:t>bar</a:t>
          </a:r>
          <a:r>
            <a:rPr lang="el-GR" sz="1100" baseline="0"/>
            <a:t>. Όταν είχαν παρέλθει  37 </a:t>
          </a:r>
          <a:r>
            <a:rPr lang="en-US" sz="1100" baseline="0"/>
            <a:t>min </a:t>
          </a:r>
          <a:r>
            <a:rPr lang="el-GR" sz="1100" baseline="0"/>
            <a:t>στο 1 </a:t>
          </a:r>
          <a:r>
            <a:rPr lang="en-US" sz="1100" baseline="0"/>
            <a:t>ml/min </a:t>
          </a:r>
          <a:r>
            <a:rPr lang="el-GR" sz="1100" baseline="0"/>
            <a:t>είχε παρατηρηθεί</a:t>
          </a:r>
          <a:r>
            <a:rPr lang="en-US" sz="1100" baseline="0"/>
            <a:t> </a:t>
          </a:r>
          <a:r>
            <a:rPr lang="el-GR" sz="1100" baseline="0"/>
            <a:t>μαγαλύτερη διακύμανση στις τιμές αυτές απ' ότι σε μεγαλύτερες παροχές</a:t>
          </a:r>
          <a:r>
            <a:rPr lang="en-US" sz="1100" baseline="0"/>
            <a:t>, </a:t>
          </a:r>
          <a:r>
            <a:rPr lang="el-GR" sz="1100" baseline="0"/>
            <a:t>σε αυτό το χρονικό διάστημα. Άρα όσο αυξάνεται η παροχή, μειώνεται ο χρόνος σταθεροποίησης. Μετά από προσεχτική ανάλυση των παραπάτω δεδομένων προκύπτει πως στα 4 </a:t>
          </a:r>
          <a:r>
            <a:rPr lang="en-US" sz="1100" baseline="0"/>
            <a:t>ml/min </a:t>
          </a:r>
          <a:r>
            <a:rPr lang="el-GR" sz="1100" baseline="0"/>
            <a:t>χρονικό διάστημα από τα 500 </a:t>
          </a:r>
          <a:r>
            <a:rPr lang="en-US" sz="1100" baseline="0"/>
            <a:t>min </a:t>
          </a:r>
          <a:r>
            <a:rPr lang="el-GR" sz="1100" baseline="0"/>
            <a:t>έως τα 604</a:t>
          </a:r>
          <a:r>
            <a:rPr lang="en-US" sz="1100" baseline="0"/>
            <a:t> min</a:t>
          </a:r>
          <a:r>
            <a:rPr lang="el-GR" sz="1100" baseline="0"/>
            <a:t>, η</a:t>
          </a:r>
          <a:r>
            <a:rPr lang="en-US" sz="1100" baseline="0"/>
            <a:t> </a:t>
          </a:r>
          <a:r>
            <a:rPr lang="el-GR" sz="1100" baseline="0"/>
            <a:t>πίεση σταθεροποιείται. Στα 3,5 </a:t>
          </a:r>
          <a:r>
            <a:rPr lang="en-US" sz="1100" baseline="0"/>
            <a:t>ml /min </a:t>
          </a:r>
          <a:r>
            <a:rPr lang="el-GR" sz="1100" baseline="0"/>
            <a:t>στο χρονικό διάστημα των 411-483, αν και η διακύμανση παίρνει την ελάχιστη τιμή της παρατηρείται πως τα πειραματικά σημεία στρέφουν τα κοίλα προς τα κάτω και άρα οι διακυμάνσεις δε βρίσκονται εκατέρωθεν της μέσης τιμής τους. Αργότερα επιτυγχάνεται σταθεροποίηση στο χρονικό διάστημα</a:t>
          </a:r>
          <a:r>
            <a:rPr lang="en-US" sz="1100" baseline="0"/>
            <a:t> </a:t>
          </a:r>
          <a:r>
            <a:rPr lang="el-GR" sz="1100" baseline="0"/>
            <a:t>768-853 </a:t>
          </a:r>
          <a:r>
            <a:rPr lang="en-US" sz="1100" baseline="0"/>
            <a:t>min.</a:t>
          </a:r>
          <a:r>
            <a:rPr lang="el-GR" sz="1100" baseline="0"/>
            <a:t> Στα 604 </a:t>
          </a:r>
          <a:r>
            <a:rPr lang="en-US" sz="1100" baseline="0"/>
            <a:t>min </a:t>
          </a:r>
          <a:r>
            <a:rPr lang="el-GR" sz="1100" baseline="0"/>
            <a:t>παρατηρείται απότομη αύξηση της πίεσης, χωρίς να αλλάξει η παροχή, επειδή το πείραμα είχε διακοπεί για να γεμίσει το πιστόνι ξανά με νερό.</a:t>
          </a:r>
          <a:endParaRPr lang="el-GR" sz="1100"/>
        </a:p>
      </xdr:txBody>
    </xdr:sp>
    <xdr:clientData/>
  </xdr:oneCellAnchor>
  <xdr:oneCellAnchor>
    <xdr:from>
      <xdr:col>19</xdr:col>
      <xdr:colOff>57149</xdr:colOff>
      <xdr:row>4</xdr:row>
      <xdr:rowOff>38100</xdr:rowOff>
    </xdr:from>
    <xdr:ext cx="3609975" cy="83820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934949" y="800100"/>
          <a:ext cx="3609975"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ζύγισμα</a:t>
          </a:r>
          <a:r>
            <a:rPr lang="el-GR" sz="1100" baseline="0"/>
            <a:t> του ξηρού πετρώματος, ζύγισμα μετά τον πλήρη κορεσμό του με νερό για να υπολογιστεί ο όγκος κενών. Μετά τον υπολογιμό του γεωμετρικού όγκου το δοκιμίου, υπολογίζεται το πορώδες.</a:t>
          </a:r>
          <a:endParaRPr lang="el-GR"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10</xdr:col>
      <xdr:colOff>85725</xdr:colOff>
      <xdr:row>0</xdr:row>
      <xdr:rowOff>114300</xdr:rowOff>
    </xdr:from>
    <xdr:to>
      <xdr:col>19</xdr:col>
      <xdr:colOff>152400</xdr:colOff>
      <xdr:row>20</xdr:row>
      <xdr:rowOff>76200</xdr:rowOff>
    </xdr:to>
    <xdr:graphicFrame macro="">
      <xdr:nvGraphicFramePr>
        <xdr:cNvPr id="3" name="Γράφημα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485775</xdr:colOff>
      <xdr:row>22</xdr:row>
      <xdr:rowOff>19050</xdr:rowOff>
    </xdr:from>
    <xdr:ext cx="1714500" cy="38100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153025" y="4210050"/>
              <a:ext cx="17145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14:m>
                <m:oMathPara xmlns:m="http://schemas.openxmlformats.org/officeDocument/2006/math">
                  <m:oMathParaPr>
                    <m:jc m:val="centerGroup"/>
                  </m:oMathParaPr>
                  <m:oMath xmlns:m="http://schemas.openxmlformats.org/officeDocument/2006/math">
                    <m:r>
                      <a:rPr lang="el-GR" sz="1400" b="1" i="1">
                        <a:latin typeface="Cambria Math"/>
                      </a:rPr>
                      <m:t>𝜶</m:t>
                    </m:r>
                    <m:sSup>
                      <m:sSupPr>
                        <m:ctrlPr>
                          <a:rPr lang="el-GR" sz="1400" b="1" i="1">
                            <a:latin typeface="Cambria Math" panose="02040503050406030204" pitchFamily="18" charset="0"/>
                          </a:rPr>
                        </m:ctrlPr>
                      </m:sSupPr>
                      <m:e>
                        <m:r>
                          <a:rPr lang="en-US" sz="1400" b="1" i="1">
                            <a:latin typeface="Cambria Math"/>
                          </a:rPr>
                          <m:t>𝒙</m:t>
                        </m:r>
                      </m:e>
                      <m:sup>
                        <m:r>
                          <a:rPr lang="en-US" sz="1400" b="1" i="1">
                            <a:latin typeface="Cambria Math"/>
                          </a:rPr>
                          <m:t>𝟒</m:t>
                        </m:r>
                      </m:sup>
                    </m:sSup>
                    <m:r>
                      <a:rPr lang="en-US" sz="1400" b="1" i="1">
                        <a:latin typeface="Cambria Math"/>
                      </a:rPr>
                      <m:t>+</m:t>
                    </m:r>
                    <m:r>
                      <a:rPr lang="el-GR" sz="1400" b="1" i="1">
                        <a:latin typeface="Cambria Math"/>
                      </a:rPr>
                      <m:t>𝜷</m:t>
                    </m:r>
                    <m:r>
                      <a:rPr lang="en-US" sz="1400" b="1" i="1">
                        <a:latin typeface="Cambria Math"/>
                      </a:rPr>
                      <m:t>𝒙</m:t>
                    </m:r>
                    <m:r>
                      <a:rPr lang="en-US" sz="1400" b="1" i="1">
                        <a:latin typeface="Cambria Math"/>
                      </a:rPr>
                      <m:t>+</m:t>
                    </m:r>
                    <m:r>
                      <a:rPr lang="el-GR" sz="1400" b="1" i="1">
                        <a:latin typeface="Cambria Math"/>
                      </a:rPr>
                      <m:t>𝜸</m:t>
                    </m:r>
                    <m:r>
                      <a:rPr lang="el-GR" sz="1400" b="1" i="1">
                        <a:latin typeface="Cambria Math"/>
                      </a:rPr>
                      <m:t>=</m:t>
                    </m:r>
                    <m:r>
                      <a:rPr lang="el-GR" sz="1400" b="1" i="1">
                        <a:latin typeface="Cambria Math"/>
                      </a:rPr>
                      <m:t>𝟎</m:t>
                    </m:r>
                  </m:oMath>
                </m:oMathPara>
              </a14:m>
              <a:endParaRPr lang="el-GR" sz="1400" b="1"/>
            </a:p>
          </xdr:txBody>
        </xdr:sp>
      </mc:Choice>
      <mc:Fallback xmlns="">
        <xdr:sp macro="" textlink="">
          <xdr:nvSpPr>
            <xdr:cNvPr id="2" name="TextBox 1"/>
            <xdr:cNvSpPr txBox="1"/>
          </xdr:nvSpPr>
          <xdr:spPr>
            <a:xfrm>
              <a:off x="5153025" y="4210050"/>
              <a:ext cx="17145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400" b="1" i="0">
                  <a:latin typeface="Cambria Math"/>
                </a:rPr>
                <a:t>𝜶</a:t>
              </a:r>
              <a:r>
                <a:rPr lang="en-US" sz="1400" b="1" i="0">
                  <a:latin typeface="Cambria Math"/>
                </a:rPr>
                <a:t>𝒙</a:t>
              </a:r>
              <a:r>
                <a:rPr lang="el-GR" sz="1400" b="1" i="0">
                  <a:latin typeface="Cambria Math"/>
                </a:rPr>
                <a:t>^</a:t>
              </a:r>
              <a:r>
                <a:rPr lang="en-US" sz="1400" b="1" i="0">
                  <a:latin typeface="Cambria Math"/>
                </a:rPr>
                <a:t>𝟒+</a:t>
              </a:r>
              <a:r>
                <a:rPr lang="el-GR" sz="1400" b="1" i="0">
                  <a:latin typeface="Cambria Math"/>
                </a:rPr>
                <a:t>𝜷</a:t>
              </a:r>
              <a:r>
                <a:rPr lang="en-US" sz="1400" b="1" i="0">
                  <a:latin typeface="Cambria Math"/>
                </a:rPr>
                <a:t>𝒙+</a:t>
              </a:r>
              <a:r>
                <a:rPr lang="el-GR" sz="1400" b="1" i="0">
                  <a:latin typeface="Cambria Math"/>
                </a:rPr>
                <a:t>𝜸=𝟎</a:t>
              </a:r>
              <a:endParaRPr lang="el-GR" sz="1400" b="1"/>
            </a:p>
          </xdr:txBody>
        </xdr:sp>
      </mc:Fallback>
    </mc:AlternateContent>
    <xdr:clientData/>
  </xdr:oneCellAnchor>
  <xdr:twoCellAnchor>
    <xdr:from>
      <xdr:col>7</xdr:col>
      <xdr:colOff>519853</xdr:colOff>
      <xdr:row>66</xdr:row>
      <xdr:rowOff>158114</xdr:rowOff>
    </xdr:from>
    <xdr:to>
      <xdr:col>17</xdr:col>
      <xdr:colOff>311361</xdr:colOff>
      <xdr:row>85</xdr:row>
      <xdr:rowOff>422</xdr:rowOff>
    </xdr:to>
    <xdr:graphicFrame macro="">
      <xdr:nvGraphicFramePr>
        <xdr:cNvPr id="6" name="Γράφημα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485776</xdr:colOff>
      <xdr:row>66</xdr:row>
      <xdr:rowOff>155575</xdr:rowOff>
    </xdr:from>
    <xdr:to>
      <xdr:col>7</xdr:col>
      <xdr:colOff>247651</xdr:colOff>
      <xdr:row>86</xdr:row>
      <xdr:rowOff>136524</xdr:rowOff>
    </xdr:to>
    <xdr:graphicFrame macro="">
      <xdr:nvGraphicFramePr>
        <xdr:cNvPr id="5" name="Γράφημα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6</xdr:col>
      <xdr:colOff>19051</xdr:colOff>
      <xdr:row>2</xdr:row>
      <xdr:rowOff>180977</xdr:rowOff>
    </xdr:from>
    <xdr:ext cx="1485900" cy="695324"/>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5791201" y="561977"/>
          <a:ext cx="1485900" cy="6953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Πίνακας</a:t>
          </a:r>
          <a:r>
            <a:rPr lang="el-GR" sz="1100" baseline="0"/>
            <a:t> των τιμών σταθεροποίησης της μανομετρικής πίεσης.</a:t>
          </a:r>
        </a:p>
      </xdr:txBody>
    </xdr:sp>
    <xdr:clientData/>
  </xdr:oneCellAnchor>
  <xdr:oneCellAnchor>
    <xdr:from>
      <xdr:col>21</xdr:col>
      <xdr:colOff>628650</xdr:colOff>
      <xdr:row>5</xdr:row>
      <xdr:rowOff>104776</xdr:rowOff>
    </xdr:from>
    <xdr:ext cx="2905125" cy="876299"/>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16325850" y="1057276"/>
          <a:ext cx="2905125" cy="8762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Χρήση</a:t>
          </a:r>
          <a:r>
            <a:rPr lang="el-GR" sz="1100" baseline="0"/>
            <a:t> της κατανομής </a:t>
          </a:r>
          <a:r>
            <a:rPr lang="en-US" sz="1100" baseline="0"/>
            <a:t>Student </a:t>
          </a:r>
          <a:r>
            <a:rPr lang="el-GR" sz="1100" baseline="0"/>
            <a:t>για την εύρεση  της τυπικής απόκλισης της πτώσης πίεσης και της απόλυτης διαπερατότητας σε νερό εντός του διαστήματος εμπιστοσύνης, 99%</a:t>
          </a:r>
          <a:endParaRPr lang="el-GR" sz="1100"/>
        </a:p>
      </xdr:txBody>
    </xdr:sp>
    <xdr:clientData/>
  </xdr:oneCellAnchor>
  <xdr:oneCellAnchor>
    <xdr:from>
      <xdr:col>7</xdr:col>
      <xdr:colOff>247650</xdr:colOff>
      <xdr:row>8</xdr:row>
      <xdr:rowOff>9524</xdr:rowOff>
    </xdr:from>
    <xdr:ext cx="1962150" cy="1304925"/>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6638925" y="1533524"/>
          <a:ext cx="1962150" cy="1304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Το</a:t>
          </a:r>
          <a:r>
            <a:rPr lang="el-GR" sz="1100" baseline="0"/>
            <a:t> διάγραμμα </a:t>
          </a:r>
          <a:r>
            <a:rPr lang="en-US" sz="1100" baseline="0"/>
            <a:t>Q(</a:t>
          </a:r>
          <a:r>
            <a:rPr lang="el-GR" sz="1100" baseline="0"/>
            <a:t>Δ</a:t>
          </a:r>
          <a:r>
            <a:rPr lang="en-US" sz="1100" baseline="0"/>
            <a:t>P) </a:t>
          </a:r>
          <a:r>
            <a:rPr lang="el-GR" sz="1100" baseline="0"/>
            <a:t>καταδεικνύει τη πλαστική συμπεριφορά του νερού</a:t>
          </a:r>
          <a:r>
            <a:rPr lang="en-US" sz="1100" baseline="0"/>
            <a:t> </a:t>
          </a:r>
          <a:r>
            <a:rPr lang="el-GR" sz="1100" baseline="0"/>
            <a:t>επειδή για μηδενική παροχή έχει μία οριακή πτώση πίεσης που απαιτείται για να προκληθεί ροή.</a:t>
          </a:r>
          <a:endParaRPr lang="el-GR" sz="1100"/>
        </a:p>
      </xdr:txBody>
    </xdr:sp>
    <xdr:clientData/>
  </xdr:oneCellAnchor>
  <xdr:oneCellAnchor>
    <xdr:from>
      <xdr:col>13</xdr:col>
      <xdr:colOff>0</xdr:colOff>
      <xdr:row>33</xdr:row>
      <xdr:rowOff>0</xdr:rowOff>
    </xdr:from>
    <xdr:ext cx="5591175" cy="1952625"/>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0453688" y="6286500"/>
              <a:ext cx="5591175" cy="1952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l-GR" sz="1100"/>
                <a:t>Υπολογίζονται οι μέσες</a:t>
              </a:r>
              <a:r>
                <a:rPr lang="el-GR" sz="1100" baseline="0"/>
                <a:t> τιμές της πτώσης πίεσης και παροχής για δύο πειραματικά σημεία. Η εξίσωση </a:t>
              </a:r>
              <a:r>
                <a:rPr lang="en-US" sz="1100" baseline="0"/>
                <a:t>Buckinghum-Reiner </a:t>
              </a:r>
              <a:r>
                <a:rPr lang="el-GR" sz="1100" baseline="0"/>
                <a:t>εξισώνοντας τη παροχή με το νομο του </a:t>
              </a:r>
              <a:r>
                <a:rPr lang="en-US" sz="1100" baseline="0"/>
                <a:t>Darcy, </a:t>
              </a:r>
              <a:r>
                <a:rPr lang="el-GR" sz="1100" baseline="0"/>
                <a:t>εκφράζει την εξίσωση της απόλυτης διαπερατότητας συναρτήσει της πτώση πίεσης. Οι άγνωστοι στην εξίσωση είναι η  ακτίνα των πόρων  και η οριακή διατμητική τάση που απαιτείται να ασκήσει το ένα στρώμα ρευστού στην επιφάνεια του άλλου για να προκληθεί ροή. Αν διαιρεθούν κατά μέλη οι εξισώσεις  </a:t>
              </a:r>
              <a:r>
                <a:rPr lang="en-US" sz="1100" baseline="0"/>
                <a:t>B-R </a:t>
              </a:r>
              <a:r>
                <a:rPr lang="el-GR" sz="1100" baseline="0"/>
                <a:t>για τα δύο πειραματικά σημεία θα δώσουν την εξίσωση </a:t>
              </a:r>
              <a14:m>
                <m:oMath xmlns:m="http://schemas.openxmlformats.org/officeDocument/2006/math">
                  <m:r>
                    <a:rPr lang="el-GR" sz="1100" b="1" i="1">
                      <a:solidFill>
                        <a:schemeClr val="tx1"/>
                      </a:solidFill>
                      <a:effectLst/>
                      <a:latin typeface="Cambria Math"/>
                      <a:ea typeface="+mn-ea"/>
                      <a:cs typeface="+mn-cs"/>
                    </a:rPr>
                    <m:t>𝜶</m:t>
                  </m:r>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a:ea typeface="+mn-ea"/>
                          <a:cs typeface="+mn-cs"/>
                        </a:rPr>
                        <m:t>𝒙</m:t>
                      </m:r>
                    </m:e>
                    <m:sup>
                      <m:r>
                        <a:rPr lang="en-US" sz="1100" b="1" i="1">
                          <a:solidFill>
                            <a:schemeClr val="tx1"/>
                          </a:solidFill>
                          <a:effectLst/>
                          <a:latin typeface="Cambria Math"/>
                          <a:ea typeface="+mn-ea"/>
                          <a:cs typeface="+mn-cs"/>
                        </a:rPr>
                        <m:t>𝟒</m:t>
                      </m:r>
                    </m:sup>
                  </m:sSup>
                  <m:r>
                    <a:rPr lang="en-US" sz="1100" b="1" i="1">
                      <a:solidFill>
                        <a:schemeClr val="tx1"/>
                      </a:solidFill>
                      <a:effectLst/>
                      <a:latin typeface="Cambria Math"/>
                      <a:ea typeface="+mn-ea"/>
                      <a:cs typeface="+mn-cs"/>
                    </a:rPr>
                    <m:t>+</m:t>
                  </m:r>
                  <m:r>
                    <a:rPr lang="el-GR" sz="1100" b="1" i="1">
                      <a:solidFill>
                        <a:schemeClr val="tx1"/>
                      </a:solidFill>
                      <a:effectLst/>
                      <a:latin typeface="Cambria Math"/>
                      <a:ea typeface="+mn-ea"/>
                      <a:cs typeface="+mn-cs"/>
                    </a:rPr>
                    <m:t>𝜷</m:t>
                  </m:r>
                  <m:r>
                    <a:rPr lang="en-US" sz="1100" b="1" i="1">
                      <a:solidFill>
                        <a:schemeClr val="tx1"/>
                      </a:solidFill>
                      <a:effectLst/>
                      <a:latin typeface="Cambria Math"/>
                      <a:ea typeface="+mn-ea"/>
                      <a:cs typeface="+mn-cs"/>
                    </a:rPr>
                    <m:t>𝒙</m:t>
                  </m:r>
                  <m:r>
                    <a:rPr lang="en-US" sz="1100" b="1" i="1">
                      <a:solidFill>
                        <a:schemeClr val="tx1"/>
                      </a:solidFill>
                      <a:effectLst/>
                      <a:latin typeface="Cambria Math"/>
                      <a:ea typeface="+mn-ea"/>
                      <a:cs typeface="+mn-cs"/>
                    </a:rPr>
                    <m:t>+</m:t>
                  </m:r>
                  <m:r>
                    <a:rPr lang="el-GR" sz="1100" b="1" i="1">
                      <a:solidFill>
                        <a:schemeClr val="tx1"/>
                      </a:solidFill>
                      <a:effectLst/>
                      <a:latin typeface="Cambria Math"/>
                      <a:ea typeface="+mn-ea"/>
                      <a:cs typeface="+mn-cs"/>
                    </a:rPr>
                    <m:t>𝜸</m:t>
                  </m:r>
                  <m:r>
                    <a:rPr lang="el-GR" sz="1100" b="1" i="1">
                      <a:solidFill>
                        <a:schemeClr val="tx1"/>
                      </a:solidFill>
                      <a:effectLst/>
                      <a:latin typeface="Cambria Math"/>
                      <a:ea typeface="+mn-ea"/>
                      <a:cs typeface="+mn-cs"/>
                    </a:rPr>
                    <m:t>=</m:t>
                  </m:r>
                  <m:r>
                    <a:rPr lang="el-GR" sz="1100" b="1" i="1">
                      <a:solidFill>
                        <a:schemeClr val="tx1"/>
                      </a:solidFill>
                      <a:effectLst/>
                      <a:latin typeface="Cambria Math"/>
                      <a:ea typeface="+mn-ea"/>
                      <a:cs typeface="+mn-cs"/>
                    </a:rPr>
                    <m:t>𝟎</m:t>
                  </m:r>
                </m:oMath>
              </a14:m>
              <a:r>
                <a:rPr lang="el-GR">
                  <a:effectLst/>
                </a:rPr>
                <a:t>. Ο λόγος της διατμητικής</a:t>
              </a:r>
              <a:r>
                <a:rPr lang="el-GR" baseline="0">
                  <a:effectLst/>
                </a:rPr>
                <a:t> τάσης προς την ακτίνα των πόρων είναι η ανεξάρτητη μεταβλητή. Με τη μέθοδο </a:t>
              </a:r>
              <a:r>
                <a:rPr lang="en-US" baseline="0">
                  <a:effectLst/>
                </a:rPr>
                <a:t>Newton-Raphson </a:t>
              </a:r>
              <a:r>
                <a:rPr lang="el-GR" baseline="0">
                  <a:effectLst/>
                </a:rPr>
                <a:t>προσεγγίζεται η ρίζα της εξίσωσης μετά από 4 επαναλλήψεις. Από την εξίσωση </a:t>
              </a:r>
              <a:r>
                <a:rPr lang="en-US" baseline="0">
                  <a:effectLst/>
                </a:rPr>
                <a:t>Buckinghum-Reiner </a:t>
              </a:r>
              <a:r>
                <a:rPr lang="el-GR" baseline="0">
                  <a:effectLst/>
                </a:rPr>
                <a:t>σχεδιάζεται τ</a:t>
              </a:r>
              <a:r>
                <a:rPr lang="en-US" baseline="0">
                  <a:effectLst/>
                </a:rPr>
                <a:t>o</a:t>
              </a:r>
              <a:r>
                <a:rPr lang="el-GR" baseline="0">
                  <a:effectLst/>
                </a:rPr>
                <a:t> διάγραμμα </a:t>
              </a:r>
              <a:r>
                <a:rPr lang="en-US" baseline="0">
                  <a:effectLst/>
                </a:rPr>
                <a:t>K</a:t>
              </a:r>
              <a:r>
                <a:rPr lang="en-US" sz="1000" baseline="0">
                  <a:effectLst/>
                </a:rPr>
                <a:t>abs</a:t>
              </a:r>
              <a:r>
                <a:rPr lang="en-US" sz="1100" baseline="0">
                  <a:effectLst/>
                </a:rPr>
                <a:t>(</a:t>
              </a:r>
              <a:r>
                <a:rPr lang="el-GR" sz="1100" baseline="0">
                  <a:effectLst/>
                </a:rPr>
                <a:t>Δ</a:t>
              </a:r>
              <a:r>
                <a:rPr lang="en-US" sz="1100" baseline="0">
                  <a:effectLst/>
                </a:rPr>
                <a:t>P) </a:t>
              </a:r>
              <a:r>
                <a:rPr lang="el-GR" sz="1100" baseline="0">
                  <a:effectLst/>
                </a:rPr>
                <a:t>και από το νόμο του </a:t>
              </a:r>
              <a:r>
                <a:rPr lang="en-US" sz="1100" baseline="0">
                  <a:effectLst/>
                </a:rPr>
                <a:t>Darcy </a:t>
              </a:r>
              <a:r>
                <a:rPr lang="el-GR" sz="1100" baseline="0">
                  <a:effectLst/>
                </a:rPr>
                <a:t>το</a:t>
              </a:r>
              <a:r>
                <a:rPr lang="en-US" sz="1100" baseline="0">
                  <a:effectLst/>
                </a:rPr>
                <a:t> </a:t>
              </a:r>
              <a:r>
                <a:rPr lang="en-US" sz="1100" baseline="0">
                  <a:solidFill>
                    <a:schemeClr val="tx1"/>
                  </a:solidFill>
                  <a:effectLst/>
                  <a:latin typeface="+mn-lt"/>
                  <a:ea typeface="+mn-ea"/>
                  <a:cs typeface="+mn-cs"/>
                </a:rPr>
                <a:t>Q(</a:t>
              </a:r>
              <a:r>
                <a:rPr lang="el-GR" sz="1100" baseline="0">
                  <a:solidFill>
                    <a:schemeClr val="tx1"/>
                  </a:solidFill>
                  <a:effectLst/>
                  <a:latin typeface="+mn-lt"/>
                  <a:ea typeface="+mn-ea"/>
                  <a:cs typeface="+mn-cs"/>
                </a:rPr>
                <a:t>Δ</a:t>
              </a:r>
              <a:r>
                <a:rPr lang="en-US" sz="1100" baseline="0">
                  <a:solidFill>
                    <a:schemeClr val="tx1"/>
                  </a:solidFill>
                  <a:effectLst/>
                  <a:latin typeface="+mn-lt"/>
                  <a:ea typeface="+mn-ea"/>
                  <a:cs typeface="+mn-cs"/>
                </a:rPr>
                <a:t>P)</a:t>
              </a:r>
              <a:r>
                <a:rPr lang="el-GR" sz="1100" baseline="0">
                  <a:solidFill>
                    <a:schemeClr val="tx1"/>
                  </a:solidFill>
                  <a:effectLst/>
                  <a:latin typeface="+mn-lt"/>
                  <a:ea typeface="+mn-ea"/>
                  <a:cs typeface="+mn-cs"/>
                </a:rPr>
                <a:t>.</a:t>
              </a:r>
              <a:endParaRPr lang="el-GR">
                <a:effectLst/>
              </a:endParaRPr>
            </a:p>
            <a:p>
              <a:endParaRPr lang="el-GR" sz="1100"/>
            </a:p>
          </xdr:txBody>
        </xdr:sp>
      </mc:Choice>
      <mc:Fallback xmlns="">
        <xdr:sp macro="" textlink="">
          <xdr:nvSpPr>
            <xdr:cNvPr id="9" name="TextBox 8"/>
            <xdr:cNvSpPr txBox="1"/>
          </xdr:nvSpPr>
          <xdr:spPr>
            <a:xfrm>
              <a:off x="10453688" y="6286500"/>
              <a:ext cx="5591175" cy="1952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l-GR" sz="1100"/>
                <a:t>Υπολογίζονται οι μέσες</a:t>
              </a:r>
              <a:r>
                <a:rPr lang="el-GR" sz="1100" baseline="0"/>
                <a:t> τιμές της πτώσης πίεσης και παροχής για δύο πειραματικά σημεία. Η εξίσωση </a:t>
              </a:r>
              <a:r>
                <a:rPr lang="en-US" sz="1100" baseline="0"/>
                <a:t>Buckinghum-Reiner </a:t>
              </a:r>
              <a:r>
                <a:rPr lang="el-GR" sz="1100" baseline="0"/>
                <a:t>εξισώνοντας τη παροχή με το νομο του </a:t>
              </a:r>
              <a:r>
                <a:rPr lang="en-US" sz="1100" baseline="0"/>
                <a:t>Darcy, </a:t>
              </a:r>
              <a:r>
                <a:rPr lang="el-GR" sz="1100" baseline="0"/>
                <a:t>εκφράζει την εξίσωση της απόλυτης διαπερατότητας συναρτήσει της πτώση πίεσης. Οι άγνωστοι στην εξίσωση είναι η  ακτίνα των πόρων  και η οριακή διατμητική τάση που απαιτείται να ασκήσει το ένα στρώμα ρευστού στην επιφάνεια του άλλου για να προκληθεί ροή. Αν διαιρεθούν κατά μέλη οι εξισώσεις  </a:t>
              </a:r>
              <a:r>
                <a:rPr lang="en-US" sz="1100" baseline="0"/>
                <a:t>B-R </a:t>
              </a:r>
              <a:r>
                <a:rPr lang="el-GR" sz="1100" baseline="0"/>
                <a:t>για τα δύο πειραματικά σημεία θα δώσουν την εξίσωση </a:t>
              </a:r>
              <a:r>
                <a:rPr lang="el-GR" sz="1100" b="1" i="0">
                  <a:solidFill>
                    <a:schemeClr val="tx1"/>
                  </a:solidFill>
                  <a:effectLst/>
                  <a:latin typeface="Cambria Math"/>
                  <a:ea typeface="+mn-ea"/>
                  <a:cs typeface="+mn-cs"/>
                </a:rPr>
                <a:t>𝜶</a:t>
              </a:r>
              <a:r>
                <a:rPr lang="en-US" sz="1100" b="1" i="0">
                  <a:solidFill>
                    <a:schemeClr val="tx1"/>
                  </a:solidFill>
                  <a:effectLst/>
                  <a:latin typeface="Cambria Math"/>
                  <a:ea typeface="+mn-ea"/>
                  <a:cs typeface="+mn-cs"/>
                </a:rPr>
                <a:t>𝒙</a:t>
              </a:r>
              <a:r>
                <a:rPr lang="el-GR" sz="1100" b="1" i="0">
                  <a:solidFill>
                    <a:schemeClr val="tx1"/>
                  </a:solidFill>
                  <a:effectLst/>
                  <a:latin typeface="Cambria Math"/>
                  <a:ea typeface="+mn-ea"/>
                  <a:cs typeface="+mn-cs"/>
                </a:rPr>
                <a:t>^</a:t>
              </a:r>
              <a:r>
                <a:rPr lang="en-US" sz="1100" b="1" i="0">
                  <a:solidFill>
                    <a:schemeClr val="tx1"/>
                  </a:solidFill>
                  <a:effectLst/>
                  <a:latin typeface="Cambria Math"/>
                  <a:ea typeface="+mn-ea"/>
                  <a:cs typeface="+mn-cs"/>
                </a:rPr>
                <a:t>𝟒+</a:t>
              </a:r>
              <a:r>
                <a:rPr lang="el-GR" sz="1100" b="1" i="0">
                  <a:solidFill>
                    <a:schemeClr val="tx1"/>
                  </a:solidFill>
                  <a:effectLst/>
                  <a:latin typeface="Cambria Math"/>
                  <a:ea typeface="+mn-ea"/>
                  <a:cs typeface="+mn-cs"/>
                </a:rPr>
                <a:t>𝜷</a:t>
              </a:r>
              <a:r>
                <a:rPr lang="en-US" sz="1100" b="1" i="0">
                  <a:solidFill>
                    <a:schemeClr val="tx1"/>
                  </a:solidFill>
                  <a:effectLst/>
                  <a:latin typeface="Cambria Math"/>
                  <a:ea typeface="+mn-ea"/>
                  <a:cs typeface="+mn-cs"/>
                </a:rPr>
                <a:t>𝒙+</a:t>
              </a:r>
              <a:r>
                <a:rPr lang="el-GR" sz="1100" b="1" i="0">
                  <a:solidFill>
                    <a:schemeClr val="tx1"/>
                  </a:solidFill>
                  <a:effectLst/>
                  <a:latin typeface="Cambria Math"/>
                  <a:ea typeface="+mn-ea"/>
                  <a:cs typeface="+mn-cs"/>
                </a:rPr>
                <a:t>𝜸=𝟎</a:t>
              </a:r>
              <a:r>
                <a:rPr lang="el-GR">
                  <a:effectLst/>
                </a:rPr>
                <a:t>. Ο λόγος της διατμητικής</a:t>
              </a:r>
              <a:r>
                <a:rPr lang="el-GR" baseline="0">
                  <a:effectLst/>
                </a:rPr>
                <a:t> τάσης προς την ακτίνα των πόρων είναι η ανεξάρτητη μεταβλητή. Με τη μέθοδο </a:t>
              </a:r>
              <a:r>
                <a:rPr lang="en-US" baseline="0">
                  <a:effectLst/>
                </a:rPr>
                <a:t>Newton-Raphson </a:t>
              </a:r>
              <a:r>
                <a:rPr lang="el-GR" baseline="0">
                  <a:effectLst/>
                </a:rPr>
                <a:t>προσεγγίζεται η ρίζα της εξίσωσης μετά από 4 επαναλλήψεις. Από την εξίσωση </a:t>
              </a:r>
              <a:r>
                <a:rPr lang="en-US" baseline="0">
                  <a:effectLst/>
                </a:rPr>
                <a:t>Buckinghum-Reiner </a:t>
              </a:r>
              <a:r>
                <a:rPr lang="el-GR" baseline="0">
                  <a:effectLst/>
                </a:rPr>
                <a:t>σχεδιάζεται τ</a:t>
              </a:r>
              <a:r>
                <a:rPr lang="en-US" baseline="0">
                  <a:effectLst/>
                </a:rPr>
                <a:t>o</a:t>
              </a:r>
              <a:r>
                <a:rPr lang="el-GR" baseline="0">
                  <a:effectLst/>
                </a:rPr>
                <a:t> διάγραμμα </a:t>
              </a:r>
              <a:r>
                <a:rPr lang="en-US" baseline="0">
                  <a:effectLst/>
                </a:rPr>
                <a:t>K</a:t>
              </a:r>
              <a:r>
                <a:rPr lang="en-US" sz="1000" baseline="0">
                  <a:effectLst/>
                </a:rPr>
                <a:t>abs</a:t>
              </a:r>
              <a:r>
                <a:rPr lang="en-US" sz="1100" baseline="0">
                  <a:effectLst/>
                </a:rPr>
                <a:t>(</a:t>
              </a:r>
              <a:r>
                <a:rPr lang="el-GR" sz="1100" baseline="0">
                  <a:effectLst/>
                </a:rPr>
                <a:t>Δ</a:t>
              </a:r>
              <a:r>
                <a:rPr lang="en-US" sz="1100" baseline="0">
                  <a:effectLst/>
                </a:rPr>
                <a:t>P) </a:t>
              </a:r>
              <a:r>
                <a:rPr lang="el-GR" sz="1100" baseline="0">
                  <a:effectLst/>
                </a:rPr>
                <a:t>και από το νόμο του </a:t>
              </a:r>
              <a:r>
                <a:rPr lang="en-US" sz="1100" baseline="0">
                  <a:effectLst/>
                </a:rPr>
                <a:t>Darcy </a:t>
              </a:r>
              <a:r>
                <a:rPr lang="el-GR" sz="1100" baseline="0">
                  <a:effectLst/>
                </a:rPr>
                <a:t>το</a:t>
              </a:r>
              <a:r>
                <a:rPr lang="en-US" sz="1100" baseline="0">
                  <a:effectLst/>
                </a:rPr>
                <a:t> </a:t>
              </a:r>
              <a:r>
                <a:rPr lang="en-US" sz="1100" baseline="0">
                  <a:solidFill>
                    <a:schemeClr val="tx1"/>
                  </a:solidFill>
                  <a:effectLst/>
                  <a:latin typeface="+mn-lt"/>
                  <a:ea typeface="+mn-ea"/>
                  <a:cs typeface="+mn-cs"/>
                </a:rPr>
                <a:t>Q(</a:t>
              </a:r>
              <a:r>
                <a:rPr lang="el-GR" sz="1100" baseline="0">
                  <a:solidFill>
                    <a:schemeClr val="tx1"/>
                  </a:solidFill>
                  <a:effectLst/>
                  <a:latin typeface="+mn-lt"/>
                  <a:ea typeface="+mn-ea"/>
                  <a:cs typeface="+mn-cs"/>
                </a:rPr>
                <a:t>Δ</a:t>
              </a:r>
              <a:r>
                <a:rPr lang="en-US" sz="1100" baseline="0">
                  <a:solidFill>
                    <a:schemeClr val="tx1"/>
                  </a:solidFill>
                  <a:effectLst/>
                  <a:latin typeface="+mn-lt"/>
                  <a:ea typeface="+mn-ea"/>
                  <a:cs typeface="+mn-cs"/>
                </a:rPr>
                <a:t>P)</a:t>
              </a:r>
              <a:r>
                <a:rPr lang="el-GR" sz="1100" baseline="0">
                  <a:solidFill>
                    <a:schemeClr val="tx1"/>
                  </a:solidFill>
                  <a:effectLst/>
                  <a:latin typeface="+mn-lt"/>
                  <a:ea typeface="+mn-ea"/>
                  <a:cs typeface="+mn-cs"/>
                </a:rPr>
                <a:t>.</a:t>
              </a:r>
              <a:endParaRPr lang="el-GR">
                <a:effectLst/>
              </a:endParaRPr>
            </a:p>
            <a:p>
              <a:endParaRPr lang="el-GR" sz="1100"/>
            </a:p>
          </xdr:txBody>
        </xdr:sp>
      </mc:Fallback>
    </mc:AlternateContent>
    <xdr:clientData/>
  </xdr:oneCellAnchor>
  <xdr:twoCellAnchor>
    <xdr:from>
      <xdr:col>12</xdr:col>
      <xdr:colOff>524934</xdr:colOff>
      <xdr:row>47</xdr:row>
      <xdr:rowOff>71967</xdr:rowOff>
    </xdr:from>
    <xdr:to>
      <xdr:col>19</xdr:col>
      <xdr:colOff>567267</xdr:colOff>
      <xdr:row>62</xdr:row>
      <xdr:rowOff>21167</xdr:rowOff>
    </xdr:to>
    <xdr:graphicFrame macro="">
      <xdr:nvGraphicFramePr>
        <xdr:cNvPr id="10" name="Γράφημα 9">
          <a:extLst>
            <a:ext uri="{FF2B5EF4-FFF2-40B4-BE49-F238E27FC236}">
              <a16:creationId xmlns:a16="http://schemas.microsoft.com/office/drawing/2014/main" id="{0F13D920-697C-4D5D-93C7-732C007600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457200</xdr:colOff>
      <xdr:row>18</xdr:row>
      <xdr:rowOff>142875</xdr:rowOff>
    </xdr:from>
    <xdr:to>
      <xdr:col>20</xdr:col>
      <xdr:colOff>76200</xdr:colOff>
      <xdr:row>35</xdr:row>
      <xdr:rowOff>28575</xdr:rowOff>
    </xdr:to>
    <xdr:graphicFrame macro="">
      <xdr:nvGraphicFramePr>
        <xdr:cNvPr id="2" name="Γράφημα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9</xdr:col>
      <xdr:colOff>76199</xdr:colOff>
      <xdr:row>7</xdr:row>
      <xdr:rowOff>66675</xdr:rowOff>
    </xdr:from>
    <xdr:ext cx="7439026" cy="1895475"/>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581774" y="1400175"/>
          <a:ext cx="7439026" cy="1895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Δοκίμιο</a:t>
          </a:r>
          <a:r>
            <a:rPr lang="el-GR" sz="1100" baseline="0"/>
            <a:t> 8 </a:t>
          </a:r>
          <a:r>
            <a:rPr lang="en-US" sz="1100" baseline="0"/>
            <a:t>cm </a:t>
          </a:r>
          <a:r>
            <a:rPr lang="el-GR" sz="1100" baseline="0"/>
            <a:t>μήκους  και 1'</a:t>
          </a:r>
          <a:r>
            <a:rPr lang="en-US" sz="1100" baseline="0"/>
            <a:t>'</a:t>
          </a:r>
          <a:r>
            <a:rPr lang="el-GR" sz="1100" baseline="0"/>
            <a:t> διάμετρο  υποβάλεται σε παροχή νερού 0.5, 1 και 1.5 </a:t>
          </a:r>
          <a:r>
            <a:rPr lang="en-US" sz="1100" baseline="0"/>
            <a:t>ml/min</a:t>
          </a:r>
          <a:r>
            <a:rPr lang="el-GR" sz="1100" baseline="0"/>
            <a:t> με πίεση υπερκειμένων 220 </a:t>
          </a:r>
          <a:r>
            <a:rPr lang="en-US" sz="1100" baseline="0"/>
            <a:t>bar. </a:t>
          </a:r>
          <a:r>
            <a:rPr lang="el-GR" sz="1100" baseline="0"/>
            <a:t>Στις μετρήσεις αυτές δεν έχει αφαιρεθεί ακόμα το πιστόνι του νερού. Άρα, μπορώ να συγκρίνω τη διαπερατότητα μετά την αφαίρεση του και η παροχή να γίνεται κατευθείαν από την αντλία. Η διαφορά είναι πως το νερό της αντλίας είναι απιοντισμένο ενώ το νερό στο πιστόνι είχε ηλεκτρολύτες.</a:t>
          </a:r>
          <a:r>
            <a:rPr lang="en-US" sz="1100" baseline="0"/>
            <a:t> </a:t>
          </a:r>
          <a:r>
            <a:rPr lang="el-GR" sz="1100" baseline="0"/>
            <a:t> Λόγω της ύπαρξης αργιλικών ορυκτών αναπτύσσεται ηλεκτροσμωτικό φαινόμενο με την εσωτερική πλευρά της ημιδιαπερατής μεμβράνης να διαστέλλεται  σημαντικά  στην επαφή τους με το απιοντισμένο νερό ώστε η συγκέντρωση των ιόντων να είναι ίση με το εξωτερικό στρώμα από τη μεμβράνη. Πράγματι το δοκίμιο των 8 </a:t>
          </a:r>
          <a:r>
            <a:rPr lang="en-US" sz="1100" baseline="0"/>
            <a:t>cm </a:t>
          </a:r>
          <a:r>
            <a:rPr lang="el-GR" sz="1100" baseline="0"/>
            <a:t>έχει Κ(Δ</a:t>
          </a:r>
          <a:r>
            <a:rPr lang="en-US" sz="1100" baseline="0"/>
            <a:t>P=6.67atm)=3.94mD, </a:t>
          </a:r>
          <a:r>
            <a:rPr lang="el-GR" sz="1100" baseline="0"/>
            <a:t>ενώ όταν τα αργιλικά εμβαπτίζονται στο απιοντισμένο νερό  δοκιμίου μήκους 4 </a:t>
          </a:r>
          <a:r>
            <a:rPr lang="en-US" sz="1100" baseline="0"/>
            <a:t>cm</a:t>
          </a:r>
          <a:r>
            <a:rPr lang="el-GR" sz="1100" baseline="0"/>
            <a:t>,</a:t>
          </a:r>
          <a:r>
            <a:rPr lang="en-US" sz="1100" baseline="0"/>
            <a:t> </a:t>
          </a:r>
          <a:r>
            <a:rPr lang="el-GR" sz="1100" baseline="0"/>
            <a:t>με πίεση υπερκειμένων 150 </a:t>
          </a:r>
          <a:r>
            <a:rPr lang="en-US" sz="1100" baseline="0"/>
            <a:t>bar, </a:t>
          </a:r>
          <a:r>
            <a:rPr lang="el-GR" sz="1100" baseline="0"/>
            <a:t>η διαπερατότητα, </a:t>
          </a:r>
          <a:r>
            <a:rPr lang="el-GR" sz="1100" b="0" i="0" u="none" strike="noStrike">
              <a:solidFill>
                <a:schemeClr val="tx1"/>
              </a:solidFill>
              <a:effectLst/>
              <a:latin typeface="+mn-lt"/>
              <a:ea typeface="+mn-ea"/>
              <a:cs typeface="+mn-cs"/>
            </a:rPr>
            <a:t>Κ(Δ</a:t>
          </a:r>
          <a:r>
            <a:rPr lang="en-US" sz="1100" b="0" i="0" u="none" strike="noStrike">
              <a:solidFill>
                <a:schemeClr val="tx1"/>
              </a:solidFill>
              <a:effectLst/>
              <a:latin typeface="+mn-lt"/>
              <a:ea typeface="+mn-ea"/>
              <a:cs typeface="+mn-cs"/>
            </a:rPr>
            <a:t>P=5.9atm)=0.05 mD </a:t>
          </a:r>
          <a:r>
            <a:rPr lang="en-US" sz="1100" baseline="0">
              <a:solidFill>
                <a:schemeClr val="tx1"/>
              </a:solidFill>
              <a:effectLst/>
              <a:latin typeface="+mn-lt"/>
              <a:ea typeface="+mn-ea"/>
              <a:cs typeface="+mn-cs"/>
            </a:rPr>
            <a:t>(</a:t>
          </a:r>
          <a:r>
            <a:rPr lang="el-GR" sz="1100" baseline="0">
              <a:solidFill>
                <a:schemeClr val="tx1"/>
              </a:solidFill>
              <a:effectLst/>
              <a:latin typeface="+mn-lt"/>
              <a:ea typeface="+mn-ea"/>
              <a:cs typeface="+mn-cs"/>
            </a:rPr>
            <a:t>φύλλο </a:t>
          </a:r>
          <a:r>
            <a:rPr lang="en-US" sz="1100" baseline="0">
              <a:solidFill>
                <a:schemeClr val="tx1"/>
              </a:solidFill>
              <a:effectLst/>
              <a:latin typeface="+mn-lt"/>
              <a:ea typeface="+mn-ea"/>
              <a:cs typeface="+mn-cs"/>
            </a:rPr>
            <a:t>Kw,abs150bar)</a:t>
          </a:r>
          <a:r>
            <a:rPr lang="el-GR" sz="1100" b="0" i="0" u="none" strike="noStrike">
              <a:solidFill>
                <a:schemeClr val="tx1"/>
              </a:solidFill>
              <a:effectLst/>
              <a:latin typeface="+mn-lt"/>
              <a:ea typeface="+mn-ea"/>
              <a:cs typeface="+mn-cs"/>
            </a:rPr>
            <a:t>. Δηλαδή, η διαπερατότητα</a:t>
          </a:r>
          <a:r>
            <a:rPr lang="el-GR" sz="1100" b="0" i="0" u="none" strike="noStrike" baseline="0">
              <a:solidFill>
                <a:schemeClr val="tx1"/>
              </a:solidFill>
              <a:effectLst/>
              <a:latin typeface="+mn-lt"/>
              <a:ea typeface="+mn-ea"/>
              <a:cs typeface="+mn-cs"/>
            </a:rPr>
            <a:t> δεδομένης πτώσης πίεσης είναι 75.5 φορές μικρότερη για το απιοντισμένο νερό σε σχέση με το πόσιμο νερό</a:t>
          </a:r>
          <a:r>
            <a:rPr lang="en-US" sz="1100" b="0" i="0" u="none" strike="noStrike" baseline="0">
              <a:solidFill>
                <a:schemeClr val="tx1"/>
              </a:solidFill>
              <a:effectLst/>
              <a:latin typeface="+mn-lt"/>
              <a:ea typeface="+mn-ea"/>
              <a:cs typeface="+mn-cs"/>
            </a:rPr>
            <a:t>, </a:t>
          </a:r>
          <a:r>
            <a:rPr lang="el-GR" sz="1100" b="0" i="0" u="none" strike="noStrike" baseline="0">
              <a:solidFill>
                <a:schemeClr val="tx1"/>
              </a:solidFill>
              <a:effectLst/>
              <a:latin typeface="+mn-lt"/>
              <a:ea typeface="+mn-ea"/>
              <a:cs typeface="+mn-cs"/>
            </a:rPr>
            <a:t>ακόμα και αν η πίεση των υπερκειμένων είναι μεγαλύτερη.</a:t>
          </a:r>
          <a:endParaRPr lang="el-GR" sz="1100"/>
        </a:p>
      </xdr:txBody>
    </xdr:sp>
    <xdr:clientData/>
  </xdr:oneCellAnchor>
  <xdr:oneCellAnchor>
    <xdr:from>
      <xdr:col>15</xdr:col>
      <xdr:colOff>561975</xdr:colOff>
      <xdr:row>1</xdr:row>
      <xdr:rowOff>95250</xdr:rowOff>
    </xdr:from>
    <xdr:ext cx="2781300" cy="676275"/>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0277475" y="285750"/>
          <a:ext cx="2781300" cy="676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Ζύγιση</a:t>
          </a:r>
          <a:r>
            <a:rPr lang="el-GR" sz="1100" baseline="0"/>
            <a:t> του δοκιμίου των 8 </a:t>
          </a:r>
          <a:r>
            <a:rPr lang="en-US" sz="1100" baseline="0"/>
            <a:t>cm </a:t>
          </a:r>
          <a:r>
            <a:rPr lang="el-GR" sz="1100" baseline="0"/>
            <a:t>ξηρό και πλήρως κορεσμένο με νερό για τον υπολογισμό του πορώδους.</a:t>
          </a:r>
          <a:endParaRPr lang="el-GR"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26</xdr:col>
      <xdr:colOff>123825</xdr:colOff>
      <xdr:row>16</xdr:row>
      <xdr:rowOff>179070</xdr:rowOff>
    </xdr:from>
    <xdr:to>
      <xdr:col>36</xdr:col>
      <xdr:colOff>435428</xdr:colOff>
      <xdr:row>42</xdr:row>
      <xdr:rowOff>45720</xdr:rowOff>
    </xdr:to>
    <xdr:graphicFrame macro="">
      <xdr:nvGraphicFramePr>
        <xdr:cNvPr id="7" name="Γράφημα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915896</xdr:colOff>
      <xdr:row>1</xdr:row>
      <xdr:rowOff>47489</xdr:rowOff>
    </xdr:from>
    <xdr:to>
      <xdr:col>23</xdr:col>
      <xdr:colOff>401887</xdr:colOff>
      <xdr:row>25</xdr:row>
      <xdr:rowOff>88309</xdr:rowOff>
    </xdr:to>
    <xdr:graphicFrame macro="">
      <xdr:nvGraphicFramePr>
        <xdr:cNvPr id="2" name="Γράφημα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33</xdr:col>
      <xdr:colOff>511968</xdr:colOff>
      <xdr:row>0</xdr:row>
      <xdr:rowOff>178595</xdr:rowOff>
    </xdr:from>
    <xdr:ext cx="3857625" cy="738186"/>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23788687" y="178595"/>
          <a:ext cx="3857625" cy="738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μέση</a:t>
          </a:r>
          <a:r>
            <a:rPr lang="el-GR" sz="1100" baseline="0"/>
            <a:t> τιμή πίεσης και υπολογισμός ενεργής διαπερατότητας πετρελαίου στον μη περαιτέρω μειώσιμο βαθμό κορεσμού σε  νερό.</a:t>
          </a:r>
          <a:endParaRPr lang="el-GR" sz="1100"/>
        </a:p>
      </xdr:txBody>
    </xdr:sp>
    <xdr:clientData/>
  </xdr:oneCellAnchor>
  <xdr:oneCellAnchor>
    <xdr:from>
      <xdr:col>26</xdr:col>
      <xdr:colOff>202406</xdr:colOff>
      <xdr:row>8</xdr:row>
      <xdr:rowOff>35720</xdr:rowOff>
    </xdr:from>
    <xdr:ext cx="1631156" cy="964405"/>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7990344" y="1559720"/>
          <a:ext cx="1631156" cy="9644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Υπολογισμός</a:t>
          </a:r>
          <a:r>
            <a:rPr lang="el-GR" sz="1100" baseline="0"/>
            <a:t> τυπικής απόκλισης της πτώσης πίεσης για παροχή 5 </a:t>
          </a:r>
          <a:r>
            <a:rPr lang="en-US" sz="1100" baseline="0"/>
            <a:t>ml/min </a:t>
          </a:r>
          <a:r>
            <a:rPr lang="el-GR" sz="1100" baseline="0"/>
            <a:t>με διάστημα εμπιστοσύνης 99%.</a:t>
          </a:r>
          <a:endParaRPr lang="el-GR" sz="1100"/>
        </a:p>
      </xdr:txBody>
    </xdr:sp>
    <xdr:clientData/>
  </xdr:oneCellAnchor>
  <xdr:oneCellAnchor>
    <xdr:from>
      <xdr:col>30</xdr:col>
      <xdr:colOff>392907</xdr:colOff>
      <xdr:row>7</xdr:row>
      <xdr:rowOff>166688</xdr:rowOff>
    </xdr:from>
    <xdr:ext cx="1928812" cy="928687"/>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20978813" y="1500188"/>
          <a:ext cx="1928812" cy="9286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l-GR" sz="1100">
              <a:solidFill>
                <a:schemeClr val="tx1"/>
              </a:solidFill>
              <a:effectLst/>
              <a:latin typeface="+mn-lt"/>
              <a:ea typeface="+mn-ea"/>
              <a:cs typeface="+mn-cs"/>
            </a:rPr>
            <a:t>Υπολογισμός</a:t>
          </a:r>
          <a:r>
            <a:rPr lang="el-GR" sz="1100" baseline="0">
              <a:solidFill>
                <a:schemeClr val="tx1"/>
              </a:solidFill>
              <a:effectLst/>
              <a:latin typeface="+mn-lt"/>
              <a:ea typeface="+mn-ea"/>
              <a:cs typeface="+mn-cs"/>
            </a:rPr>
            <a:t> τυπικής απόκλισης της πτώσης πίεσης για παροχή 7 </a:t>
          </a:r>
          <a:r>
            <a:rPr lang="en-US" sz="1100" baseline="0">
              <a:solidFill>
                <a:schemeClr val="tx1"/>
              </a:solidFill>
              <a:effectLst/>
              <a:latin typeface="+mn-lt"/>
              <a:ea typeface="+mn-ea"/>
              <a:cs typeface="+mn-cs"/>
            </a:rPr>
            <a:t>ml/min </a:t>
          </a:r>
          <a:r>
            <a:rPr lang="el-GR" sz="1100" baseline="0">
              <a:solidFill>
                <a:schemeClr val="tx1"/>
              </a:solidFill>
              <a:effectLst/>
              <a:latin typeface="+mn-lt"/>
              <a:ea typeface="+mn-ea"/>
              <a:cs typeface="+mn-cs"/>
            </a:rPr>
            <a:t>με διάστημα εμπιστοσύνης 99%.</a:t>
          </a:r>
          <a:endParaRPr lang="el-GR">
            <a:effectLst/>
          </a:endParaRPr>
        </a:p>
        <a:p>
          <a:endParaRPr lang="el-GR" sz="1100"/>
        </a:p>
      </xdr:txBody>
    </xdr:sp>
    <xdr:clientData/>
  </xdr:oneCellAnchor>
  <xdr:oneCellAnchor>
    <xdr:from>
      <xdr:col>36</xdr:col>
      <xdr:colOff>0</xdr:colOff>
      <xdr:row>8</xdr:row>
      <xdr:rowOff>0</xdr:rowOff>
    </xdr:from>
    <xdr:ext cx="1750219" cy="976312"/>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25276969" y="1524000"/>
          <a:ext cx="1750219" cy="9763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l-GR" sz="1100">
              <a:solidFill>
                <a:schemeClr val="tx1"/>
              </a:solidFill>
              <a:effectLst/>
              <a:latin typeface="+mn-lt"/>
              <a:ea typeface="+mn-ea"/>
              <a:cs typeface="+mn-cs"/>
            </a:rPr>
            <a:t>Υπολογισμός</a:t>
          </a:r>
          <a:r>
            <a:rPr lang="el-GR" sz="1100" baseline="0">
              <a:solidFill>
                <a:schemeClr val="tx1"/>
              </a:solidFill>
              <a:effectLst/>
              <a:latin typeface="+mn-lt"/>
              <a:ea typeface="+mn-ea"/>
              <a:cs typeface="+mn-cs"/>
            </a:rPr>
            <a:t> τυπικής απόκλισης της πτώσης πίεσης για παροχή 10 </a:t>
          </a:r>
          <a:r>
            <a:rPr lang="en-US" sz="1100" baseline="0">
              <a:solidFill>
                <a:schemeClr val="tx1"/>
              </a:solidFill>
              <a:effectLst/>
              <a:latin typeface="+mn-lt"/>
              <a:ea typeface="+mn-ea"/>
              <a:cs typeface="+mn-cs"/>
            </a:rPr>
            <a:t>ml/min </a:t>
          </a:r>
          <a:r>
            <a:rPr lang="el-GR" sz="1100" baseline="0">
              <a:solidFill>
                <a:schemeClr val="tx1"/>
              </a:solidFill>
              <a:effectLst/>
              <a:latin typeface="+mn-lt"/>
              <a:ea typeface="+mn-ea"/>
              <a:cs typeface="+mn-cs"/>
            </a:rPr>
            <a:t>με διάστημα εμπιστοσύνης 99%.</a:t>
          </a:r>
          <a:endParaRPr lang="el-GR">
            <a:effectLst/>
          </a:endParaRPr>
        </a:p>
        <a:p>
          <a:endParaRPr lang="el-GR" sz="1100"/>
        </a:p>
      </xdr:txBody>
    </xdr:sp>
    <xdr:clientData/>
  </xdr:oneCellAnchor>
  <xdr:oneCellAnchor>
    <xdr:from>
      <xdr:col>38</xdr:col>
      <xdr:colOff>130627</xdr:colOff>
      <xdr:row>23</xdr:row>
      <xdr:rowOff>66673</xdr:rowOff>
    </xdr:from>
    <xdr:ext cx="3254830" cy="2262869"/>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28444370" y="4322987"/>
          <a:ext cx="3254830" cy="2262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Η</a:t>
          </a:r>
          <a:r>
            <a:rPr lang="el-GR" sz="1100" baseline="0"/>
            <a:t> ενεργή διαπερατότητα του πετρελαίου στο μη περαιτέρω μειώσιμο βαθμό κορεσμού σε νερό ακολουθεί το νόμο του </a:t>
          </a:r>
          <a:r>
            <a:rPr lang="en-US" sz="1100" baseline="0"/>
            <a:t>darcy.  </a:t>
          </a:r>
          <a:r>
            <a:rPr lang="el-GR" sz="1100" baseline="0"/>
            <a:t>Επιπλέον  φαίνεται πως η το πέτρωμα είνιαι υδατοδιαβρεχτό γιατί  το πετρέλαιο δεν αναγκάζεται να περάσει από τους μικρούς πόρους και ως εκ τούτο δεν παρατηρείται κάποια οριακή τιμή στη πτώση πίεσης για να προκληθεί ροή. Από την άλλη πλευρά αυτό δε σημαίνει πως αυτή η συμπεριφορά θα συνεχιστεί αν σε μεγαλύτερες πιέσεις εκτοπιστεί νερό απ' τους μικρότερους πόρους.</a:t>
          </a:r>
          <a:endParaRPr lang="el-GR" sz="1100"/>
        </a:p>
      </xdr:txBody>
    </xdr:sp>
    <xdr:clientData/>
  </xdr:oneCellAnchor>
  <xdr:oneCellAnchor>
    <xdr:from>
      <xdr:col>16</xdr:col>
      <xdr:colOff>285749</xdr:colOff>
      <xdr:row>74</xdr:row>
      <xdr:rowOff>0</xdr:rowOff>
    </xdr:from>
    <xdr:ext cx="2028825" cy="1125693"/>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1582399" y="14097000"/>
          <a:ext cx="2028825"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l-GR" sz="1100"/>
            <a:t>Μέτρηση</a:t>
          </a:r>
          <a:r>
            <a:rPr lang="el-GR" sz="1100" baseline="0"/>
            <a:t> του μη περεταίρω μειώσιμου βαθμού κορεσμού σε νερό. Ο βαθμός κορεσμού είναι μεγάλος και θα πρέπει να διαπιστωθεί αν υπάρχουν τριχοειδή φαινόμενα εκροής.</a:t>
          </a:r>
          <a:endParaRPr lang="el-GR" sz="1100"/>
        </a:p>
      </xdr:txBody>
    </xdr:sp>
    <xdr:clientData/>
  </xdr:oneCellAnchor>
  <xdr:oneCellAnchor>
    <xdr:from>
      <xdr:col>11</xdr:col>
      <xdr:colOff>169333</xdr:colOff>
      <xdr:row>25</xdr:row>
      <xdr:rowOff>137583</xdr:rowOff>
    </xdr:from>
    <xdr:ext cx="2912533" cy="1375834"/>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7725833" y="4900083"/>
          <a:ext cx="2912533" cy="1375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Η</a:t>
          </a:r>
          <a:r>
            <a:rPr lang="el-GR" sz="1100" baseline="0"/>
            <a:t> μανομετρική παροχή σταθεροποιείται πολύ ταχύτερα για το πετρέλαιο σε μικρότερες τιμές και για υψηλοτερες παροχές. Άρα το περέλαιο έχει μία τάση να διέρχεται των μεγαλύτερων πόρων. Το διάγραμμα αυτό σε σχέση με το διάγραμμα του νερού υποδεικνύει την υδατοδιαβρεχτή φύση του δοκιμίου.</a:t>
          </a:r>
          <a:endParaRPr lang="el-GR"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13</xdr:col>
      <xdr:colOff>169544</xdr:colOff>
      <xdr:row>104</xdr:row>
      <xdr:rowOff>49530</xdr:rowOff>
    </xdr:from>
    <xdr:to>
      <xdr:col>24</xdr:col>
      <xdr:colOff>487680</xdr:colOff>
      <xdr:row>126</xdr:row>
      <xdr:rowOff>175260</xdr:rowOff>
    </xdr:to>
    <xdr:graphicFrame macro="">
      <xdr:nvGraphicFramePr>
        <xdr:cNvPr id="5" name="Γράφημα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562840</xdr:colOff>
      <xdr:row>118</xdr:row>
      <xdr:rowOff>38099</xdr:rowOff>
    </xdr:from>
    <xdr:to>
      <xdr:col>37</xdr:col>
      <xdr:colOff>552449</xdr:colOff>
      <xdr:row>139</xdr:row>
      <xdr:rowOff>133350</xdr:rowOff>
    </xdr:to>
    <xdr:graphicFrame macro="">
      <xdr:nvGraphicFramePr>
        <xdr:cNvPr id="7" name="Γράφημα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650929</xdr:colOff>
      <xdr:row>15</xdr:row>
      <xdr:rowOff>15185</xdr:rowOff>
    </xdr:from>
    <xdr:to>
      <xdr:col>26</xdr:col>
      <xdr:colOff>802005</xdr:colOff>
      <xdr:row>42</xdr:row>
      <xdr:rowOff>31909</xdr:rowOff>
    </xdr:to>
    <xdr:graphicFrame macro="">
      <xdr:nvGraphicFramePr>
        <xdr:cNvPr id="14" name="Γράφημα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20</xdr:col>
      <xdr:colOff>309563</xdr:colOff>
      <xdr:row>1</xdr:row>
      <xdr:rowOff>166689</xdr:rowOff>
    </xdr:from>
    <xdr:ext cx="3417093" cy="702468"/>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3608844" y="357189"/>
          <a:ext cx="3417093" cy="7024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Ζύγιση</a:t>
          </a:r>
          <a:r>
            <a:rPr lang="el-GR" sz="1100" baseline="0"/>
            <a:t> ξηρού δοκιμίου και πλήρως κορεσμένου με νερό για τον προσδιορισμό του  πορώδους.</a:t>
          </a:r>
          <a:endParaRPr lang="el-GR" sz="1100"/>
        </a:p>
      </xdr:txBody>
    </xdr:sp>
    <xdr:clientData/>
  </xdr:oneCellAnchor>
  <xdr:oneCellAnchor>
    <xdr:from>
      <xdr:col>26</xdr:col>
      <xdr:colOff>571500</xdr:colOff>
      <xdr:row>29</xdr:row>
      <xdr:rowOff>66674</xdr:rowOff>
    </xdr:from>
    <xdr:ext cx="1988343"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7609344" y="5591174"/>
          <a:ext cx="19883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l-GR" sz="1100"/>
        </a:p>
      </xdr:txBody>
    </xdr:sp>
    <xdr:clientData/>
  </xdr:oneCellAnchor>
  <xdr:oneCellAnchor>
    <xdr:from>
      <xdr:col>27</xdr:col>
      <xdr:colOff>95250</xdr:colOff>
      <xdr:row>29</xdr:row>
      <xdr:rowOff>66674</xdr:rowOff>
    </xdr:from>
    <xdr:ext cx="3500436" cy="623889"/>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18561844" y="5591174"/>
          <a:ext cx="3500436" cy="6238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Η μανομετρική πίεση σταθεροποιείται  ταχύτερα</a:t>
          </a:r>
          <a:r>
            <a:rPr lang="el-GR" sz="1100" baseline="0"/>
            <a:t> απ' ότι σε χαμηλότερες παροχές αν συγκριθεί με το διάγραμμα σε πίεση υπερκειμένων 60 </a:t>
          </a:r>
          <a:r>
            <a:rPr lang="en-US" sz="1100" baseline="0"/>
            <a:t>bar.</a:t>
          </a:r>
          <a:endParaRPr lang="el-GR" sz="1100"/>
        </a:p>
      </xdr:txBody>
    </xdr:sp>
    <xdr:clientData/>
  </xdr:oneCellAnchor>
  <xdr:oneCellAnchor>
    <xdr:from>
      <xdr:col>23</xdr:col>
      <xdr:colOff>0</xdr:colOff>
      <xdr:row>90</xdr:row>
      <xdr:rowOff>106680</xdr:rowOff>
    </xdr:from>
    <xdr:ext cx="796636" cy="655319"/>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16878300" y="16565880"/>
          <a:ext cx="796636" cy="655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Οριακή</a:t>
          </a:r>
          <a:r>
            <a:rPr lang="el-GR" sz="1100" baseline="0"/>
            <a:t> πτώση πίεσης</a:t>
          </a:r>
          <a:endParaRPr lang="el-GR" sz="1100"/>
        </a:p>
      </xdr:txBody>
    </xdr:sp>
    <xdr:clientData/>
  </xdr:oneCellAnchor>
  <xdr:oneCellAnchor>
    <xdr:from>
      <xdr:col>17</xdr:col>
      <xdr:colOff>121227</xdr:colOff>
      <xdr:row>128</xdr:row>
      <xdr:rowOff>129885</xdr:rowOff>
    </xdr:from>
    <xdr:ext cx="3082636" cy="1402773"/>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12174682" y="24513885"/>
          <a:ext cx="3082636" cy="14027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Διαγράμματα</a:t>
          </a:r>
          <a:r>
            <a:rPr lang="el-GR" sz="1100" baseline="0"/>
            <a:t> παροχής συναρτήσει της πτώσης πίεσης για χαμηλές και υψηλές παροχές. Διαφοροποιήσεις στις οριακές πτώσεις πίεσης παρατηρούνται γιατί όσο μικραίνει η παροχή, οι όλο και μικρότεροι πόροι δε θα συμμετέχουν στη ροή γιατί απαιτούν μία οριακή πτώση πίεσης που δεν αρκεί για να διέρθει το νερό απ' αυτούς. </a:t>
          </a:r>
          <a:endParaRPr lang="el-GR" sz="1100"/>
        </a:p>
      </xdr:txBody>
    </xdr:sp>
    <xdr:clientData/>
  </xdr:oneCellAnchor>
  <xdr:oneCellAnchor>
    <xdr:from>
      <xdr:col>33</xdr:col>
      <xdr:colOff>269876</xdr:colOff>
      <xdr:row>104</xdr:row>
      <xdr:rowOff>31751</xdr:rowOff>
    </xdr:from>
    <xdr:ext cx="6527800" cy="1666874"/>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23717251" y="19843751"/>
              <a:ext cx="6527800" cy="16668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l-GR" sz="1100"/>
                <a:t>Υπολογίζονται οι μέσες</a:t>
              </a:r>
              <a:r>
                <a:rPr lang="el-GR" sz="1100" baseline="0"/>
                <a:t> τιμές της πτώσης πίεσης και παροχής για δύο πειραματικά σημεία. Η εξίσωση </a:t>
              </a:r>
              <a:r>
                <a:rPr lang="en-US" sz="1100" baseline="0"/>
                <a:t>Buckinghum-Reiner </a:t>
              </a:r>
              <a:r>
                <a:rPr lang="el-GR" sz="1100" baseline="0"/>
                <a:t>εξισώνοντας τη παροχή με το νομο του </a:t>
              </a:r>
              <a:r>
                <a:rPr lang="en-US" sz="1100" baseline="0"/>
                <a:t>Darcy, </a:t>
              </a:r>
              <a:r>
                <a:rPr lang="el-GR" sz="1100" baseline="0"/>
                <a:t>εκφράζει την εξίσωση της απόλυτης διαπερατότητας συναρτήσει της πτώση πίεσης. Οι άγνωστοι στην εξίσωση είναι η  ακτίνα των πόρων  και η οριακή διατμητική τάση που απαιτείται να ασκήσει το ένα στρώμα ρευστού στην επιφάνεια του άλλου για να προκληθεί ροή. Αν διαιρεθούν κατά μέλη οι εξισώσεις  </a:t>
              </a:r>
              <a:r>
                <a:rPr lang="en-US" sz="1100" baseline="0"/>
                <a:t>B-R </a:t>
              </a:r>
              <a:r>
                <a:rPr lang="el-GR" sz="1100" baseline="0"/>
                <a:t>για τα δύο πειραματικά σημεία θα δώσουν την εξίσωση </a:t>
              </a:r>
              <a14:m>
                <m:oMath xmlns:m="http://schemas.openxmlformats.org/officeDocument/2006/math">
                  <m:r>
                    <a:rPr lang="el-GR" sz="1100" b="1" i="1">
                      <a:solidFill>
                        <a:schemeClr val="tx1"/>
                      </a:solidFill>
                      <a:effectLst/>
                      <a:latin typeface="Cambria Math"/>
                      <a:ea typeface="+mn-ea"/>
                      <a:cs typeface="+mn-cs"/>
                    </a:rPr>
                    <m:t>𝜶</m:t>
                  </m:r>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a:ea typeface="+mn-ea"/>
                          <a:cs typeface="+mn-cs"/>
                        </a:rPr>
                        <m:t>𝒙</m:t>
                      </m:r>
                    </m:e>
                    <m:sup>
                      <m:r>
                        <a:rPr lang="en-US" sz="1100" b="1" i="1">
                          <a:solidFill>
                            <a:schemeClr val="tx1"/>
                          </a:solidFill>
                          <a:effectLst/>
                          <a:latin typeface="Cambria Math"/>
                          <a:ea typeface="+mn-ea"/>
                          <a:cs typeface="+mn-cs"/>
                        </a:rPr>
                        <m:t>𝟒</m:t>
                      </m:r>
                    </m:sup>
                  </m:sSup>
                  <m:r>
                    <a:rPr lang="en-US" sz="1100" b="1" i="1">
                      <a:solidFill>
                        <a:schemeClr val="tx1"/>
                      </a:solidFill>
                      <a:effectLst/>
                      <a:latin typeface="Cambria Math"/>
                      <a:ea typeface="+mn-ea"/>
                      <a:cs typeface="+mn-cs"/>
                    </a:rPr>
                    <m:t>+</m:t>
                  </m:r>
                  <m:r>
                    <a:rPr lang="el-GR" sz="1100" b="1" i="1">
                      <a:solidFill>
                        <a:schemeClr val="tx1"/>
                      </a:solidFill>
                      <a:effectLst/>
                      <a:latin typeface="Cambria Math"/>
                      <a:ea typeface="+mn-ea"/>
                      <a:cs typeface="+mn-cs"/>
                    </a:rPr>
                    <m:t>𝜷</m:t>
                  </m:r>
                  <m:r>
                    <a:rPr lang="en-US" sz="1100" b="1" i="1">
                      <a:solidFill>
                        <a:schemeClr val="tx1"/>
                      </a:solidFill>
                      <a:effectLst/>
                      <a:latin typeface="Cambria Math"/>
                      <a:ea typeface="+mn-ea"/>
                      <a:cs typeface="+mn-cs"/>
                    </a:rPr>
                    <m:t>𝒙</m:t>
                  </m:r>
                  <m:r>
                    <a:rPr lang="en-US" sz="1100" b="1" i="1">
                      <a:solidFill>
                        <a:schemeClr val="tx1"/>
                      </a:solidFill>
                      <a:effectLst/>
                      <a:latin typeface="Cambria Math"/>
                      <a:ea typeface="+mn-ea"/>
                      <a:cs typeface="+mn-cs"/>
                    </a:rPr>
                    <m:t>+</m:t>
                  </m:r>
                  <m:r>
                    <a:rPr lang="el-GR" sz="1100" b="1" i="1">
                      <a:solidFill>
                        <a:schemeClr val="tx1"/>
                      </a:solidFill>
                      <a:effectLst/>
                      <a:latin typeface="Cambria Math"/>
                      <a:ea typeface="+mn-ea"/>
                      <a:cs typeface="+mn-cs"/>
                    </a:rPr>
                    <m:t>𝜸</m:t>
                  </m:r>
                  <m:r>
                    <a:rPr lang="el-GR" sz="1100" b="1" i="1">
                      <a:solidFill>
                        <a:schemeClr val="tx1"/>
                      </a:solidFill>
                      <a:effectLst/>
                      <a:latin typeface="Cambria Math"/>
                      <a:ea typeface="+mn-ea"/>
                      <a:cs typeface="+mn-cs"/>
                    </a:rPr>
                    <m:t>=</m:t>
                  </m:r>
                  <m:r>
                    <a:rPr lang="el-GR" sz="1100" b="1" i="1">
                      <a:solidFill>
                        <a:schemeClr val="tx1"/>
                      </a:solidFill>
                      <a:effectLst/>
                      <a:latin typeface="Cambria Math"/>
                      <a:ea typeface="+mn-ea"/>
                      <a:cs typeface="+mn-cs"/>
                    </a:rPr>
                    <m:t>𝟎</m:t>
                  </m:r>
                </m:oMath>
              </a14:m>
              <a:r>
                <a:rPr lang="el-GR">
                  <a:effectLst/>
                </a:rPr>
                <a:t>. Ο λόγος της διατμητικής</a:t>
              </a:r>
              <a:r>
                <a:rPr lang="el-GR" baseline="0">
                  <a:effectLst/>
                </a:rPr>
                <a:t> τάσης προς την ακτίνα των πόρων είναι η ανεξάρτητη μεταβλητή. Με τη μέθοδο </a:t>
              </a:r>
              <a:r>
                <a:rPr lang="en-US" baseline="0">
                  <a:effectLst/>
                </a:rPr>
                <a:t>Newton-Raphson </a:t>
              </a:r>
              <a:r>
                <a:rPr lang="el-GR" baseline="0">
                  <a:effectLst/>
                </a:rPr>
                <a:t>προσεγγίζεται η ρίζα της εξίσωσης μετά από 3 επαναλλήψεις. Από την εξίσωση </a:t>
              </a:r>
              <a:r>
                <a:rPr lang="en-US" baseline="0">
                  <a:effectLst/>
                </a:rPr>
                <a:t>Buckinghum-Reiner </a:t>
              </a:r>
              <a:r>
                <a:rPr lang="el-GR" baseline="0">
                  <a:effectLst/>
                </a:rPr>
                <a:t>σχεδιάζεται τ</a:t>
              </a:r>
              <a:r>
                <a:rPr lang="en-US" baseline="0">
                  <a:effectLst/>
                </a:rPr>
                <a:t>o</a:t>
              </a:r>
              <a:r>
                <a:rPr lang="el-GR" baseline="0">
                  <a:effectLst/>
                </a:rPr>
                <a:t> διάγραμμα </a:t>
              </a:r>
              <a:r>
                <a:rPr lang="en-US" baseline="0">
                  <a:effectLst/>
                </a:rPr>
                <a:t>K</a:t>
              </a:r>
              <a:r>
                <a:rPr lang="en-US" sz="1000" baseline="0">
                  <a:effectLst/>
                </a:rPr>
                <a:t>abs</a:t>
              </a:r>
              <a:r>
                <a:rPr lang="en-US" sz="1100" baseline="0">
                  <a:effectLst/>
                </a:rPr>
                <a:t>(</a:t>
              </a:r>
              <a:r>
                <a:rPr lang="el-GR" sz="1100" baseline="0">
                  <a:effectLst/>
                </a:rPr>
                <a:t>Δ</a:t>
              </a:r>
              <a:r>
                <a:rPr lang="en-US" sz="1100" baseline="0">
                  <a:effectLst/>
                </a:rPr>
                <a:t>P) </a:t>
              </a:r>
              <a:r>
                <a:rPr lang="el-GR" sz="1100" baseline="0">
                  <a:effectLst/>
                </a:rPr>
                <a:t>και από το νόμο του </a:t>
              </a:r>
              <a:r>
                <a:rPr lang="en-US" sz="1100" baseline="0">
                  <a:effectLst/>
                </a:rPr>
                <a:t>Darcy </a:t>
              </a:r>
              <a:r>
                <a:rPr lang="el-GR" sz="1100" baseline="0">
                  <a:effectLst/>
                </a:rPr>
                <a:t>το</a:t>
              </a:r>
              <a:r>
                <a:rPr lang="en-US" sz="1100" baseline="0">
                  <a:effectLst/>
                </a:rPr>
                <a:t> </a:t>
              </a:r>
              <a:r>
                <a:rPr lang="en-US" sz="1100" baseline="0">
                  <a:solidFill>
                    <a:schemeClr val="tx1"/>
                  </a:solidFill>
                  <a:effectLst/>
                  <a:latin typeface="+mn-lt"/>
                  <a:ea typeface="+mn-ea"/>
                  <a:cs typeface="+mn-cs"/>
                </a:rPr>
                <a:t>Q(</a:t>
              </a:r>
              <a:r>
                <a:rPr lang="el-GR" sz="1100" baseline="0">
                  <a:solidFill>
                    <a:schemeClr val="tx1"/>
                  </a:solidFill>
                  <a:effectLst/>
                  <a:latin typeface="+mn-lt"/>
                  <a:ea typeface="+mn-ea"/>
                  <a:cs typeface="+mn-cs"/>
                </a:rPr>
                <a:t>Δ</a:t>
              </a:r>
              <a:r>
                <a:rPr lang="en-US" sz="1100" baseline="0">
                  <a:solidFill>
                    <a:schemeClr val="tx1"/>
                  </a:solidFill>
                  <a:effectLst/>
                  <a:latin typeface="+mn-lt"/>
                  <a:ea typeface="+mn-ea"/>
                  <a:cs typeface="+mn-cs"/>
                </a:rPr>
                <a:t>P)</a:t>
              </a:r>
              <a:r>
                <a:rPr lang="el-GR" sz="1100" baseline="0">
                  <a:solidFill>
                    <a:schemeClr val="tx1"/>
                  </a:solidFill>
                  <a:effectLst/>
                  <a:latin typeface="+mn-lt"/>
                  <a:ea typeface="+mn-ea"/>
                  <a:cs typeface="+mn-cs"/>
                </a:rPr>
                <a:t>.</a:t>
              </a:r>
              <a:endParaRPr lang="el-GR">
                <a:effectLst/>
              </a:endParaRPr>
            </a:p>
            <a:p>
              <a:endParaRPr lang="el-GR" sz="1100"/>
            </a:p>
          </xdr:txBody>
        </xdr:sp>
      </mc:Choice>
      <mc:Fallback xmlns="">
        <xdr:sp macro="" textlink="">
          <xdr:nvSpPr>
            <xdr:cNvPr id="13" name="TextBox 12"/>
            <xdr:cNvSpPr txBox="1"/>
          </xdr:nvSpPr>
          <xdr:spPr>
            <a:xfrm>
              <a:off x="23717251" y="19843751"/>
              <a:ext cx="6527800" cy="16668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l-GR" sz="1100"/>
                <a:t>Υπολογίζονται οι μέσες</a:t>
              </a:r>
              <a:r>
                <a:rPr lang="el-GR" sz="1100" baseline="0"/>
                <a:t> τιμές της πτώσης πίεσης και παροχής για δύο πειραματικά σημεία. Η εξίσωση </a:t>
              </a:r>
              <a:r>
                <a:rPr lang="en-US" sz="1100" baseline="0"/>
                <a:t>Buckinghum-Reiner </a:t>
              </a:r>
              <a:r>
                <a:rPr lang="el-GR" sz="1100" baseline="0"/>
                <a:t>εξισώνοντας τη παροχή με το νομο του </a:t>
              </a:r>
              <a:r>
                <a:rPr lang="en-US" sz="1100" baseline="0"/>
                <a:t>Darcy, </a:t>
              </a:r>
              <a:r>
                <a:rPr lang="el-GR" sz="1100" baseline="0"/>
                <a:t>εκφράζει την εξίσωση της απόλυτης διαπερατότητας συναρτήσει της πτώση πίεσης. Οι άγνωστοι στην εξίσωση είναι η  ακτίνα των πόρων  και η οριακή διατμητική τάση που απαιτείται να ασκήσει το ένα στρώμα ρευστού στην επιφάνεια του άλλου για να προκληθεί ροή. Αν διαιρεθούν κατά μέλη οι εξισώσεις  </a:t>
              </a:r>
              <a:r>
                <a:rPr lang="en-US" sz="1100" baseline="0"/>
                <a:t>B-R </a:t>
              </a:r>
              <a:r>
                <a:rPr lang="el-GR" sz="1100" baseline="0"/>
                <a:t>για τα δύο πειραματικά σημεία θα δώσουν την εξίσωση </a:t>
              </a:r>
              <a:r>
                <a:rPr lang="el-GR" sz="1100" b="1" i="0">
                  <a:solidFill>
                    <a:schemeClr val="tx1"/>
                  </a:solidFill>
                  <a:effectLst/>
                  <a:latin typeface="Cambria Math"/>
                  <a:ea typeface="+mn-ea"/>
                  <a:cs typeface="+mn-cs"/>
                </a:rPr>
                <a:t>𝜶</a:t>
              </a:r>
              <a:r>
                <a:rPr lang="en-US" sz="1100" b="1" i="0">
                  <a:solidFill>
                    <a:schemeClr val="tx1"/>
                  </a:solidFill>
                  <a:effectLst/>
                  <a:latin typeface="Cambria Math"/>
                  <a:ea typeface="+mn-ea"/>
                  <a:cs typeface="+mn-cs"/>
                </a:rPr>
                <a:t>𝒙</a:t>
              </a:r>
              <a:r>
                <a:rPr lang="el-GR" sz="1100" b="1" i="0">
                  <a:solidFill>
                    <a:schemeClr val="tx1"/>
                  </a:solidFill>
                  <a:effectLst/>
                  <a:latin typeface="Cambria Math"/>
                  <a:ea typeface="+mn-ea"/>
                  <a:cs typeface="+mn-cs"/>
                </a:rPr>
                <a:t>^</a:t>
              </a:r>
              <a:r>
                <a:rPr lang="en-US" sz="1100" b="1" i="0">
                  <a:solidFill>
                    <a:schemeClr val="tx1"/>
                  </a:solidFill>
                  <a:effectLst/>
                  <a:latin typeface="Cambria Math"/>
                  <a:ea typeface="+mn-ea"/>
                  <a:cs typeface="+mn-cs"/>
                </a:rPr>
                <a:t>𝟒+</a:t>
              </a:r>
              <a:r>
                <a:rPr lang="el-GR" sz="1100" b="1" i="0">
                  <a:solidFill>
                    <a:schemeClr val="tx1"/>
                  </a:solidFill>
                  <a:effectLst/>
                  <a:latin typeface="Cambria Math"/>
                  <a:ea typeface="+mn-ea"/>
                  <a:cs typeface="+mn-cs"/>
                </a:rPr>
                <a:t>𝜷</a:t>
              </a:r>
              <a:r>
                <a:rPr lang="en-US" sz="1100" b="1" i="0">
                  <a:solidFill>
                    <a:schemeClr val="tx1"/>
                  </a:solidFill>
                  <a:effectLst/>
                  <a:latin typeface="Cambria Math"/>
                  <a:ea typeface="+mn-ea"/>
                  <a:cs typeface="+mn-cs"/>
                </a:rPr>
                <a:t>𝒙+</a:t>
              </a:r>
              <a:r>
                <a:rPr lang="el-GR" sz="1100" b="1" i="0">
                  <a:solidFill>
                    <a:schemeClr val="tx1"/>
                  </a:solidFill>
                  <a:effectLst/>
                  <a:latin typeface="Cambria Math"/>
                  <a:ea typeface="+mn-ea"/>
                  <a:cs typeface="+mn-cs"/>
                </a:rPr>
                <a:t>𝜸=𝟎</a:t>
              </a:r>
              <a:r>
                <a:rPr lang="el-GR">
                  <a:effectLst/>
                </a:rPr>
                <a:t>. Ο λόγος της διατμητικής</a:t>
              </a:r>
              <a:r>
                <a:rPr lang="el-GR" baseline="0">
                  <a:effectLst/>
                </a:rPr>
                <a:t> τάσης προς την ακτίνα των πόρων είναι η ανεξάρτητη μεταβλητή. Με τη μέθοδο </a:t>
              </a:r>
              <a:r>
                <a:rPr lang="en-US" baseline="0">
                  <a:effectLst/>
                </a:rPr>
                <a:t>Newton-Raphson </a:t>
              </a:r>
              <a:r>
                <a:rPr lang="el-GR" baseline="0">
                  <a:effectLst/>
                </a:rPr>
                <a:t>προσεγγίζεται η ρίζα της εξίσωσης μετά από 3 επαναλλήψεις. Από την εξίσωση </a:t>
              </a:r>
              <a:r>
                <a:rPr lang="en-US" baseline="0">
                  <a:effectLst/>
                </a:rPr>
                <a:t>Buckinghum-Reiner </a:t>
              </a:r>
              <a:r>
                <a:rPr lang="el-GR" baseline="0">
                  <a:effectLst/>
                </a:rPr>
                <a:t>σχεδιάζεται τ</a:t>
              </a:r>
              <a:r>
                <a:rPr lang="en-US" baseline="0">
                  <a:effectLst/>
                </a:rPr>
                <a:t>o</a:t>
              </a:r>
              <a:r>
                <a:rPr lang="el-GR" baseline="0">
                  <a:effectLst/>
                </a:rPr>
                <a:t> διάγραμμα </a:t>
              </a:r>
              <a:r>
                <a:rPr lang="en-US" baseline="0">
                  <a:effectLst/>
                </a:rPr>
                <a:t>K</a:t>
              </a:r>
              <a:r>
                <a:rPr lang="en-US" sz="1000" baseline="0">
                  <a:effectLst/>
                </a:rPr>
                <a:t>abs</a:t>
              </a:r>
              <a:r>
                <a:rPr lang="en-US" sz="1100" baseline="0">
                  <a:effectLst/>
                </a:rPr>
                <a:t>(</a:t>
              </a:r>
              <a:r>
                <a:rPr lang="el-GR" sz="1100" baseline="0">
                  <a:effectLst/>
                </a:rPr>
                <a:t>Δ</a:t>
              </a:r>
              <a:r>
                <a:rPr lang="en-US" sz="1100" baseline="0">
                  <a:effectLst/>
                </a:rPr>
                <a:t>P) </a:t>
              </a:r>
              <a:r>
                <a:rPr lang="el-GR" sz="1100" baseline="0">
                  <a:effectLst/>
                </a:rPr>
                <a:t>και από το νόμο του </a:t>
              </a:r>
              <a:r>
                <a:rPr lang="en-US" sz="1100" baseline="0">
                  <a:effectLst/>
                </a:rPr>
                <a:t>Darcy </a:t>
              </a:r>
              <a:r>
                <a:rPr lang="el-GR" sz="1100" baseline="0">
                  <a:effectLst/>
                </a:rPr>
                <a:t>το</a:t>
              </a:r>
              <a:r>
                <a:rPr lang="en-US" sz="1100" baseline="0">
                  <a:effectLst/>
                </a:rPr>
                <a:t> </a:t>
              </a:r>
              <a:r>
                <a:rPr lang="en-US" sz="1100" baseline="0">
                  <a:solidFill>
                    <a:schemeClr val="tx1"/>
                  </a:solidFill>
                  <a:effectLst/>
                  <a:latin typeface="+mn-lt"/>
                  <a:ea typeface="+mn-ea"/>
                  <a:cs typeface="+mn-cs"/>
                </a:rPr>
                <a:t>Q(</a:t>
              </a:r>
              <a:r>
                <a:rPr lang="el-GR" sz="1100" baseline="0">
                  <a:solidFill>
                    <a:schemeClr val="tx1"/>
                  </a:solidFill>
                  <a:effectLst/>
                  <a:latin typeface="+mn-lt"/>
                  <a:ea typeface="+mn-ea"/>
                  <a:cs typeface="+mn-cs"/>
                </a:rPr>
                <a:t>Δ</a:t>
              </a:r>
              <a:r>
                <a:rPr lang="en-US" sz="1100" baseline="0">
                  <a:solidFill>
                    <a:schemeClr val="tx1"/>
                  </a:solidFill>
                  <a:effectLst/>
                  <a:latin typeface="+mn-lt"/>
                  <a:ea typeface="+mn-ea"/>
                  <a:cs typeface="+mn-cs"/>
                </a:rPr>
                <a:t>P)</a:t>
              </a:r>
              <a:r>
                <a:rPr lang="el-GR" sz="1100" baseline="0">
                  <a:solidFill>
                    <a:schemeClr val="tx1"/>
                  </a:solidFill>
                  <a:effectLst/>
                  <a:latin typeface="+mn-lt"/>
                  <a:ea typeface="+mn-ea"/>
                  <a:cs typeface="+mn-cs"/>
                </a:rPr>
                <a:t>.</a:t>
              </a:r>
              <a:endParaRPr lang="el-GR">
                <a:effectLst/>
              </a:endParaRPr>
            </a:p>
            <a:p>
              <a:endParaRPr lang="el-GR" sz="1100"/>
            </a:p>
          </xdr:txBody>
        </xdr:sp>
      </mc:Fallback>
    </mc:AlternateContent>
    <xdr:clientData/>
  </xdr:oneCellAnchor>
  <xdr:oneCellAnchor>
    <xdr:from>
      <xdr:col>15</xdr:col>
      <xdr:colOff>486832</xdr:colOff>
      <xdr:row>90</xdr:row>
      <xdr:rowOff>93133</xdr:rowOff>
    </xdr:from>
    <xdr:ext cx="2741083" cy="609013"/>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11366499" y="17238133"/>
          <a:ext cx="2741083"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l-GR" sz="1100"/>
            <a:t>Τιμές</a:t>
          </a:r>
          <a:r>
            <a:rPr lang="el-GR" sz="1100" baseline="0"/>
            <a:t> πτώσης πίεσης και παροχής στις οποίες σταθεροποιήθηκε η μανομετρική πίεση.</a:t>
          </a:r>
          <a:endParaRPr lang="el-GR" sz="1100"/>
        </a:p>
      </xdr:txBody>
    </xdr:sp>
    <xdr:clientData/>
  </xdr:oneCellAnchor>
  <xdr:twoCellAnchor>
    <xdr:from>
      <xdr:col>17</xdr:col>
      <xdr:colOff>45720</xdr:colOff>
      <xdr:row>146</xdr:row>
      <xdr:rowOff>91440</xdr:rowOff>
    </xdr:from>
    <xdr:to>
      <xdr:col>24</xdr:col>
      <xdr:colOff>350520</xdr:colOff>
      <xdr:row>161</xdr:row>
      <xdr:rowOff>91440</xdr:rowOff>
    </xdr:to>
    <xdr:graphicFrame macro="">
      <xdr:nvGraphicFramePr>
        <xdr:cNvPr id="15" name="Γράφημα 14">
          <a:extLst>
            <a:ext uri="{FF2B5EF4-FFF2-40B4-BE49-F238E27FC236}">
              <a16:creationId xmlns:a16="http://schemas.microsoft.com/office/drawing/2014/main" id="{4DE9797D-44E3-42FA-B4A1-2CC1D71A8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457200</xdr:colOff>
      <xdr:row>146</xdr:row>
      <xdr:rowOff>160020</xdr:rowOff>
    </xdr:from>
    <xdr:to>
      <xdr:col>29</xdr:col>
      <xdr:colOff>906780</xdr:colOff>
      <xdr:row>161</xdr:row>
      <xdr:rowOff>160020</xdr:rowOff>
    </xdr:to>
    <xdr:graphicFrame macro="">
      <xdr:nvGraphicFramePr>
        <xdr:cNvPr id="16" name="Γράφημα 15">
          <a:extLst>
            <a:ext uri="{FF2B5EF4-FFF2-40B4-BE49-F238E27FC236}">
              <a16:creationId xmlns:a16="http://schemas.microsoft.com/office/drawing/2014/main" id="{EE91D9C1-EC44-463A-B89F-7E9701A108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60960</xdr:colOff>
      <xdr:row>164</xdr:row>
      <xdr:rowOff>152400</xdr:rowOff>
    </xdr:from>
    <xdr:to>
      <xdr:col>24</xdr:col>
      <xdr:colOff>365760</xdr:colOff>
      <xdr:row>179</xdr:row>
      <xdr:rowOff>152400</xdr:rowOff>
    </xdr:to>
    <xdr:graphicFrame macro="">
      <xdr:nvGraphicFramePr>
        <xdr:cNvPr id="17" name="Γράφημα 16">
          <a:extLst>
            <a:ext uri="{FF2B5EF4-FFF2-40B4-BE49-F238E27FC236}">
              <a16:creationId xmlns:a16="http://schemas.microsoft.com/office/drawing/2014/main" id="{F7E8C558-062D-4B56-8963-874DE3E4CC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571500</xdr:colOff>
      <xdr:row>165</xdr:row>
      <xdr:rowOff>7620</xdr:rowOff>
    </xdr:from>
    <xdr:to>
      <xdr:col>30</xdr:col>
      <xdr:colOff>60960</xdr:colOff>
      <xdr:row>180</xdr:row>
      <xdr:rowOff>7620</xdr:rowOff>
    </xdr:to>
    <xdr:graphicFrame macro="">
      <xdr:nvGraphicFramePr>
        <xdr:cNvPr id="18" name="Γράφημα 17">
          <a:extLst>
            <a:ext uri="{FF2B5EF4-FFF2-40B4-BE49-F238E27FC236}">
              <a16:creationId xmlns:a16="http://schemas.microsoft.com/office/drawing/2014/main" id="{3D413CA9-408D-4B33-A8EE-92D01EFED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289560</xdr:colOff>
      <xdr:row>165</xdr:row>
      <xdr:rowOff>114300</xdr:rowOff>
    </xdr:from>
    <xdr:to>
      <xdr:col>37</xdr:col>
      <xdr:colOff>121920</xdr:colOff>
      <xdr:row>180</xdr:row>
      <xdr:rowOff>114300</xdr:rowOff>
    </xdr:to>
    <xdr:graphicFrame macro="">
      <xdr:nvGraphicFramePr>
        <xdr:cNvPr id="19" name="Γράφημα 18">
          <a:extLst>
            <a:ext uri="{FF2B5EF4-FFF2-40B4-BE49-F238E27FC236}">
              <a16:creationId xmlns:a16="http://schemas.microsoft.com/office/drawing/2014/main" id="{9FA75C3D-8DA9-48D2-AE4F-272FDDC62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678180</xdr:colOff>
      <xdr:row>148</xdr:row>
      <xdr:rowOff>30480</xdr:rowOff>
    </xdr:from>
    <xdr:to>
      <xdr:col>38</xdr:col>
      <xdr:colOff>312420</xdr:colOff>
      <xdr:row>162</xdr:row>
      <xdr:rowOff>83820</xdr:rowOff>
    </xdr:to>
    <xdr:graphicFrame macro="">
      <xdr:nvGraphicFramePr>
        <xdr:cNvPr id="20" name="Γράφημα 19">
          <a:extLst>
            <a:ext uri="{FF2B5EF4-FFF2-40B4-BE49-F238E27FC236}">
              <a16:creationId xmlns:a16="http://schemas.microsoft.com/office/drawing/2014/main" id="{B5692F34-1E59-45C1-ADBB-8EC3E7E463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37</xdr:col>
      <xdr:colOff>327660</xdr:colOff>
      <xdr:row>165</xdr:row>
      <xdr:rowOff>15240</xdr:rowOff>
    </xdr:from>
    <xdr:to>
      <xdr:col>45</xdr:col>
      <xdr:colOff>22860</xdr:colOff>
      <xdr:row>180</xdr:row>
      <xdr:rowOff>15240</xdr:rowOff>
    </xdr:to>
    <xdr:graphicFrame macro="">
      <xdr:nvGraphicFramePr>
        <xdr:cNvPr id="21" name="Γράφημα 20">
          <a:extLst>
            <a:ext uri="{FF2B5EF4-FFF2-40B4-BE49-F238E27FC236}">
              <a16:creationId xmlns:a16="http://schemas.microsoft.com/office/drawing/2014/main" id="{E0086F34-3056-49D7-9E80-0F1E1E706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39</xdr:col>
      <xdr:colOff>464820</xdr:colOff>
      <xdr:row>146</xdr:row>
      <xdr:rowOff>76200</xdr:rowOff>
    </xdr:from>
    <xdr:to>
      <xdr:col>47</xdr:col>
      <xdr:colOff>160020</xdr:colOff>
      <xdr:row>161</xdr:row>
      <xdr:rowOff>76200</xdr:rowOff>
    </xdr:to>
    <xdr:graphicFrame macro="">
      <xdr:nvGraphicFramePr>
        <xdr:cNvPr id="22" name="Γράφημα 21">
          <a:extLst>
            <a:ext uri="{FF2B5EF4-FFF2-40B4-BE49-F238E27FC236}">
              <a16:creationId xmlns:a16="http://schemas.microsoft.com/office/drawing/2014/main" id="{D3D1E92F-D881-4EBF-9096-610C45BF6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45</xdr:col>
      <xdr:colOff>182880</xdr:colOff>
      <xdr:row>166</xdr:row>
      <xdr:rowOff>106680</xdr:rowOff>
    </xdr:from>
    <xdr:to>
      <xdr:col>52</xdr:col>
      <xdr:colOff>487680</xdr:colOff>
      <xdr:row>181</xdr:row>
      <xdr:rowOff>106680</xdr:rowOff>
    </xdr:to>
    <xdr:graphicFrame macro="">
      <xdr:nvGraphicFramePr>
        <xdr:cNvPr id="23" name="Γράφημα 22">
          <a:extLst>
            <a:ext uri="{FF2B5EF4-FFF2-40B4-BE49-F238E27FC236}">
              <a16:creationId xmlns:a16="http://schemas.microsoft.com/office/drawing/2014/main" id="{A1127574-8ADA-48FA-851C-AEA34912C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556260</xdr:colOff>
      <xdr:row>161</xdr:row>
      <xdr:rowOff>38100</xdr:rowOff>
    </xdr:from>
    <xdr:to>
      <xdr:col>13</xdr:col>
      <xdr:colOff>533400</xdr:colOff>
      <xdr:row>176</xdr:row>
      <xdr:rowOff>38100</xdr:rowOff>
    </xdr:to>
    <xdr:graphicFrame macro="">
      <xdr:nvGraphicFramePr>
        <xdr:cNvPr id="24" name="Γράφημα 23">
          <a:extLst>
            <a:ext uri="{FF2B5EF4-FFF2-40B4-BE49-F238E27FC236}">
              <a16:creationId xmlns:a16="http://schemas.microsoft.com/office/drawing/2014/main" id="{012A6A01-69FB-4206-ABDE-D0D91DB4F5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38</xdr:col>
      <xdr:colOff>133350</xdr:colOff>
      <xdr:row>118</xdr:row>
      <xdr:rowOff>76200</xdr:rowOff>
    </xdr:from>
    <xdr:to>
      <xdr:col>47</xdr:col>
      <xdr:colOff>542925</xdr:colOff>
      <xdr:row>139</xdr:row>
      <xdr:rowOff>171450</xdr:rowOff>
    </xdr:to>
    <xdr:graphicFrame macro="">
      <xdr:nvGraphicFramePr>
        <xdr:cNvPr id="8" name="Γράφημα 7">
          <a:extLst>
            <a:ext uri="{FF2B5EF4-FFF2-40B4-BE49-F238E27FC236}">
              <a16:creationId xmlns:a16="http://schemas.microsoft.com/office/drawing/2014/main" id="{CA601C7C-11A3-426F-9F69-3678254C78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518160</xdr:colOff>
      <xdr:row>197</xdr:row>
      <xdr:rowOff>137160</xdr:rowOff>
    </xdr:from>
    <xdr:to>
      <xdr:col>47</xdr:col>
      <xdr:colOff>228600</xdr:colOff>
      <xdr:row>216</xdr:row>
      <xdr:rowOff>76200</xdr:rowOff>
    </xdr:to>
    <xdr:graphicFrame macro="">
      <xdr:nvGraphicFramePr>
        <xdr:cNvPr id="6" name="Γράφημα 5">
          <a:extLst>
            <a:ext uri="{FF2B5EF4-FFF2-40B4-BE49-F238E27FC236}">
              <a16:creationId xmlns:a16="http://schemas.microsoft.com/office/drawing/2014/main" id="{9990FB9C-23A2-453B-92FE-B8ABA6990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23</xdr:col>
      <xdr:colOff>182033</xdr:colOff>
      <xdr:row>47</xdr:row>
      <xdr:rowOff>9525</xdr:rowOff>
    </xdr:from>
    <xdr:to>
      <xdr:col>33</xdr:col>
      <xdr:colOff>328083</xdr:colOff>
      <xdr:row>65</xdr:row>
      <xdr:rowOff>104775</xdr:rowOff>
    </xdr:to>
    <xdr:graphicFrame macro="">
      <xdr:nvGraphicFramePr>
        <xdr:cNvPr id="2" name="Γράφημα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361950</xdr:colOff>
      <xdr:row>49</xdr:row>
      <xdr:rowOff>133350</xdr:rowOff>
    </xdr:from>
    <xdr:to>
      <xdr:col>21</xdr:col>
      <xdr:colOff>571501</xdr:colOff>
      <xdr:row>67</xdr:row>
      <xdr:rowOff>28576</xdr:rowOff>
    </xdr:to>
    <xdr:graphicFrame macro="">
      <xdr:nvGraphicFramePr>
        <xdr:cNvPr id="3" name="Γράφημα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498174</xdr:colOff>
      <xdr:row>9</xdr:row>
      <xdr:rowOff>132744</xdr:rowOff>
    </xdr:from>
    <xdr:to>
      <xdr:col>22</xdr:col>
      <xdr:colOff>550333</xdr:colOff>
      <xdr:row>32</xdr:row>
      <xdr:rowOff>158749</xdr:rowOff>
    </xdr:to>
    <xdr:graphicFrame macro="">
      <xdr:nvGraphicFramePr>
        <xdr:cNvPr id="4" name="Γράφημα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14</xdr:col>
      <xdr:colOff>226219</xdr:colOff>
      <xdr:row>105</xdr:row>
      <xdr:rowOff>76200</xdr:rowOff>
    </xdr:from>
    <xdr:ext cx="3309936" cy="2138363"/>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11787188" y="20078700"/>
          <a:ext cx="3309936" cy="2138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Υπολογισμός</a:t>
          </a:r>
          <a:r>
            <a:rPr lang="el-GR" sz="1100" baseline="0"/>
            <a:t> του μη περεταίρω μειώσιμου βαθμό κορεσμού σε νερό με τη μέθοδο της ζύγισης. Παρατηρείται ότι είναι  4 φορές μικρότερος σε υψηλότερες παροχές απ' ότι σε μικρότερες. Αλλάζει όμως και η πίεση των υπερκειμένων. Αυτό σημαίνει πως οι μεγαλύτεροι πόροι θα συμπιεστούν περισσότερο από τους μικρότερους, άρα λόγω του υδατοδιαβρεχτού χαρακτήρα του </a:t>
          </a:r>
          <a:r>
            <a:rPr lang="en-US" sz="1100" baseline="0"/>
            <a:t>berea </a:t>
          </a:r>
          <a:r>
            <a:rPr lang="el-GR" sz="1100" baseline="0"/>
            <a:t>θα αναμενόταν αν δεν υπήρχαν τριχοειδή φαινόμενα εξόδου, να ήταν τουλάχιστον όσο ήταν και στα 60 </a:t>
          </a:r>
          <a:r>
            <a:rPr lang="en-US" sz="1100" baseline="0"/>
            <a:t>bar. </a:t>
          </a:r>
          <a:r>
            <a:rPr lang="el-GR" sz="1100" baseline="0"/>
            <a:t>Άρα στα 60 </a:t>
          </a:r>
          <a:r>
            <a:rPr lang="en-US" sz="1100" baseline="0"/>
            <a:t>bar </a:t>
          </a:r>
          <a:r>
            <a:rPr lang="el-GR" sz="1100" baseline="0"/>
            <a:t>υπήρχαν έντονα τριχοειδή φαινόμενα εκροής.</a:t>
          </a:r>
          <a:endParaRPr lang="el-GR" sz="1100"/>
        </a:p>
      </xdr:txBody>
    </xdr:sp>
    <xdr:clientData/>
  </xdr:oneCellAnchor>
  <xdr:oneCellAnchor>
    <xdr:from>
      <xdr:col>18</xdr:col>
      <xdr:colOff>238126</xdr:colOff>
      <xdr:row>38</xdr:row>
      <xdr:rowOff>0</xdr:rowOff>
    </xdr:from>
    <xdr:ext cx="5905500" cy="1873250"/>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14255751" y="7239000"/>
              <a:ext cx="5905500" cy="1873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l-GR" sz="1100"/>
                <a:t>Υπολογίζονται οι μέσες</a:t>
              </a:r>
              <a:r>
                <a:rPr lang="el-GR" sz="1100" baseline="0"/>
                <a:t> τιμές της πτώσης πίεσης και παροχής για δύο πειραματικά σημεία. Η εξίσωση </a:t>
              </a:r>
              <a:r>
                <a:rPr lang="en-US" sz="1100" baseline="0"/>
                <a:t>Buckinghum-Reiner </a:t>
              </a:r>
              <a:r>
                <a:rPr lang="el-GR" sz="1100" baseline="0"/>
                <a:t>εξισώνοντας τη παροχή με το νομο του </a:t>
              </a:r>
              <a:r>
                <a:rPr lang="en-US" sz="1100" baseline="0"/>
                <a:t>Darcy, </a:t>
              </a:r>
              <a:r>
                <a:rPr lang="el-GR" sz="1100" baseline="0"/>
                <a:t>εκφράζει την εξίσωση της απόλυτης διαπερατότητας συναρτήσει της πτώση πίεσης. Οι άγνωστοι στην εξίσωση είναι η  ακτίνα των πόρων  και η οριακή διατμητική τάση που απαιτείται να ασκήσει το ένα στρώμα ρευστού στην επιφάνεια του άλλου για να προκληθεί ροή. Αν διαιρεθούν κατά μέλη οι εξισώσεις  </a:t>
              </a:r>
              <a:r>
                <a:rPr lang="en-US" sz="1100" baseline="0"/>
                <a:t>B-R </a:t>
              </a:r>
              <a:r>
                <a:rPr lang="el-GR" sz="1100" baseline="0"/>
                <a:t>για τα δύο πειραματικά σημεία θα δώσουν την εξίσωση </a:t>
              </a:r>
              <a14:m>
                <m:oMath xmlns:m="http://schemas.openxmlformats.org/officeDocument/2006/math">
                  <m:r>
                    <a:rPr lang="el-GR" sz="1100" b="1" i="1">
                      <a:solidFill>
                        <a:schemeClr val="tx1"/>
                      </a:solidFill>
                      <a:effectLst/>
                      <a:latin typeface="Cambria Math"/>
                      <a:ea typeface="+mn-ea"/>
                      <a:cs typeface="+mn-cs"/>
                    </a:rPr>
                    <m:t>𝜶</m:t>
                  </m:r>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a:ea typeface="+mn-ea"/>
                          <a:cs typeface="+mn-cs"/>
                        </a:rPr>
                        <m:t>𝒙</m:t>
                      </m:r>
                    </m:e>
                    <m:sup>
                      <m:r>
                        <a:rPr lang="en-US" sz="1100" b="1" i="1">
                          <a:solidFill>
                            <a:schemeClr val="tx1"/>
                          </a:solidFill>
                          <a:effectLst/>
                          <a:latin typeface="Cambria Math"/>
                          <a:ea typeface="+mn-ea"/>
                          <a:cs typeface="+mn-cs"/>
                        </a:rPr>
                        <m:t>𝟒</m:t>
                      </m:r>
                    </m:sup>
                  </m:sSup>
                  <m:r>
                    <a:rPr lang="en-US" sz="1100" b="1" i="1">
                      <a:solidFill>
                        <a:schemeClr val="tx1"/>
                      </a:solidFill>
                      <a:effectLst/>
                      <a:latin typeface="Cambria Math"/>
                      <a:ea typeface="+mn-ea"/>
                      <a:cs typeface="+mn-cs"/>
                    </a:rPr>
                    <m:t>+</m:t>
                  </m:r>
                  <m:r>
                    <a:rPr lang="el-GR" sz="1100" b="1" i="1">
                      <a:solidFill>
                        <a:schemeClr val="tx1"/>
                      </a:solidFill>
                      <a:effectLst/>
                      <a:latin typeface="Cambria Math"/>
                      <a:ea typeface="+mn-ea"/>
                      <a:cs typeface="+mn-cs"/>
                    </a:rPr>
                    <m:t>𝜷</m:t>
                  </m:r>
                  <m:r>
                    <a:rPr lang="en-US" sz="1100" b="1" i="1">
                      <a:solidFill>
                        <a:schemeClr val="tx1"/>
                      </a:solidFill>
                      <a:effectLst/>
                      <a:latin typeface="Cambria Math"/>
                      <a:ea typeface="+mn-ea"/>
                      <a:cs typeface="+mn-cs"/>
                    </a:rPr>
                    <m:t>𝒙</m:t>
                  </m:r>
                  <m:r>
                    <a:rPr lang="en-US" sz="1100" b="1" i="1">
                      <a:solidFill>
                        <a:schemeClr val="tx1"/>
                      </a:solidFill>
                      <a:effectLst/>
                      <a:latin typeface="Cambria Math"/>
                      <a:ea typeface="+mn-ea"/>
                      <a:cs typeface="+mn-cs"/>
                    </a:rPr>
                    <m:t>+</m:t>
                  </m:r>
                  <m:r>
                    <a:rPr lang="el-GR" sz="1100" b="1" i="1">
                      <a:solidFill>
                        <a:schemeClr val="tx1"/>
                      </a:solidFill>
                      <a:effectLst/>
                      <a:latin typeface="Cambria Math"/>
                      <a:ea typeface="+mn-ea"/>
                      <a:cs typeface="+mn-cs"/>
                    </a:rPr>
                    <m:t>𝜸</m:t>
                  </m:r>
                  <m:r>
                    <a:rPr lang="el-GR" sz="1100" b="1" i="1">
                      <a:solidFill>
                        <a:schemeClr val="tx1"/>
                      </a:solidFill>
                      <a:effectLst/>
                      <a:latin typeface="Cambria Math"/>
                      <a:ea typeface="+mn-ea"/>
                      <a:cs typeface="+mn-cs"/>
                    </a:rPr>
                    <m:t>=</m:t>
                  </m:r>
                  <m:r>
                    <a:rPr lang="el-GR" sz="1100" b="1" i="1">
                      <a:solidFill>
                        <a:schemeClr val="tx1"/>
                      </a:solidFill>
                      <a:effectLst/>
                      <a:latin typeface="Cambria Math"/>
                      <a:ea typeface="+mn-ea"/>
                      <a:cs typeface="+mn-cs"/>
                    </a:rPr>
                    <m:t>𝟎</m:t>
                  </m:r>
                </m:oMath>
              </a14:m>
              <a:r>
                <a:rPr lang="el-GR">
                  <a:effectLst/>
                </a:rPr>
                <a:t>. Ο λόγος της διατμητικής</a:t>
              </a:r>
              <a:r>
                <a:rPr lang="el-GR" baseline="0">
                  <a:effectLst/>
                </a:rPr>
                <a:t> τάσης προς την ακτίνα των πόρων είναι η ανεξάρτητη μεταβλητή. Με τη μέθοδο </a:t>
              </a:r>
              <a:r>
                <a:rPr lang="en-US" baseline="0">
                  <a:effectLst/>
                </a:rPr>
                <a:t>Newton-Raphson </a:t>
              </a:r>
              <a:r>
                <a:rPr lang="el-GR" baseline="0">
                  <a:effectLst/>
                </a:rPr>
                <a:t>προσεγγίζεται η ρίζα της εξίσωσης μετά από 4 επαναλλήψεις. Από την εξίσωση </a:t>
              </a:r>
              <a:r>
                <a:rPr lang="en-US" baseline="0">
                  <a:effectLst/>
                </a:rPr>
                <a:t>Buckinghum-Reiner </a:t>
              </a:r>
              <a:r>
                <a:rPr lang="el-GR" baseline="0">
                  <a:effectLst/>
                </a:rPr>
                <a:t>σχεδιάζεται τ</a:t>
              </a:r>
              <a:r>
                <a:rPr lang="en-US" baseline="0">
                  <a:effectLst/>
                </a:rPr>
                <a:t>o</a:t>
              </a:r>
              <a:r>
                <a:rPr lang="el-GR" baseline="0">
                  <a:effectLst/>
                </a:rPr>
                <a:t> διάγραμμα </a:t>
              </a:r>
              <a:r>
                <a:rPr lang="en-US" baseline="0">
                  <a:effectLst/>
                </a:rPr>
                <a:t>K</a:t>
              </a:r>
              <a:r>
                <a:rPr lang="en-US" sz="1000" baseline="0">
                  <a:effectLst/>
                </a:rPr>
                <a:t>abs</a:t>
              </a:r>
              <a:r>
                <a:rPr lang="en-US" sz="1100" baseline="0">
                  <a:effectLst/>
                </a:rPr>
                <a:t>(</a:t>
              </a:r>
              <a:r>
                <a:rPr lang="el-GR" sz="1100" baseline="0">
                  <a:effectLst/>
                </a:rPr>
                <a:t>Δ</a:t>
              </a:r>
              <a:r>
                <a:rPr lang="en-US" sz="1100" baseline="0">
                  <a:effectLst/>
                </a:rPr>
                <a:t>P) </a:t>
              </a:r>
              <a:r>
                <a:rPr lang="el-GR" sz="1100" baseline="0">
                  <a:effectLst/>
                </a:rPr>
                <a:t>και από το νόμο του </a:t>
              </a:r>
              <a:r>
                <a:rPr lang="en-US" sz="1100" baseline="0">
                  <a:effectLst/>
                </a:rPr>
                <a:t>Darcy </a:t>
              </a:r>
              <a:r>
                <a:rPr lang="el-GR" sz="1100" baseline="0">
                  <a:effectLst/>
                </a:rPr>
                <a:t>το</a:t>
              </a:r>
              <a:r>
                <a:rPr lang="en-US" sz="1100" baseline="0">
                  <a:effectLst/>
                </a:rPr>
                <a:t> </a:t>
              </a:r>
              <a:r>
                <a:rPr lang="en-US" sz="1100" baseline="0">
                  <a:solidFill>
                    <a:schemeClr val="tx1"/>
                  </a:solidFill>
                  <a:effectLst/>
                  <a:latin typeface="+mn-lt"/>
                  <a:ea typeface="+mn-ea"/>
                  <a:cs typeface="+mn-cs"/>
                </a:rPr>
                <a:t>Q(</a:t>
              </a:r>
              <a:r>
                <a:rPr lang="el-GR" sz="1100" baseline="0">
                  <a:solidFill>
                    <a:schemeClr val="tx1"/>
                  </a:solidFill>
                  <a:effectLst/>
                  <a:latin typeface="+mn-lt"/>
                  <a:ea typeface="+mn-ea"/>
                  <a:cs typeface="+mn-cs"/>
                </a:rPr>
                <a:t>Δ</a:t>
              </a:r>
              <a:r>
                <a:rPr lang="en-US" sz="1100" baseline="0">
                  <a:solidFill>
                    <a:schemeClr val="tx1"/>
                  </a:solidFill>
                  <a:effectLst/>
                  <a:latin typeface="+mn-lt"/>
                  <a:ea typeface="+mn-ea"/>
                  <a:cs typeface="+mn-cs"/>
                </a:rPr>
                <a:t>P)</a:t>
              </a:r>
              <a:r>
                <a:rPr lang="el-GR" sz="1100" baseline="0">
                  <a:solidFill>
                    <a:schemeClr val="tx1"/>
                  </a:solidFill>
                  <a:effectLst/>
                  <a:latin typeface="+mn-lt"/>
                  <a:ea typeface="+mn-ea"/>
                  <a:cs typeface="+mn-cs"/>
                </a:rPr>
                <a:t>.</a:t>
              </a:r>
              <a:endParaRPr lang="el-GR">
                <a:effectLst/>
              </a:endParaRPr>
            </a:p>
            <a:p>
              <a:endParaRPr lang="el-GR" sz="1100"/>
            </a:p>
          </xdr:txBody>
        </xdr:sp>
      </mc:Choice>
      <mc:Fallback xmlns="">
        <xdr:sp macro="" textlink="">
          <xdr:nvSpPr>
            <xdr:cNvPr id="8" name="TextBox 7"/>
            <xdr:cNvSpPr txBox="1"/>
          </xdr:nvSpPr>
          <xdr:spPr>
            <a:xfrm>
              <a:off x="14255751" y="7239000"/>
              <a:ext cx="5905500" cy="1873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l-GR" sz="1100"/>
                <a:t>Υπολογίζονται οι μέσες</a:t>
              </a:r>
              <a:r>
                <a:rPr lang="el-GR" sz="1100" baseline="0"/>
                <a:t> τιμές της πτώσης πίεσης και παροχής για δύο πειραματικά σημεία. Η εξίσωση </a:t>
              </a:r>
              <a:r>
                <a:rPr lang="en-US" sz="1100" baseline="0"/>
                <a:t>Buckinghum-Reiner </a:t>
              </a:r>
              <a:r>
                <a:rPr lang="el-GR" sz="1100" baseline="0"/>
                <a:t>εξισώνοντας τη παροχή με το νομο του </a:t>
              </a:r>
              <a:r>
                <a:rPr lang="en-US" sz="1100" baseline="0"/>
                <a:t>Darcy, </a:t>
              </a:r>
              <a:r>
                <a:rPr lang="el-GR" sz="1100" baseline="0"/>
                <a:t>εκφράζει την εξίσωση της απόλυτης διαπερατότητας συναρτήσει της πτώση πίεσης. Οι άγνωστοι στην εξίσωση είναι η  ακτίνα των πόρων  και η οριακή διατμητική τάση που απαιτείται να ασκήσει το ένα στρώμα ρευστού στην επιφάνεια του άλλου για να προκληθεί ροή. Αν διαιρεθούν κατά μέλη οι εξισώσεις  </a:t>
              </a:r>
              <a:r>
                <a:rPr lang="en-US" sz="1100" baseline="0"/>
                <a:t>B-R </a:t>
              </a:r>
              <a:r>
                <a:rPr lang="el-GR" sz="1100" baseline="0"/>
                <a:t>για τα δύο πειραματικά σημεία θα δώσουν την εξίσωση </a:t>
              </a:r>
              <a:r>
                <a:rPr lang="el-GR" sz="1100" b="1" i="0">
                  <a:solidFill>
                    <a:schemeClr val="tx1"/>
                  </a:solidFill>
                  <a:effectLst/>
                  <a:latin typeface="Cambria Math"/>
                  <a:ea typeface="+mn-ea"/>
                  <a:cs typeface="+mn-cs"/>
                </a:rPr>
                <a:t>𝜶</a:t>
              </a:r>
              <a:r>
                <a:rPr lang="en-US" sz="1100" b="1" i="0">
                  <a:solidFill>
                    <a:schemeClr val="tx1"/>
                  </a:solidFill>
                  <a:effectLst/>
                  <a:latin typeface="Cambria Math"/>
                  <a:ea typeface="+mn-ea"/>
                  <a:cs typeface="+mn-cs"/>
                </a:rPr>
                <a:t>𝒙</a:t>
              </a:r>
              <a:r>
                <a:rPr lang="el-GR" sz="1100" b="1" i="0">
                  <a:solidFill>
                    <a:schemeClr val="tx1"/>
                  </a:solidFill>
                  <a:effectLst/>
                  <a:latin typeface="Cambria Math"/>
                  <a:ea typeface="+mn-ea"/>
                  <a:cs typeface="+mn-cs"/>
                </a:rPr>
                <a:t>^</a:t>
              </a:r>
              <a:r>
                <a:rPr lang="en-US" sz="1100" b="1" i="0">
                  <a:solidFill>
                    <a:schemeClr val="tx1"/>
                  </a:solidFill>
                  <a:effectLst/>
                  <a:latin typeface="Cambria Math"/>
                  <a:ea typeface="+mn-ea"/>
                  <a:cs typeface="+mn-cs"/>
                </a:rPr>
                <a:t>𝟒+</a:t>
              </a:r>
              <a:r>
                <a:rPr lang="el-GR" sz="1100" b="1" i="0">
                  <a:solidFill>
                    <a:schemeClr val="tx1"/>
                  </a:solidFill>
                  <a:effectLst/>
                  <a:latin typeface="Cambria Math"/>
                  <a:ea typeface="+mn-ea"/>
                  <a:cs typeface="+mn-cs"/>
                </a:rPr>
                <a:t>𝜷</a:t>
              </a:r>
              <a:r>
                <a:rPr lang="en-US" sz="1100" b="1" i="0">
                  <a:solidFill>
                    <a:schemeClr val="tx1"/>
                  </a:solidFill>
                  <a:effectLst/>
                  <a:latin typeface="Cambria Math"/>
                  <a:ea typeface="+mn-ea"/>
                  <a:cs typeface="+mn-cs"/>
                </a:rPr>
                <a:t>𝒙+</a:t>
              </a:r>
              <a:r>
                <a:rPr lang="el-GR" sz="1100" b="1" i="0">
                  <a:solidFill>
                    <a:schemeClr val="tx1"/>
                  </a:solidFill>
                  <a:effectLst/>
                  <a:latin typeface="Cambria Math"/>
                  <a:ea typeface="+mn-ea"/>
                  <a:cs typeface="+mn-cs"/>
                </a:rPr>
                <a:t>𝜸=𝟎</a:t>
              </a:r>
              <a:r>
                <a:rPr lang="el-GR">
                  <a:effectLst/>
                </a:rPr>
                <a:t>. Ο λόγος της διατμητικής</a:t>
              </a:r>
              <a:r>
                <a:rPr lang="el-GR" baseline="0">
                  <a:effectLst/>
                </a:rPr>
                <a:t> τάσης προς την ακτίνα των πόρων είναι η ανεξάρτητη μεταβλητή. Με τη μέθοδο </a:t>
              </a:r>
              <a:r>
                <a:rPr lang="en-US" baseline="0">
                  <a:effectLst/>
                </a:rPr>
                <a:t>Newton-Raphson </a:t>
              </a:r>
              <a:r>
                <a:rPr lang="el-GR" baseline="0">
                  <a:effectLst/>
                </a:rPr>
                <a:t>προσεγγίζεται η ρίζα της εξίσωσης μετά από 4 επαναλλήψεις. Από την εξίσωση </a:t>
              </a:r>
              <a:r>
                <a:rPr lang="en-US" baseline="0">
                  <a:effectLst/>
                </a:rPr>
                <a:t>Buckinghum-Reiner </a:t>
              </a:r>
              <a:r>
                <a:rPr lang="el-GR" baseline="0">
                  <a:effectLst/>
                </a:rPr>
                <a:t>σχεδιάζεται τ</a:t>
              </a:r>
              <a:r>
                <a:rPr lang="en-US" baseline="0">
                  <a:effectLst/>
                </a:rPr>
                <a:t>o</a:t>
              </a:r>
              <a:r>
                <a:rPr lang="el-GR" baseline="0">
                  <a:effectLst/>
                </a:rPr>
                <a:t> διάγραμμα </a:t>
              </a:r>
              <a:r>
                <a:rPr lang="en-US" baseline="0">
                  <a:effectLst/>
                </a:rPr>
                <a:t>K</a:t>
              </a:r>
              <a:r>
                <a:rPr lang="en-US" sz="1000" baseline="0">
                  <a:effectLst/>
                </a:rPr>
                <a:t>abs</a:t>
              </a:r>
              <a:r>
                <a:rPr lang="en-US" sz="1100" baseline="0">
                  <a:effectLst/>
                </a:rPr>
                <a:t>(</a:t>
              </a:r>
              <a:r>
                <a:rPr lang="el-GR" sz="1100" baseline="0">
                  <a:effectLst/>
                </a:rPr>
                <a:t>Δ</a:t>
              </a:r>
              <a:r>
                <a:rPr lang="en-US" sz="1100" baseline="0">
                  <a:effectLst/>
                </a:rPr>
                <a:t>P) </a:t>
              </a:r>
              <a:r>
                <a:rPr lang="el-GR" sz="1100" baseline="0">
                  <a:effectLst/>
                </a:rPr>
                <a:t>και από το νόμο του </a:t>
              </a:r>
              <a:r>
                <a:rPr lang="en-US" sz="1100" baseline="0">
                  <a:effectLst/>
                </a:rPr>
                <a:t>Darcy </a:t>
              </a:r>
              <a:r>
                <a:rPr lang="el-GR" sz="1100" baseline="0">
                  <a:effectLst/>
                </a:rPr>
                <a:t>το</a:t>
              </a:r>
              <a:r>
                <a:rPr lang="en-US" sz="1100" baseline="0">
                  <a:effectLst/>
                </a:rPr>
                <a:t> </a:t>
              </a:r>
              <a:r>
                <a:rPr lang="en-US" sz="1100" baseline="0">
                  <a:solidFill>
                    <a:schemeClr val="tx1"/>
                  </a:solidFill>
                  <a:effectLst/>
                  <a:latin typeface="+mn-lt"/>
                  <a:ea typeface="+mn-ea"/>
                  <a:cs typeface="+mn-cs"/>
                </a:rPr>
                <a:t>Q(</a:t>
              </a:r>
              <a:r>
                <a:rPr lang="el-GR" sz="1100" baseline="0">
                  <a:solidFill>
                    <a:schemeClr val="tx1"/>
                  </a:solidFill>
                  <a:effectLst/>
                  <a:latin typeface="+mn-lt"/>
                  <a:ea typeface="+mn-ea"/>
                  <a:cs typeface="+mn-cs"/>
                </a:rPr>
                <a:t>Δ</a:t>
              </a:r>
              <a:r>
                <a:rPr lang="en-US" sz="1100" baseline="0">
                  <a:solidFill>
                    <a:schemeClr val="tx1"/>
                  </a:solidFill>
                  <a:effectLst/>
                  <a:latin typeface="+mn-lt"/>
                  <a:ea typeface="+mn-ea"/>
                  <a:cs typeface="+mn-cs"/>
                </a:rPr>
                <a:t>P)</a:t>
              </a:r>
              <a:r>
                <a:rPr lang="el-GR" sz="1100" baseline="0">
                  <a:solidFill>
                    <a:schemeClr val="tx1"/>
                  </a:solidFill>
                  <a:effectLst/>
                  <a:latin typeface="+mn-lt"/>
                  <a:ea typeface="+mn-ea"/>
                  <a:cs typeface="+mn-cs"/>
                </a:rPr>
                <a:t>.</a:t>
              </a:r>
              <a:endParaRPr lang="el-GR">
                <a:effectLst/>
              </a:endParaRPr>
            </a:p>
            <a:p>
              <a:endParaRPr lang="el-GR" sz="1100"/>
            </a:p>
          </xdr:txBody>
        </xdr:sp>
      </mc:Fallback>
    </mc:AlternateContent>
    <xdr:clientData/>
  </xdr:oneCellAnchor>
  <xdr:oneCellAnchor>
    <xdr:from>
      <xdr:col>13</xdr:col>
      <xdr:colOff>314325</xdr:colOff>
      <xdr:row>1</xdr:row>
      <xdr:rowOff>9526</xdr:rowOff>
    </xdr:from>
    <xdr:ext cx="2076449" cy="1028700"/>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0372725" y="200026"/>
          <a:ext cx="2076449" cy="1028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Δεδομένα</a:t>
          </a:r>
          <a:r>
            <a:rPr lang="el-GR" sz="1100" baseline="0"/>
            <a:t> πειραματικών δεδομένων έπειτα από σταθεροποίηση της μανομετρικής πίεσης</a:t>
          </a:r>
          <a:endParaRPr lang="el-GR" sz="1100"/>
        </a:p>
      </xdr:txBody>
    </xdr:sp>
    <xdr:clientData/>
  </xdr:oneCellAnchor>
  <xdr:oneCellAnchor>
    <xdr:from>
      <xdr:col>23</xdr:col>
      <xdr:colOff>123825</xdr:colOff>
      <xdr:row>20</xdr:row>
      <xdr:rowOff>0</xdr:rowOff>
    </xdr:from>
    <xdr:ext cx="1904999" cy="962025"/>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17240250" y="3810000"/>
          <a:ext cx="1904999" cy="962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Όλα</a:t>
          </a:r>
          <a:r>
            <a:rPr lang="el-GR" sz="1100" baseline="0"/>
            <a:t> τα δεδομένα της μανομετρικής πίεσης συναρτήσει του αθροιστικού χρόνου.</a:t>
          </a:r>
          <a:endParaRPr lang="el-GR" sz="1100"/>
        </a:p>
      </xdr:txBody>
    </xdr:sp>
    <xdr:clientData/>
  </xdr:oneCellAnchor>
  <xdr:oneCellAnchor>
    <xdr:from>
      <xdr:col>17</xdr:col>
      <xdr:colOff>342900</xdr:colOff>
      <xdr:row>67</xdr:row>
      <xdr:rowOff>142876</xdr:rowOff>
    </xdr:from>
    <xdr:ext cx="1771650" cy="1447800"/>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13801725" y="12906376"/>
          <a:ext cx="1771650" cy="1447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Μέγιστη</a:t>
          </a:r>
          <a:r>
            <a:rPr lang="el-GR" sz="1100" baseline="0"/>
            <a:t> διαπερατότητα σε πετρέλαιο στο μη περαιτέρω μειώσιμο βαθμό κορεσμού σε νερό. Το διάγραμμα τείνει ασυμπτωτικά στη μέγιστη διαπερατότητα.</a:t>
          </a:r>
          <a:endParaRPr lang="el-GR" sz="1100"/>
        </a:p>
      </xdr:txBody>
    </xdr:sp>
    <xdr:clientData/>
  </xdr:oneCellAnchor>
  <xdr:oneCellAnchor>
    <xdr:from>
      <xdr:col>26</xdr:col>
      <xdr:colOff>152400</xdr:colOff>
      <xdr:row>65</xdr:row>
      <xdr:rowOff>104776</xdr:rowOff>
    </xdr:from>
    <xdr:ext cx="2333624" cy="714374"/>
    <xdr:sp macro="" textlink="">
      <xdr:nvSpPr>
        <xdr:cNvPr id="12" name="TextBox 11">
          <a:extLst>
            <a:ext uri="{FF2B5EF4-FFF2-40B4-BE49-F238E27FC236}">
              <a16:creationId xmlns:a16="http://schemas.microsoft.com/office/drawing/2014/main" id="{00000000-0008-0000-0500-00000C000000}"/>
            </a:ext>
          </a:extLst>
        </xdr:cNvPr>
        <xdr:cNvSpPr txBox="1"/>
      </xdr:nvSpPr>
      <xdr:spPr>
        <a:xfrm>
          <a:off x="19097625" y="12487276"/>
          <a:ext cx="2333624" cy="714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Οριακή</a:t>
          </a:r>
          <a:r>
            <a:rPr lang="el-GR" sz="1100" baseline="0"/>
            <a:t> πτώσης πίεση εκκίνησης της ροής.</a:t>
          </a:r>
          <a:endParaRPr lang="el-GR" sz="1100"/>
        </a:p>
      </xdr:txBody>
    </xdr:sp>
    <xdr:clientData/>
  </xdr:oneCellAnchor>
  <xdr:oneCellAnchor>
    <xdr:from>
      <xdr:col>24</xdr:col>
      <xdr:colOff>38099</xdr:colOff>
      <xdr:row>68</xdr:row>
      <xdr:rowOff>114300</xdr:rowOff>
    </xdr:from>
    <xdr:ext cx="5057775" cy="990600"/>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7764124" y="13068300"/>
          <a:ext cx="5057775" cy="990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Το διάγραμμα</a:t>
          </a:r>
          <a:r>
            <a:rPr lang="el-GR" sz="1100" baseline="0"/>
            <a:t> </a:t>
          </a:r>
          <a:r>
            <a:rPr lang="en-US" sz="1100" baseline="0"/>
            <a:t>Q(</a:t>
          </a:r>
          <a:r>
            <a:rPr lang="el-GR" sz="1100" baseline="0"/>
            <a:t>Δ</a:t>
          </a:r>
          <a:r>
            <a:rPr lang="en-US" sz="1100" baseline="0"/>
            <a:t>P)</a:t>
          </a:r>
          <a:r>
            <a:rPr lang="el-GR" sz="1100" baseline="0"/>
            <a:t>, δείχνει πως η οριακή πτώση πίεση εκκίνησης της ροής είναι 8 φορές μικρότερη από τη μέγιστη πτώση πίεσης που μετρήθηκε. Άρα η ύπαρξη στενότερων πόρων στους οποίους δεν έχει διέλθει πετρέλαιο, αν υπάρχουν θα θεωρηθεί ότι συνεισφέρουν αμελητέα στη ροή. Άρα τα τριχοειδή φαινόμενα εκροής έχουν εξαληφθεί.</a:t>
          </a:r>
          <a:endParaRPr lang="el-GR" sz="1100"/>
        </a:p>
      </xdr:txBody>
    </xdr:sp>
    <xdr:clientData/>
  </xdr:oneCellAnchor>
  <xdr:oneCellAnchor>
    <xdr:from>
      <xdr:col>14</xdr:col>
      <xdr:colOff>95249</xdr:colOff>
      <xdr:row>72</xdr:row>
      <xdr:rowOff>35719</xdr:rowOff>
    </xdr:from>
    <xdr:ext cx="3488531" cy="500062"/>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12549187" y="13751719"/>
          <a:ext cx="3488531" cy="500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διαπερατότητες</a:t>
          </a:r>
          <a:r>
            <a:rPr lang="el-GR" sz="1100" baseline="0"/>
            <a:t> βάσης στις αντίστοιχες πιέσεις πόρων</a:t>
          </a:r>
          <a:endParaRPr lang="el-GR"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14</xdr:col>
      <xdr:colOff>581024</xdr:colOff>
      <xdr:row>9</xdr:row>
      <xdr:rowOff>180974</xdr:rowOff>
    </xdr:from>
    <xdr:to>
      <xdr:col>22</xdr:col>
      <xdr:colOff>888999</xdr:colOff>
      <xdr:row>32</xdr:row>
      <xdr:rowOff>84666</xdr:rowOff>
    </xdr:to>
    <xdr:graphicFrame macro="">
      <xdr:nvGraphicFramePr>
        <xdr:cNvPr id="2" name="Γράφημα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23</xdr:col>
      <xdr:colOff>21166</xdr:colOff>
      <xdr:row>69</xdr:row>
      <xdr:rowOff>10582</xdr:rowOff>
    </xdr:from>
    <xdr:ext cx="1788583" cy="751417"/>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7219083" y="13155082"/>
          <a:ext cx="1788583" cy="751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Υπολογισμός</a:t>
          </a:r>
          <a:r>
            <a:rPr lang="el-GR" sz="1100" baseline="0"/>
            <a:t> του βαθμού κορεσμού με τη μέθοδο της ζύγισης.</a:t>
          </a:r>
          <a:endParaRPr lang="el-GR" sz="1100"/>
        </a:p>
      </xdr:txBody>
    </xdr:sp>
    <xdr:clientData/>
  </xdr:oneCellAnchor>
  <xdr:oneCellAnchor>
    <xdr:from>
      <xdr:col>23</xdr:col>
      <xdr:colOff>0</xdr:colOff>
      <xdr:row>16</xdr:row>
      <xdr:rowOff>0</xdr:rowOff>
    </xdr:from>
    <xdr:ext cx="2878667" cy="609013"/>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17197917" y="3048000"/>
          <a:ext cx="287866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l-GR" sz="1100"/>
            <a:t>Δεδομένα</a:t>
          </a:r>
          <a:r>
            <a:rPr lang="el-GR" sz="1100" baseline="0"/>
            <a:t> της μανομετρικής πίεσης με τον αθροιστικό χρόνο για 1 μέρος νερού προς 8 πετρέλαιο</a:t>
          </a:r>
          <a:endParaRPr lang="el-GR"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14</xdr:col>
      <xdr:colOff>550334</xdr:colOff>
      <xdr:row>9</xdr:row>
      <xdr:rowOff>25399</xdr:rowOff>
    </xdr:from>
    <xdr:to>
      <xdr:col>25</xdr:col>
      <xdr:colOff>497416</xdr:colOff>
      <xdr:row>31</xdr:row>
      <xdr:rowOff>42333</xdr:rowOff>
    </xdr:to>
    <xdr:graphicFrame macro="">
      <xdr:nvGraphicFramePr>
        <xdr:cNvPr id="2" name="Γράφημα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26</xdr:col>
      <xdr:colOff>201082</xdr:colOff>
      <xdr:row>18</xdr:row>
      <xdr:rowOff>93133</xdr:rowOff>
    </xdr:from>
    <xdr:ext cx="2878667" cy="609013"/>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8806582" y="3522133"/>
          <a:ext cx="287866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l-GR" sz="1100"/>
            <a:t>Δεδομένα</a:t>
          </a:r>
          <a:r>
            <a:rPr lang="el-GR" sz="1100" baseline="0"/>
            <a:t> της μανομετρικής πίεσης με τον αθροιστικό χρόνο για 1 μέρος νερού προς 3 πετρέλαιο</a:t>
          </a:r>
          <a:endParaRPr lang="el-GR" sz="1100"/>
        </a:p>
      </xdr:txBody>
    </xdr:sp>
    <xdr:clientData/>
  </xdr:oneCellAnchor>
  <xdr:oneCellAnchor>
    <xdr:from>
      <xdr:col>10</xdr:col>
      <xdr:colOff>0</xdr:colOff>
      <xdr:row>69</xdr:row>
      <xdr:rowOff>31750</xdr:rowOff>
    </xdr:from>
    <xdr:ext cx="1788583" cy="751417"/>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7852833" y="13176250"/>
          <a:ext cx="1788583" cy="751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Υπολογισμός</a:t>
          </a:r>
          <a:r>
            <a:rPr lang="el-GR" sz="1100" baseline="0"/>
            <a:t> του βαθμού κορεσμού με τη μέθοδο της ζύγισης.</a:t>
          </a:r>
          <a:endParaRPr lang="el-GR"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389657</xdr:colOff>
      <xdr:row>20</xdr:row>
      <xdr:rowOff>65809</xdr:rowOff>
    </xdr:from>
    <xdr:to>
      <xdr:col>11</xdr:col>
      <xdr:colOff>831273</xdr:colOff>
      <xdr:row>39</xdr:row>
      <xdr:rowOff>8659</xdr:rowOff>
    </xdr:to>
    <xdr:graphicFrame macro="">
      <xdr:nvGraphicFramePr>
        <xdr:cNvPr id="2" name="Γράφημα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0</xdr:colOff>
      <xdr:row>43</xdr:row>
      <xdr:rowOff>0</xdr:rowOff>
    </xdr:from>
    <xdr:ext cx="2878667" cy="609013"/>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4735286" y="8191500"/>
          <a:ext cx="287866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l-GR" sz="1100"/>
            <a:t>Δεδομένα</a:t>
          </a:r>
          <a:r>
            <a:rPr lang="el-GR" sz="1100" baseline="0"/>
            <a:t> της μανομετρικής πίεσης με τον αθροιστικό χρόνο για 6 μέρη νερού προς 1 πετρέλαιο</a:t>
          </a:r>
          <a:endParaRPr lang="el-GR" sz="1100"/>
        </a:p>
      </xdr:txBody>
    </xdr:sp>
    <xdr:clientData/>
  </xdr:oneCellAnchor>
  <xdr:oneCellAnchor>
    <xdr:from>
      <xdr:col>26</xdr:col>
      <xdr:colOff>0</xdr:colOff>
      <xdr:row>31</xdr:row>
      <xdr:rowOff>0</xdr:rowOff>
    </xdr:from>
    <xdr:ext cx="1788583" cy="753534"/>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8954750" y="5905500"/>
          <a:ext cx="1788583" cy="7535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Υπολογισμός</a:t>
          </a:r>
          <a:r>
            <a:rPr lang="el-GR" sz="1100" baseline="0"/>
            <a:t> του βαθμού κορεσμού με τη μέθοδο της ζύγισης.</a:t>
          </a:r>
          <a:endParaRPr lang="el-GR"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11</xdr:col>
      <xdr:colOff>97366</xdr:colOff>
      <xdr:row>76</xdr:row>
      <xdr:rowOff>42334</xdr:rowOff>
    </xdr:from>
    <xdr:to>
      <xdr:col>22</xdr:col>
      <xdr:colOff>448734</xdr:colOff>
      <xdr:row>96</xdr:row>
      <xdr:rowOff>147109</xdr:rowOff>
    </xdr:to>
    <xdr:graphicFrame macro="">
      <xdr:nvGraphicFramePr>
        <xdr:cNvPr id="6" name="Γράφημα 5">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180974</xdr:colOff>
      <xdr:row>4</xdr:row>
      <xdr:rowOff>25400</xdr:rowOff>
    </xdr:from>
    <xdr:to>
      <xdr:col>20</xdr:col>
      <xdr:colOff>126999</xdr:colOff>
      <xdr:row>22</xdr:row>
      <xdr:rowOff>152400</xdr:rowOff>
    </xdr:to>
    <xdr:graphicFrame macro="">
      <xdr:nvGraphicFramePr>
        <xdr:cNvPr id="5" name="Γράφημα 4">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10</xdr:col>
      <xdr:colOff>485774</xdr:colOff>
      <xdr:row>23</xdr:row>
      <xdr:rowOff>57149</xdr:rowOff>
    </xdr:from>
    <xdr:ext cx="4143375" cy="704851"/>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8524874" y="4438649"/>
          <a:ext cx="4143375" cy="704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Στο</a:t>
          </a:r>
          <a:r>
            <a:rPr lang="el-GR" sz="1100" baseline="0"/>
            <a:t> παραπάνω διάγραμμα φαίνεται πως σε καμία παροχή δε κατάφερε να σταθεροποιηθεί η μανομετρική πίεση. Άρα απαιτούνται παροχές για να σταθεροποιηθεί η πίεση.</a:t>
          </a:r>
          <a:endParaRPr lang="el-GR" sz="1100"/>
        </a:p>
      </xdr:txBody>
    </xdr:sp>
    <xdr:clientData/>
  </xdr:oneCellAnchor>
  <xdr:oneCellAnchor>
    <xdr:from>
      <xdr:col>11</xdr:col>
      <xdr:colOff>28575</xdr:colOff>
      <xdr:row>97</xdr:row>
      <xdr:rowOff>85725</xdr:rowOff>
    </xdr:from>
    <xdr:ext cx="3419475" cy="752475"/>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8677275" y="18564225"/>
          <a:ext cx="341947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Σε</a:t>
          </a:r>
          <a:r>
            <a:rPr lang="el-GR" sz="1100" baseline="0"/>
            <a:t> υψηλότερες παροχές παρατηρείται πως η πίεση σταθεροποιείται  μετά τη πάροδο του απαιτούμενου χρόνου.</a:t>
          </a:r>
          <a:endParaRPr lang="el-GR" sz="1100"/>
        </a:p>
      </xdr:txBody>
    </xdr:sp>
    <xdr:clientData/>
  </xdr:oneCellAnchor>
  <xdr:oneCellAnchor>
    <xdr:from>
      <xdr:col>8</xdr:col>
      <xdr:colOff>0</xdr:colOff>
      <xdr:row>117</xdr:row>
      <xdr:rowOff>0</xdr:rowOff>
    </xdr:from>
    <xdr:ext cx="1788583" cy="753534"/>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6619875" y="22288500"/>
          <a:ext cx="1788583" cy="7535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Υπολογισμός</a:t>
          </a:r>
          <a:r>
            <a:rPr lang="el-GR" sz="1100" baseline="0"/>
            <a:t> του βαθμού κορεσμού με τη μέθοδο της ζύγισης.</a:t>
          </a:r>
          <a:endParaRPr lang="el-GR" sz="1100"/>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11</xdr:col>
      <xdr:colOff>104775</xdr:colOff>
      <xdr:row>0</xdr:row>
      <xdr:rowOff>152400</xdr:rowOff>
    </xdr:from>
    <xdr:to>
      <xdr:col>18</xdr:col>
      <xdr:colOff>409575</xdr:colOff>
      <xdr:row>15</xdr:row>
      <xdr:rowOff>38100</xdr:rowOff>
    </xdr:to>
    <xdr:graphicFrame macro="">
      <xdr:nvGraphicFramePr>
        <xdr:cNvPr id="5" name="Γράφημα 4">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381000</xdr:colOff>
      <xdr:row>18</xdr:row>
      <xdr:rowOff>142875</xdr:rowOff>
    </xdr:from>
    <xdr:ext cx="2190750" cy="838200"/>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5286375" y="3571875"/>
          <a:ext cx="21907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διάγραμμα</a:t>
          </a:r>
          <a:r>
            <a:rPr lang="el-GR" sz="1100" baseline="0"/>
            <a:t> σχετικών διαπερατοτήτων νερού και πετρελαίου συναρτήσει του βαθμού κορεσμού σε νερό.</a:t>
          </a:r>
          <a:endParaRPr lang="el-GR" sz="1100"/>
        </a:p>
      </xdr:txBody>
    </xdr:sp>
    <xdr:clientData/>
  </xdr:oneCellAnchor>
  <xdr:oneCellAnchor>
    <xdr:from>
      <xdr:col>19</xdr:col>
      <xdr:colOff>0</xdr:colOff>
      <xdr:row>8</xdr:row>
      <xdr:rowOff>0</xdr:rowOff>
    </xdr:from>
    <xdr:ext cx="1581150" cy="952499"/>
    <xdr:sp macro="" textlink="">
      <xdr:nvSpPr>
        <xdr:cNvPr id="7" name="TextBox 6">
          <a:extLst>
            <a:ext uri="{FF2B5EF4-FFF2-40B4-BE49-F238E27FC236}">
              <a16:creationId xmlns:a16="http://schemas.microsoft.com/office/drawing/2014/main" id="{00000000-0008-0000-0A00-000007000000}"/>
            </a:ext>
          </a:extLst>
        </xdr:cNvPr>
        <xdr:cNvSpPr txBox="1"/>
      </xdr:nvSpPr>
      <xdr:spPr>
        <a:xfrm>
          <a:off x="11610975" y="1524000"/>
          <a:ext cx="1581150" cy="9524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διάγραμμα</a:t>
          </a:r>
          <a:r>
            <a:rPr lang="en-US" sz="1100" baseline="0"/>
            <a:t> </a:t>
          </a:r>
          <a:r>
            <a:rPr lang="el-GR" sz="1100" baseline="0"/>
            <a:t>ενεργών διαπερατοτήτων νερού και πετρελαίου συναρτήσει του βαθμού κορεσμού σε νερό.</a:t>
          </a:r>
          <a:endParaRPr lang="el-GR" sz="1100"/>
        </a:p>
      </xdr:txBody>
    </xdr:sp>
    <xdr:clientData/>
  </xdr:oneCellAnchor>
  <xdr:twoCellAnchor>
    <xdr:from>
      <xdr:col>12</xdr:col>
      <xdr:colOff>152400</xdr:colOff>
      <xdr:row>17</xdr:row>
      <xdr:rowOff>123825</xdr:rowOff>
    </xdr:from>
    <xdr:to>
      <xdr:col>19</xdr:col>
      <xdr:colOff>457200</xdr:colOff>
      <xdr:row>32</xdr:row>
      <xdr:rowOff>9525</xdr:rowOff>
    </xdr:to>
    <xdr:graphicFrame macro="">
      <xdr:nvGraphicFramePr>
        <xdr:cNvPr id="4" name="Γράφημα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167640</xdr:colOff>
      <xdr:row>9</xdr:row>
      <xdr:rowOff>0</xdr:rowOff>
    </xdr:from>
    <xdr:to>
      <xdr:col>7</xdr:col>
      <xdr:colOff>472440</xdr:colOff>
      <xdr:row>24</xdr:row>
      <xdr:rowOff>0</xdr:rowOff>
    </xdr:to>
    <xdr:graphicFrame macro="">
      <xdr:nvGraphicFramePr>
        <xdr:cNvPr id="3" name="Γράφημα 2">
          <a:extLst>
            <a:ext uri="{FF2B5EF4-FFF2-40B4-BE49-F238E27FC236}">
              <a16:creationId xmlns:a16="http://schemas.microsoft.com/office/drawing/2014/main" id="{F25E94F9-373E-4B95-A514-EF749EB2A9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71"/>
  <sheetViews>
    <sheetView tabSelected="1" topLeftCell="L1" zoomScale="70" zoomScaleNormal="70" workbookViewId="0">
      <selection activeCell="Y40" sqref="Y40"/>
    </sheetView>
  </sheetViews>
  <sheetFormatPr defaultRowHeight="14.4" x14ac:dyDescent="0.3"/>
  <cols>
    <col min="1" max="1" width="10.88671875" customWidth="1"/>
    <col min="2" max="2" width="12.88671875" customWidth="1"/>
    <col min="3" max="3" width="13.6640625" customWidth="1"/>
    <col min="4" max="4" width="9.44140625" customWidth="1"/>
    <col min="7" max="7" width="11.5546875" customWidth="1"/>
    <col min="9" max="9" width="17.5546875" customWidth="1"/>
    <col min="10" max="10" width="16.5546875" customWidth="1"/>
    <col min="14" max="14" width="10.33203125" bestFit="1" customWidth="1"/>
    <col min="15" max="15" width="15.109375" customWidth="1"/>
    <col min="16" max="16" width="11.21875" customWidth="1"/>
    <col min="18" max="18" width="15" customWidth="1"/>
    <col min="19" max="19" width="14.6640625" customWidth="1"/>
    <col min="21" max="21" width="12.5546875" customWidth="1"/>
    <col min="23" max="23" width="14" customWidth="1"/>
    <col min="25" max="25" width="14.44140625" customWidth="1"/>
    <col min="26" max="26" width="20.33203125" customWidth="1"/>
    <col min="27" max="27" width="12" customWidth="1"/>
    <col min="28" max="28" width="11.44140625" bestFit="1" customWidth="1"/>
  </cols>
  <sheetData>
    <row r="1" spans="1:23" x14ac:dyDescent="0.3">
      <c r="Q1" s="2" t="s">
        <v>21</v>
      </c>
      <c r="R1" s="2" t="s">
        <v>109</v>
      </c>
      <c r="S1" s="2" t="s">
        <v>1</v>
      </c>
      <c r="U1" s="2" t="s">
        <v>110</v>
      </c>
    </row>
    <row r="2" spans="1:23" x14ac:dyDescent="0.3">
      <c r="A2" s="2" t="s">
        <v>0</v>
      </c>
      <c r="B2" s="2" t="s">
        <v>164</v>
      </c>
      <c r="C2" s="2" t="s">
        <v>123</v>
      </c>
      <c r="D2" s="2" t="s">
        <v>7</v>
      </c>
      <c r="E2" s="2" t="s">
        <v>11</v>
      </c>
      <c r="F2" s="2" t="s">
        <v>8</v>
      </c>
      <c r="G2" s="2" t="s">
        <v>9</v>
      </c>
      <c r="H2" s="8" t="s">
        <v>13</v>
      </c>
      <c r="I2" s="5" t="s">
        <v>10</v>
      </c>
      <c r="J2" s="5" t="s">
        <v>162</v>
      </c>
      <c r="K2" s="5" t="s">
        <v>213</v>
      </c>
      <c r="L2" s="5" t="s">
        <v>233</v>
      </c>
      <c r="Q2">
        <v>51.661099999999998</v>
      </c>
      <c r="R2">
        <v>56.076099999999997</v>
      </c>
      <c r="S2" s="6">
        <f>(R2-Q2)/0.997</f>
        <v>4.4282848545636906</v>
      </c>
      <c r="U2">
        <f>Q5-S2</f>
        <v>19.702288002714852</v>
      </c>
      <c r="W2" t="s">
        <v>174</v>
      </c>
    </row>
    <row r="3" spans="1:23" x14ac:dyDescent="0.3">
      <c r="A3" s="6">
        <v>10</v>
      </c>
      <c r="B3">
        <v>7.29</v>
      </c>
      <c r="C3">
        <v>-0.04</v>
      </c>
      <c r="D3" s="6">
        <f>$O$4*(B3-$C$3)+1</f>
        <v>8.2339769999999994</v>
      </c>
      <c r="E3" s="6">
        <f>D3-1</f>
        <v>7.2339769999999994</v>
      </c>
      <c r="F3" s="62">
        <f>(1000*I3*1*$K$3)/(PI()*($L$3^2)/4*E3)</f>
        <v>21.551328893819981</v>
      </c>
      <c r="G3" s="3">
        <v>11.21</v>
      </c>
      <c r="H3">
        <v>0</v>
      </c>
      <c r="I3" s="7">
        <f>A3/60</f>
        <v>0.16666666666666666</v>
      </c>
      <c r="J3">
        <v>60</v>
      </c>
      <c r="K3">
        <f>4.751</f>
        <v>4.7510000000000003</v>
      </c>
      <c r="L3">
        <v>2.5430000000000001</v>
      </c>
      <c r="O3" s="2" t="s">
        <v>15</v>
      </c>
    </row>
    <row r="4" spans="1:23" x14ac:dyDescent="0.3">
      <c r="A4" s="6">
        <v>10</v>
      </c>
      <c r="B4">
        <v>8.5399999999999991</v>
      </c>
      <c r="D4" s="6">
        <f>$O$4*(B4-$C$3)+1</f>
        <v>9.4676019999999976</v>
      </c>
      <c r="E4" s="6">
        <f t="shared" ref="E4:E93" si="0">D4-1</f>
        <v>8.4676019999999976</v>
      </c>
      <c r="F4" s="62">
        <f>(1000*I4*1*$K$3)/(PI()*($L$3^2)/4*E4)</f>
        <v>18.41156652583922</v>
      </c>
      <c r="G4">
        <v>11.3</v>
      </c>
      <c r="H4">
        <v>9</v>
      </c>
      <c r="I4" s="7">
        <f t="shared" ref="I4:I93" si="1">A4/60</f>
        <v>0.16666666666666666</v>
      </c>
      <c r="J4">
        <v>60</v>
      </c>
      <c r="O4">
        <v>0.9869</v>
      </c>
      <c r="Q4" s="2" t="s">
        <v>2</v>
      </c>
      <c r="R4" s="2" t="s">
        <v>3</v>
      </c>
      <c r="V4" s="2"/>
    </row>
    <row r="5" spans="1:23" x14ac:dyDescent="0.3">
      <c r="A5" s="6">
        <v>10</v>
      </c>
      <c r="B5">
        <v>9.0299999999999994</v>
      </c>
      <c r="D5" s="6">
        <f t="shared" ref="D5:D93" si="2">$O$4*(B5-$C$3)+1</f>
        <v>9.9511829999999986</v>
      </c>
      <c r="E5" s="6">
        <f t="shared" si="0"/>
        <v>8.9511829999999986</v>
      </c>
      <c r="F5" s="62">
        <f t="shared" ref="F5:F68" si="3">(1000*I5*1*$K$3)/(PI()*($L$3^2)/4*E5)</f>
        <v>17.416895346383736</v>
      </c>
      <c r="G5">
        <v>11.35</v>
      </c>
      <c r="H5">
        <v>14</v>
      </c>
      <c r="I5" s="7">
        <f t="shared" si="1"/>
        <v>0.16666666666666666</v>
      </c>
      <c r="J5">
        <v>60</v>
      </c>
      <c r="Q5">
        <f>PI()*L3^2/4*K3</f>
        <v>24.130572857278541</v>
      </c>
      <c r="R5">
        <f>S2/Q5*100</f>
        <v>18.35134574199709</v>
      </c>
    </row>
    <row r="6" spans="1:23" x14ac:dyDescent="0.3">
      <c r="A6" s="6">
        <v>10</v>
      </c>
      <c r="B6">
        <v>9.58</v>
      </c>
      <c r="D6" s="6">
        <f t="shared" si="2"/>
        <v>10.493977999999998</v>
      </c>
      <c r="E6" s="6">
        <f t="shared" si="0"/>
        <v>9.4939779999999985</v>
      </c>
      <c r="F6" s="62">
        <f t="shared" si="3"/>
        <v>16.421126901424167</v>
      </c>
      <c r="G6">
        <v>11.39</v>
      </c>
      <c r="H6">
        <v>18</v>
      </c>
      <c r="I6" s="7">
        <f t="shared" si="1"/>
        <v>0.16666666666666666</v>
      </c>
      <c r="J6">
        <v>60</v>
      </c>
    </row>
    <row r="7" spans="1:23" x14ac:dyDescent="0.3">
      <c r="A7" s="6">
        <v>8</v>
      </c>
      <c r="B7">
        <v>8.09</v>
      </c>
      <c r="D7" s="6">
        <f t="shared" si="2"/>
        <v>9.023496999999999</v>
      </c>
      <c r="E7" s="6">
        <f t="shared" si="0"/>
        <v>8.023496999999999</v>
      </c>
      <c r="F7" s="62">
        <f t="shared" si="3"/>
        <v>15.544525539158723</v>
      </c>
      <c r="G7">
        <v>11.42</v>
      </c>
      <c r="H7">
        <v>21</v>
      </c>
      <c r="I7" s="7">
        <f>A7/60</f>
        <v>0.13333333333333333</v>
      </c>
      <c r="J7">
        <v>60</v>
      </c>
      <c r="T7" s="2"/>
      <c r="U7" s="2"/>
    </row>
    <row r="8" spans="1:23" x14ac:dyDescent="0.3">
      <c r="A8" s="6">
        <v>8</v>
      </c>
      <c r="B8">
        <v>8.7100000000000009</v>
      </c>
      <c r="D8" s="6">
        <f t="shared" si="2"/>
        <v>9.6353749999999998</v>
      </c>
      <c r="E8" s="6">
        <f t="shared" si="0"/>
        <v>8.6353749999999998</v>
      </c>
      <c r="F8" s="62">
        <f t="shared" si="3"/>
        <v>14.443084872384045</v>
      </c>
      <c r="G8">
        <v>11.46</v>
      </c>
      <c r="H8">
        <v>25</v>
      </c>
      <c r="I8" s="7">
        <f t="shared" si="1"/>
        <v>0.13333333333333333</v>
      </c>
      <c r="J8">
        <v>60</v>
      </c>
      <c r="U8" s="4"/>
    </row>
    <row r="9" spans="1:23" x14ac:dyDescent="0.3">
      <c r="A9" s="6">
        <v>8</v>
      </c>
      <c r="B9">
        <v>9.06</v>
      </c>
      <c r="D9" s="6">
        <f t="shared" si="2"/>
        <v>9.9807899999999989</v>
      </c>
      <c r="E9" s="6">
        <f t="shared" si="0"/>
        <v>8.9807899999999989</v>
      </c>
      <c r="F9" s="62">
        <f t="shared" si="3"/>
        <v>13.887581608061582</v>
      </c>
      <c r="G9">
        <v>11.5</v>
      </c>
      <c r="H9">
        <v>29</v>
      </c>
      <c r="I9" s="7">
        <f t="shared" si="1"/>
        <v>0.13333333333333333</v>
      </c>
      <c r="J9">
        <v>60</v>
      </c>
    </row>
    <row r="10" spans="1:23" x14ac:dyDescent="0.3">
      <c r="A10" s="6">
        <v>8</v>
      </c>
      <c r="B10">
        <v>9.2200000000000006</v>
      </c>
      <c r="D10" s="6">
        <f t="shared" si="2"/>
        <v>10.138693999999999</v>
      </c>
      <c r="E10" s="6">
        <f t="shared" si="0"/>
        <v>9.1386939999999992</v>
      </c>
      <c r="F10" s="62">
        <f t="shared" si="3"/>
        <v>13.647623394531362</v>
      </c>
      <c r="G10">
        <v>11.52</v>
      </c>
      <c r="H10">
        <v>31</v>
      </c>
      <c r="I10" s="7">
        <f t="shared" si="1"/>
        <v>0.13333333333333333</v>
      </c>
      <c r="J10">
        <v>60</v>
      </c>
    </row>
    <row r="11" spans="1:23" x14ac:dyDescent="0.3">
      <c r="A11" s="6">
        <v>8</v>
      </c>
      <c r="B11">
        <v>9.4499999999999993</v>
      </c>
      <c r="D11" s="6">
        <f t="shared" si="2"/>
        <v>10.365680999999999</v>
      </c>
      <c r="E11" s="6">
        <f t="shared" si="0"/>
        <v>9.3656809999999986</v>
      </c>
      <c r="F11" s="62">
        <f t="shared" si="3"/>
        <v>13.316859076223436</v>
      </c>
      <c r="G11">
        <v>11.55</v>
      </c>
      <c r="H11">
        <v>33</v>
      </c>
      <c r="I11" s="7">
        <f t="shared" si="1"/>
        <v>0.13333333333333333</v>
      </c>
      <c r="J11">
        <v>60</v>
      </c>
    </row>
    <row r="12" spans="1:23" x14ac:dyDescent="0.3">
      <c r="A12" s="6">
        <v>7</v>
      </c>
      <c r="B12">
        <v>7.96</v>
      </c>
      <c r="D12" s="6">
        <f t="shared" si="2"/>
        <v>8.8951999999999991</v>
      </c>
      <c r="E12" s="6">
        <f t="shared" si="0"/>
        <v>7.8951999999999991</v>
      </c>
      <c r="F12" s="62">
        <f t="shared" si="3"/>
        <v>13.822483569273793</v>
      </c>
      <c r="G12">
        <v>12.45</v>
      </c>
      <c r="H12">
        <v>33</v>
      </c>
      <c r="I12" s="7">
        <f t="shared" si="1"/>
        <v>0.11666666666666667</v>
      </c>
      <c r="J12">
        <v>60</v>
      </c>
    </row>
    <row r="13" spans="1:23" x14ac:dyDescent="0.3">
      <c r="A13" s="6">
        <v>7</v>
      </c>
      <c r="B13">
        <v>8.19</v>
      </c>
      <c r="D13" s="6">
        <f t="shared" si="2"/>
        <v>9.1221869999999985</v>
      </c>
      <c r="E13" s="6">
        <f t="shared" si="0"/>
        <v>8.1221869999999985</v>
      </c>
      <c r="F13" s="62">
        <f t="shared" si="3"/>
        <v>13.436193019950224</v>
      </c>
      <c r="G13">
        <v>12.5</v>
      </c>
      <c r="H13">
        <v>38</v>
      </c>
      <c r="I13" s="7">
        <f t="shared" si="1"/>
        <v>0.11666666666666667</v>
      </c>
      <c r="J13">
        <v>60</v>
      </c>
    </row>
    <row r="14" spans="1:23" x14ac:dyDescent="0.3">
      <c r="A14" s="6">
        <v>7</v>
      </c>
      <c r="B14">
        <v>8.7100000000000009</v>
      </c>
      <c r="D14" s="6">
        <f t="shared" si="2"/>
        <v>9.6353749999999998</v>
      </c>
      <c r="E14" s="6">
        <f t="shared" si="0"/>
        <v>8.6353749999999998</v>
      </c>
      <c r="F14" s="62">
        <f t="shared" si="3"/>
        <v>12.637699263336037</v>
      </c>
      <c r="G14">
        <v>12.54</v>
      </c>
      <c r="H14">
        <v>42</v>
      </c>
      <c r="I14" s="7">
        <f t="shared" si="1"/>
        <v>0.11666666666666667</v>
      </c>
      <c r="J14">
        <v>60</v>
      </c>
    </row>
    <row r="15" spans="1:23" x14ac:dyDescent="0.3">
      <c r="A15" s="6">
        <v>7</v>
      </c>
      <c r="B15" s="6">
        <v>9</v>
      </c>
      <c r="D15" s="6">
        <f t="shared" si="2"/>
        <v>9.921576</v>
      </c>
      <c r="E15" s="6">
        <f t="shared" si="0"/>
        <v>8.921576</v>
      </c>
      <c r="F15" s="62">
        <f t="shared" si="3"/>
        <v>12.232286344490081</v>
      </c>
      <c r="G15">
        <v>12.58</v>
      </c>
      <c r="H15">
        <v>48</v>
      </c>
      <c r="I15" s="7">
        <f t="shared" si="1"/>
        <v>0.11666666666666667</v>
      </c>
      <c r="J15">
        <v>60</v>
      </c>
    </row>
    <row r="16" spans="1:23" x14ac:dyDescent="0.3">
      <c r="A16" s="6">
        <v>7</v>
      </c>
      <c r="B16">
        <v>9.4499999999999993</v>
      </c>
      <c r="D16" s="6">
        <f t="shared" si="2"/>
        <v>10.365680999999999</v>
      </c>
      <c r="E16" s="6">
        <f t="shared" si="0"/>
        <v>9.3656809999999986</v>
      </c>
      <c r="F16" s="62">
        <f t="shared" si="3"/>
        <v>11.652251691695506</v>
      </c>
      <c r="G16">
        <v>13.05</v>
      </c>
      <c r="H16">
        <f>H15+7</f>
        <v>55</v>
      </c>
      <c r="I16" s="7">
        <f t="shared" si="1"/>
        <v>0.11666666666666667</v>
      </c>
      <c r="J16">
        <v>60</v>
      </c>
    </row>
    <row r="17" spans="1:10" x14ac:dyDescent="0.3">
      <c r="A17" s="6">
        <v>6</v>
      </c>
      <c r="B17" s="6">
        <v>8.4</v>
      </c>
      <c r="D17" s="6">
        <f t="shared" si="2"/>
        <v>9.3294359999999994</v>
      </c>
      <c r="E17" s="6">
        <f t="shared" si="0"/>
        <v>8.3294359999999994</v>
      </c>
      <c r="F17" s="62">
        <f t="shared" si="3"/>
        <v>11.230182994670649</v>
      </c>
      <c r="G17">
        <v>13.07</v>
      </c>
      <c r="H17">
        <v>57</v>
      </c>
      <c r="I17" s="7">
        <f t="shared" si="1"/>
        <v>0.1</v>
      </c>
      <c r="J17">
        <v>60</v>
      </c>
    </row>
    <row r="18" spans="1:10" x14ac:dyDescent="0.3">
      <c r="A18" s="6">
        <v>6</v>
      </c>
      <c r="B18">
        <v>8.82</v>
      </c>
      <c r="D18" s="6">
        <f t="shared" si="2"/>
        <v>9.7439339999999994</v>
      </c>
      <c r="E18" s="6">
        <f t="shared" si="0"/>
        <v>8.7439339999999994</v>
      </c>
      <c r="F18" s="62">
        <f t="shared" si="3"/>
        <v>10.697826690182875</v>
      </c>
      <c r="G18">
        <v>13.11</v>
      </c>
      <c r="H18">
        <v>61</v>
      </c>
      <c r="I18" s="7">
        <f t="shared" si="1"/>
        <v>0.1</v>
      </c>
      <c r="J18">
        <v>60</v>
      </c>
    </row>
    <row r="19" spans="1:10" x14ac:dyDescent="0.3">
      <c r="A19" s="6">
        <v>6</v>
      </c>
      <c r="B19">
        <v>9.01</v>
      </c>
      <c r="D19" s="6">
        <f t="shared" si="2"/>
        <v>9.9314449999999983</v>
      </c>
      <c r="E19" s="6">
        <f t="shared" si="0"/>
        <v>8.9314449999999983</v>
      </c>
      <c r="F19" s="62">
        <f t="shared" si="3"/>
        <v>10.4732314337039</v>
      </c>
      <c r="G19">
        <v>13.15</v>
      </c>
      <c r="H19">
        <v>65</v>
      </c>
      <c r="I19" s="7">
        <f t="shared" si="1"/>
        <v>0.1</v>
      </c>
      <c r="J19">
        <v>60</v>
      </c>
    </row>
    <row r="20" spans="1:10" x14ac:dyDescent="0.3">
      <c r="A20" s="6">
        <v>6</v>
      </c>
      <c r="B20">
        <v>9.31</v>
      </c>
      <c r="D20" s="6">
        <f t="shared" si="2"/>
        <v>10.227515</v>
      </c>
      <c r="E20" s="6">
        <f t="shared" si="0"/>
        <v>9.2275150000000004</v>
      </c>
      <c r="F20" s="62">
        <f t="shared" si="3"/>
        <v>10.137191922462062</v>
      </c>
      <c r="G20">
        <v>13.2</v>
      </c>
      <c r="H20">
        <v>70</v>
      </c>
      <c r="I20" s="7">
        <f t="shared" si="1"/>
        <v>0.1</v>
      </c>
      <c r="J20">
        <v>60</v>
      </c>
    </row>
    <row r="21" spans="1:10" x14ac:dyDescent="0.3">
      <c r="A21" s="6">
        <v>5</v>
      </c>
      <c r="B21">
        <v>8.26</v>
      </c>
      <c r="D21" s="6">
        <f t="shared" si="2"/>
        <v>9.1912699999999994</v>
      </c>
      <c r="E21" s="6">
        <f t="shared" si="0"/>
        <v>8.1912699999999994</v>
      </c>
      <c r="F21" s="28">
        <f t="shared" si="3"/>
        <v>9.5163398067289435</v>
      </c>
      <c r="G21">
        <v>13.15</v>
      </c>
      <c r="H21">
        <v>73</v>
      </c>
      <c r="I21" s="7">
        <f t="shared" si="1"/>
        <v>8.3333333333333329E-2</v>
      </c>
      <c r="J21">
        <v>60</v>
      </c>
    </row>
    <row r="22" spans="1:10" x14ac:dyDescent="0.3">
      <c r="A22" s="6">
        <v>5</v>
      </c>
      <c r="B22" s="6">
        <v>8.6</v>
      </c>
      <c r="D22" s="6">
        <f t="shared" si="2"/>
        <v>9.5268159999999984</v>
      </c>
      <c r="E22" s="6">
        <f t="shared" si="0"/>
        <v>8.5268159999999984</v>
      </c>
      <c r="F22" s="28">
        <f t="shared" si="3"/>
        <v>9.1418542124826665</v>
      </c>
      <c r="G22">
        <v>13.3</v>
      </c>
      <c r="H22">
        <v>78</v>
      </c>
      <c r="I22" s="7">
        <f t="shared" si="1"/>
        <v>8.3333333333333329E-2</v>
      </c>
      <c r="J22">
        <v>60</v>
      </c>
    </row>
    <row r="23" spans="1:10" x14ac:dyDescent="0.3">
      <c r="A23" s="6">
        <v>5</v>
      </c>
      <c r="B23">
        <v>8.85</v>
      </c>
      <c r="D23" s="6">
        <f t="shared" si="2"/>
        <v>9.773540999999998</v>
      </c>
      <c r="E23" s="6">
        <f t="shared" si="0"/>
        <v>8.773540999999998</v>
      </c>
      <c r="F23" s="28">
        <f t="shared" si="3"/>
        <v>8.8847716980708942</v>
      </c>
      <c r="G23">
        <v>13.36</v>
      </c>
      <c r="H23">
        <f>78+6</f>
        <v>84</v>
      </c>
      <c r="I23" s="7">
        <f t="shared" si="1"/>
        <v>8.3333333333333329E-2</v>
      </c>
      <c r="J23">
        <v>60</v>
      </c>
    </row>
    <row r="24" spans="1:10" x14ac:dyDescent="0.3">
      <c r="A24" s="6">
        <v>5</v>
      </c>
      <c r="B24">
        <v>8.9700000000000006</v>
      </c>
      <c r="D24" s="6">
        <f t="shared" si="2"/>
        <v>9.8919689999999996</v>
      </c>
      <c r="E24" s="6">
        <f t="shared" si="0"/>
        <v>8.8919689999999996</v>
      </c>
      <c r="F24" s="28">
        <f t="shared" si="3"/>
        <v>8.7664395555882617</v>
      </c>
      <c r="G24">
        <v>13.4</v>
      </c>
      <c r="H24">
        <v>88</v>
      </c>
      <c r="I24" s="7">
        <f t="shared" si="1"/>
        <v>8.3333333333333329E-2</v>
      </c>
      <c r="J24">
        <v>60</v>
      </c>
    </row>
    <row r="25" spans="1:10" x14ac:dyDescent="0.3">
      <c r="A25" s="6">
        <v>5</v>
      </c>
      <c r="B25">
        <v>9.17</v>
      </c>
      <c r="D25" s="6">
        <f t="shared" si="2"/>
        <v>10.089348999999999</v>
      </c>
      <c r="E25" s="6">
        <f t="shared" si="0"/>
        <v>9.0893489999999986</v>
      </c>
      <c r="F25" s="28">
        <f t="shared" si="3"/>
        <v>8.5760717042182684</v>
      </c>
      <c r="G25">
        <v>13.45</v>
      </c>
      <c r="H25">
        <v>93</v>
      </c>
      <c r="I25" s="7">
        <f t="shared" si="1"/>
        <v>8.3333333333333329E-2</v>
      </c>
      <c r="J25">
        <v>60</v>
      </c>
    </row>
    <row r="26" spans="1:10" x14ac:dyDescent="0.3">
      <c r="A26" s="6">
        <v>5</v>
      </c>
      <c r="B26">
        <v>9.3699999999999992</v>
      </c>
      <c r="D26" s="6">
        <f t="shared" si="2"/>
        <v>10.286728999999998</v>
      </c>
      <c r="E26" s="6">
        <f t="shared" si="0"/>
        <v>9.2867289999999976</v>
      </c>
      <c r="F26" s="28">
        <f t="shared" si="3"/>
        <v>8.3937960038098041</v>
      </c>
      <c r="G26">
        <v>13.52</v>
      </c>
      <c r="H26">
        <v>100</v>
      </c>
      <c r="I26" s="7">
        <f t="shared" si="1"/>
        <v>8.3333333333333329E-2</v>
      </c>
      <c r="J26">
        <v>60</v>
      </c>
    </row>
    <row r="27" spans="1:10" x14ac:dyDescent="0.3">
      <c r="A27" s="6">
        <v>4</v>
      </c>
      <c r="B27">
        <v>8.0399999999999991</v>
      </c>
      <c r="D27" s="6">
        <f t="shared" si="2"/>
        <v>8.9741519999999984</v>
      </c>
      <c r="E27" s="6">
        <f t="shared" si="0"/>
        <v>7.9741519999999984</v>
      </c>
      <c r="F27" s="28">
        <f t="shared" si="3"/>
        <v>7.820358455034679</v>
      </c>
      <c r="G27">
        <v>13.55</v>
      </c>
      <c r="H27">
        <v>103</v>
      </c>
      <c r="I27" s="7">
        <f t="shared" si="1"/>
        <v>6.6666666666666666E-2</v>
      </c>
      <c r="J27">
        <v>60</v>
      </c>
    </row>
    <row r="28" spans="1:10" x14ac:dyDescent="0.3">
      <c r="A28" s="6">
        <v>4</v>
      </c>
      <c r="B28">
        <v>8.26</v>
      </c>
      <c r="D28" s="6">
        <f t="shared" si="2"/>
        <v>9.1912699999999994</v>
      </c>
      <c r="E28" s="6">
        <f t="shared" si="0"/>
        <v>8.1912699999999994</v>
      </c>
      <c r="F28" s="28">
        <f t="shared" si="3"/>
        <v>7.6130718453831561</v>
      </c>
      <c r="G28">
        <v>13.2</v>
      </c>
      <c r="H28">
        <v>108</v>
      </c>
      <c r="I28" s="7">
        <f t="shared" si="1"/>
        <v>6.6666666666666666E-2</v>
      </c>
      <c r="J28">
        <v>60</v>
      </c>
    </row>
    <row r="29" spans="1:10" x14ac:dyDescent="0.3">
      <c r="A29" s="6">
        <v>1</v>
      </c>
      <c r="B29">
        <v>4.12</v>
      </c>
      <c r="D29" s="6">
        <f t="shared" si="2"/>
        <v>5.1055039999999998</v>
      </c>
      <c r="E29" s="6">
        <f t="shared" si="0"/>
        <v>4.1055039999999998</v>
      </c>
      <c r="F29" s="28">
        <f t="shared" si="3"/>
        <v>3.7973855959543386</v>
      </c>
      <c r="G29">
        <v>14.41</v>
      </c>
      <c r="H29">
        <v>108</v>
      </c>
      <c r="I29" s="7">
        <f t="shared" si="1"/>
        <v>1.6666666666666666E-2</v>
      </c>
      <c r="J29">
        <v>60</v>
      </c>
    </row>
    <row r="30" spans="1:10" x14ac:dyDescent="0.3">
      <c r="A30" s="6">
        <v>1</v>
      </c>
      <c r="B30">
        <v>3.19</v>
      </c>
      <c r="D30" s="6">
        <f t="shared" si="2"/>
        <v>4.1876870000000004</v>
      </c>
      <c r="E30" s="6">
        <f t="shared" si="0"/>
        <v>3.1876870000000004</v>
      </c>
      <c r="F30" s="28">
        <f t="shared" si="3"/>
        <v>4.8907504889071358</v>
      </c>
      <c r="G30">
        <v>14.45</v>
      </c>
      <c r="H30">
        <v>112</v>
      </c>
      <c r="I30" s="7">
        <f t="shared" si="1"/>
        <v>1.6666666666666666E-2</v>
      </c>
      <c r="J30">
        <v>60</v>
      </c>
    </row>
    <row r="31" spans="1:10" x14ac:dyDescent="0.3">
      <c r="A31" s="6">
        <v>1</v>
      </c>
      <c r="B31">
        <v>3.74</v>
      </c>
      <c r="D31" s="6">
        <f t="shared" si="2"/>
        <v>4.7304820000000003</v>
      </c>
      <c r="E31" s="6">
        <f t="shared" si="0"/>
        <v>3.7304820000000003</v>
      </c>
      <c r="F31" s="28">
        <f t="shared" si="3"/>
        <v>4.1791333542777904</v>
      </c>
      <c r="G31">
        <v>15.06</v>
      </c>
      <c r="H31">
        <f>H30+21</f>
        <v>133</v>
      </c>
      <c r="I31" s="7">
        <f t="shared" si="1"/>
        <v>1.6666666666666666E-2</v>
      </c>
      <c r="J31">
        <v>60</v>
      </c>
    </row>
    <row r="32" spans="1:10" x14ac:dyDescent="0.3">
      <c r="A32" s="6">
        <v>1</v>
      </c>
      <c r="B32">
        <v>3.83</v>
      </c>
      <c r="D32" s="6">
        <f t="shared" si="2"/>
        <v>4.8193029999999997</v>
      </c>
      <c r="E32" s="6">
        <f t="shared" si="0"/>
        <v>3.8193029999999997</v>
      </c>
      <c r="F32" s="28">
        <f t="shared" si="3"/>
        <v>4.0819442065038887</v>
      </c>
      <c r="G32">
        <v>15.15</v>
      </c>
      <c r="H32">
        <f>H31+9</f>
        <v>142</v>
      </c>
      <c r="I32" s="7">
        <f t="shared" si="1"/>
        <v>1.6666666666666666E-2</v>
      </c>
      <c r="J32">
        <v>60</v>
      </c>
    </row>
    <row r="33" spans="1:28" x14ac:dyDescent="0.3">
      <c r="A33" s="6">
        <v>1</v>
      </c>
      <c r="B33">
        <v>3.89</v>
      </c>
      <c r="D33" s="6">
        <f t="shared" si="2"/>
        <v>4.8785170000000004</v>
      </c>
      <c r="E33" s="6">
        <f t="shared" si="0"/>
        <v>3.8785170000000004</v>
      </c>
      <c r="F33" s="28">
        <f t="shared" si="3"/>
        <v>4.0196244476259659</v>
      </c>
      <c r="G33">
        <v>15.18</v>
      </c>
      <c r="H33">
        <v>145</v>
      </c>
      <c r="I33" s="7">
        <f t="shared" si="1"/>
        <v>1.6666666666666666E-2</v>
      </c>
      <c r="J33">
        <v>60</v>
      </c>
    </row>
    <row r="34" spans="1:28" x14ac:dyDescent="0.3">
      <c r="A34" s="6">
        <v>3</v>
      </c>
      <c r="B34">
        <v>7.34</v>
      </c>
      <c r="D34" s="6">
        <f t="shared" si="2"/>
        <v>8.2833220000000001</v>
      </c>
      <c r="E34" s="6">
        <f t="shared" si="0"/>
        <v>7.2833220000000001</v>
      </c>
      <c r="F34" s="28">
        <f t="shared" si="3"/>
        <v>6.4215951541341649</v>
      </c>
      <c r="G34">
        <v>15.23</v>
      </c>
      <c r="H34">
        <v>150</v>
      </c>
      <c r="I34" s="7">
        <f t="shared" si="1"/>
        <v>0.05</v>
      </c>
      <c r="J34">
        <v>60</v>
      </c>
    </row>
    <row r="35" spans="1:28" x14ac:dyDescent="0.3">
      <c r="A35" s="6">
        <v>3</v>
      </c>
      <c r="B35">
        <v>7.42</v>
      </c>
      <c r="D35" s="6">
        <f t="shared" si="2"/>
        <v>8.3622739999999993</v>
      </c>
      <c r="E35" s="6">
        <f t="shared" si="0"/>
        <v>7.3622739999999993</v>
      </c>
      <c r="F35" s="28">
        <f t="shared" si="3"/>
        <v>6.3527308629370154</v>
      </c>
      <c r="G35">
        <v>15.29</v>
      </c>
      <c r="H35">
        <v>156</v>
      </c>
      <c r="I35" s="7">
        <f t="shared" si="1"/>
        <v>0.05</v>
      </c>
      <c r="J35">
        <v>60</v>
      </c>
    </row>
    <row r="36" spans="1:28" x14ac:dyDescent="0.3">
      <c r="A36" s="6">
        <v>3</v>
      </c>
      <c r="B36">
        <v>7.43</v>
      </c>
      <c r="D36" s="6">
        <f t="shared" si="2"/>
        <v>8.3721429999999994</v>
      </c>
      <c r="E36" s="6">
        <f t="shared" si="0"/>
        <v>7.3721429999999994</v>
      </c>
      <c r="F36" s="28">
        <f t="shared" si="3"/>
        <v>6.3442265378192957</v>
      </c>
      <c r="G36">
        <v>15.35</v>
      </c>
      <c r="H36">
        <v>162</v>
      </c>
      <c r="I36" s="7">
        <f t="shared" si="1"/>
        <v>0.05</v>
      </c>
      <c r="J36">
        <v>60</v>
      </c>
    </row>
    <row r="37" spans="1:28" x14ac:dyDescent="0.3">
      <c r="A37" s="6">
        <v>3</v>
      </c>
      <c r="B37" s="6">
        <v>7.5</v>
      </c>
      <c r="D37" s="6">
        <f t="shared" si="2"/>
        <v>8.4412260000000003</v>
      </c>
      <c r="E37" s="6">
        <f t="shared" si="0"/>
        <v>7.4412260000000003</v>
      </c>
      <c r="F37" s="28">
        <f t="shared" si="3"/>
        <v>6.2853278829589039</v>
      </c>
      <c r="G37">
        <v>15.43</v>
      </c>
      <c r="H37">
        <v>200</v>
      </c>
      <c r="I37" s="7">
        <f t="shared" si="1"/>
        <v>0.05</v>
      </c>
      <c r="J37">
        <v>60</v>
      </c>
    </row>
    <row r="38" spans="1:28" x14ac:dyDescent="0.3">
      <c r="A38" s="6">
        <v>3</v>
      </c>
      <c r="B38">
        <v>7.47</v>
      </c>
      <c r="D38" s="6">
        <f t="shared" si="2"/>
        <v>8.411619</v>
      </c>
      <c r="E38" s="6">
        <f t="shared" si="0"/>
        <v>7.411619</v>
      </c>
      <c r="F38" s="28">
        <f t="shared" si="3"/>
        <v>6.3104357173781809</v>
      </c>
      <c r="G38">
        <v>15.52</v>
      </c>
      <c r="H38">
        <v>209</v>
      </c>
      <c r="I38" s="7">
        <f t="shared" si="1"/>
        <v>0.05</v>
      </c>
      <c r="J38">
        <v>60</v>
      </c>
    </row>
    <row r="39" spans="1:28" x14ac:dyDescent="0.3">
      <c r="A39" s="6">
        <v>3</v>
      </c>
      <c r="B39">
        <v>7.53</v>
      </c>
      <c r="D39" s="6">
        <f t="shared" si="2"/>
        <v>8.4708329999999989</v>
      </c>
      <c r="E39" s="6">
        <f t="shared" si="0"/>
        <v>7.4708329999999989</v>
      </c>
      <c r="F39" s="28">
        <f t="shared" si="3"/>
        <v>6.2604190538322513</v>
      </c>
      <c r="G39">
        <v>15.58</v>
      </c>
      <c r="H39">
        <v>215</v>
      </c>
      <c r="I39" s="7">
        <f t="shared" si="1"/>
        <v>0.05</v>
      </c>
      <c r="J39">
        <v>60</v>
      </c>
    </row>
    <row r="40" spans="1:28" x14ac:dyDescent="0.3">
      <c r="A40" s="6">
        <v>3</v>
      </c>
      <c r="B40">
        <v>7.55</v>
      </c>
      <c r="D40" s="6">
        <f t="shared" si="2"/>
        <v>8.4905709999999992</v>
      </c>
      <c r="E40" s="6">
        <f t="shared" si="0"/>
        <v>7.4905709999999992</v>
      </c>
      <c r="F40" s="28">
        <f t="shared" si="3"/>
        <v>6.2439225609367774</v>
      </c>
      <c r="G40">
        <v>16.05</v>
      </c>
      <c r="H40">
        <f>H39+7</f>
        <v>222</v>
      </c>
      <c r="I40" s="7">
        <f t="shared" si="1"/>
        <v>0.05</v>
      </c>
      <c r="J40">
        <v>60</v>
      </c>
    </row>
    <row r="41" spans="1:28" x14ac:dyDescent="0.3">
      <c r="A41" s="6">
        <v>3</v>
      </c>
      <c r="B41">
        <v>7.54</v>
      </c>
      <c r="D41" s="6">
        <f t="shared" si="2"/>
        <v>8.4807020000000009</v>
      </c>
      <c r="E41" s="6">
        <f t="shared" si="0"/>
        <v>7.4807020000000009</v>
      </c>
      <c r="F41" s="28">
        <f t="shared" si="3"/>
        <v>6.2521599257928937</v>
      </c>
      <c r="G41">
        <v>16.100000000000001</v>
      </c>
      <c r="H41">
        <v>227</v>
      </c>
      <c r="I41" s="7">
        <f t="shared" si="1"/>
        <v>0.05</v>
      </c>
      <c r="J41">
        <v>60</v>
      </c>
    </row>
    <row r="42" spans="1:28" x14ac:dyDescent="0.3">
      <c r="A42" s="6">
        <v>3</v>
      </c>
      <c r="B42">
        <v>7.58</v>
      </c>
      <c r="D42" s="6">
        <f t="shared" si="2"/>
        <v>8.5201780000000014</v>
      </c>
      <c r="E42" s="6">
        <f t="shared" si="0"/>
        <v>7.5201780000000014</v>
      </c>
      <c r="F42" s="28">
        <f t="shared" si="3"/>
        <v>6.2193401886496229</v>
      </c>
      <c r="G42">
        <v>16.149999999999999</v>
      </c>
      <c r="H42">
        <v>232</v>
      </c>
      <c r="I42" s="7">
        <f t="shared" si="1"/>
        <v>0.05</v>
      </c>
      <c r="J42">
        <v>60</v>
      </c>
    </row>
    <row r="43" spans="1:28" x14ac:dyDescent="0.3">
      <c r="A43" s="6">
        <v>3</v>
      </c>
      <c r="B43">
        <v>7.71</v>
      </c>
      <c r="D43" s="6">
        <f t="shared" si="2"/>
        <v>8.6484750000000012</v>
      </c>
      <c r="E43" s="6">
        <f t="shared" si="0"/>
        <v>7.6484750000000012</v>
      </c>
      <c r="F43" s="28">
        <f t="shared" si="3"/>
        <v>6.1150157725819518</v>
      </c>
      <c r="G43">
        <v>16.21</v>
      </c>
      <c r="H43">
        <v>238</v>
      </c>
      <c r="I43" s="7">
        <f t="shared" si="1"/>
        <v>0.05</v>
      </c>
      <c r="J43">
        <v>60</v>
      </c>
    </row>
    <row r="44" spans="1:28" x14ac:dyDescent="0.3">
      <c r="A44" s="6">
        <v>3</v>
      </c>
      <c r="B44">
        <v>7.76</v>
      </c>
      <c r="D44" s="6">
        <f t="shared" si="2"/>
        <v>8.6978200000000001</v>
      </c>
      <c r="E44" s="6">
        <f t="shared" si="0"/>
        <v>7.6978200000000001</v>
      </c>
      <c r="F44" s="28">
        <f t="shared" si="3"/>
        <v>6.0758169535269406</v>
      </c>
      <c r="G44">
        <v>16.3</v>
      </c>
      <c r="H44">
        <f>H43+9</f>
        <v>247</v>
      </c>
      <c r="I44" s="7">
        <f t="shared" si="1"/>
        <v>0.05</v>
      </c>
      <c r="J44">
        <v>60</v>
      </c>
      <c r="O44" s="27" t="s">
        <v>177</v>
      </c>
      <c r="S44" s="2" t="s">
        <v>175</v>
      </c>
    </row>
    <row r="45" spans="1:28" x14ac:dyDescent="0.3">
      <c r="A45" s="6">
        <v>3</v>
      </c>
      <c r="B45">
        <v>7.66</v>
      </c>
      <c r="D45" s="6">
        <f t="shared" si="2"/>
        <v>8.5991300000000006</v>
      </c>
      <c r="E45" s="6">
        <f t="shared" si="0"/>
        <v>7.5991300000000006</v>
      </c>
      <c r="F45" s="28">
        <f t="shared" si="3"/>
        <v>6.1547236672091081</v>
      </c>
      <c r="G45">
        <v>16.36</v>
      </c>
      <c r="H45">
        <v>300</v>
      </c>
      <c r="I45" s="7">
        <f t="shared" si="1"/>
        <v>0.05</v>
      </c>
      <c r="J45">
        <v>60</v>
      </c>
      <c r="N45" s="2" t="s">
        <v>21</v>
      </c>
      <c r="O45" s="2" t="s">
        <v>109</v>
      </c>
      <c r="P45" s="2" t="s">
        <v>1</v>
      </c>
      <c r="R45" s="2" t="s">
        <v>21</v>
      </c>
      <c r="S45" s="2" t="s">
        <v>109</v>
      </c>
      <c r="T45" s="2" t="s">
        <v>1</v>
      </c>
      <c r="V45" s="2" t="s">
        <v>21</v>
      </c>
      <c r="W45" s="2" t="s">
        <v>109</v>
      </c>
      <c r="X45" s="2" t="s">
        <v>213</v>
      </c>
      <c r="Y45" s="2" t="s">
        <v>233</v>
      </c>
      <c r="Z45" s="2" t="s">
        <v>214</v>
      </c>
      <c r="AA45" s="2" t="s">
        <v>215</v>
      </c>
      <c r="AB45" s="2" t="s">
        <v>133</v>
      </c>
    </row>
    <row r="46" spans="1:28" x14ac:dyDescent="0.3">
      <c r="A46" s="6">
        <v>3</v>
      </c>
      <c r="B46">
        <v>7.72</v>
      </c>
      <c r="D46" s="6">
        <f t="shared" si="2"/>
        <v>8.6583439999999996</v>
      </c>
      <c r="E46" s="6">
        <f t="shared" si="0"/>
        <v>7.6583439999999996</v>
      </c>
      <c r="F46" s="28">
        <f t="shared" si="3"/>
        <v>6.1071355976172859</v>
      </c>
      <c r="G46">
        <v>16.39</v>
      </c>
      <c r="H46">
        <v>303</v>
      </c>
      <c r="I46" s="7">
        <f t="shared" si="1"/>
        <v>0.05</v>
      </c>
      <c r="J46">
        <v>60</v>
      </c>
      <c r="N46">
        <v>51.344900000000003</v>
      </c>
      <c r="O46">
        <v>55.307099999999998</v>
      </c>
      <c r="P46" s="6">
        <f>(O46-N46)/0.997</f>
        <v>3.9741223671012995</v>
      </c>
      <c r="R46">
        <v>87.638900000000007</v>
      </c>
      <c r="S46">
        <v>95.323400000000007</v>
      </c>
      <c r="T46" s="6">
        <f>(S46-R46)/0.997</f>
        <v>7.7076228686058172</v>
      </c>
      <c r="V46">
        <v>87.638900000000007</v>
      </c>
      <c r="W46">
        <v>95.323400000000007</v>
      </c>
      <c r="X46">
        <v>8</v>
      </c>
      <c r="Y46">
        <v>2.5430000000000001</v>
      </c>
      <c r="Z46" s="6">
        <f>T46</f>
        <v>7.7076228686058172</v>
      </c>
      <c r="AA46" s="6">
        <f>R49</f>
        <v>40.632410620549003</v>
      </c>
      <c r="AB46" s="36">
        <f>S49</f>
        <v>18.969149875414594</v>
      </c>
    </row>
    <row r="47" spans="1:28" x14ac:dyDescent="0.3">
      <c r="A47" s="6">
        <v>3</v>
      </c>
      <c r="B47">
        <v>7.75</v>
      </c>
      <c r="D47" s="6">
        <f t="shared" si="2"/>
        <v>8.687951</v>
      </c>
      <c r="E47" s="6">
        <f t="shared" si="0"/>
        <v>7.687951</v>
      </c>
      <c r="F47" s="28">
        <f t="shared" si="3"/>
        <v>6.0836164618113147</v>
      </c>
      <c r="G47">
        <v>16.43</v>
      </c>
      <c r="H47">
        <v>309</v>
      </c>
      <c r="I47" s="7">
        <f t="shared" si="1"/>
        <v>0.05</v>
      </c>
      <c r="J47">
        <v>60</v>
      </c>
      <c r="V47">
        <v>51.344900000000003</v>
      </c>
      <c r="W47">
        <v>55.307099999999998</v>
      </c>
      <c r="X47">
        <v>4.7510000000000003</v>
      </c>
      <c r="Y47">
        <v>2.5430000000000001</v>
      </c>
      <c r="Z47" s="6">
        <f>P46</f>
        <v>3.9741223671012995</v>
      </c>
      <c r="AA47" s="6">
        <f>N49</f>
        <v>24.130572857278541</v>
      </c>
      <c r="AB47" s="36">
        <f>O49</f>
        <v>16.469241698514338</v>
      </c>
    </row>
    <row r="48" spans="1:28" x14ac:dyDescent="0.3">
      <c r="A48" s="6">
        <v>3</v>
      </c>
      <c r="B48">
        <v>7.81</v>
      </c>
      <c r="D48" s="6">
        <f t="shared" si="2"/>
        <v>8.747164999999999</v>
      </c>
      <c r="E48" s="6">
        <f t="shared" si="0"/>
        <v>7.747164999999999</v>
      </c>
      <c r="F48" s="28">
        <f t="shared" si="3"/>
        <v>6.0371174824853684</v>
      </c>
      <c r="G48">
        <v>14.46</v>
      </c>
      <c r="H48">
        <v>312</v>
      </c>
      <c r="I48" s="7">
        <f t="shared" si="1"/>
        <v>0.05</v>
      </c>
      <c r="J48">
        <v>60</v>
      </c>
      <c r="N48" s="2" t="s">
        <v>2</v>
      </c>
      <c r="O48" s="11" t="s">
        <v>3</v>
      </c>
      <c r="R48" s="2" t="s">
        <v>2</v>
      </c>
      <c r="S48" s="11" t="s">
        <v>3</v>
      </c>
      <c r="V48">
        <v>51.344900000000003</v>
      </c>
      <c r="W48">
        <v>55.458199999999998</v>
      </c>
      <c r="X48">
        <v>4.7510000000000003</v>
      </c>
      <c r="Y48">
        <v>2.5430000000000001</v>
      </c>
      <c r="Z48" s="6">
        <f>P52</f>
        <v>4.1256770310932751</v>
      </c>
      <c r="AA48" s="6">
        <f>N55</f>
        <v>24.130572857278541</v>
      </c>
      <c r="AB48" s="36">
        <f>O55</f>
        <v>17.097302478042252</v>
      </c>
    </row>
    <row r="49" spans="1:28" x14ac:dyDescent="0.3">
      <c r="A49" s="6">
        <v>3</v>
      </c>
      <c r="B49">
        <v>7.86</v>
      </c>
      <c r="D49" s="6">
        <f t="shared" si="2"/>
        <v>8.7965100000000014</v>
      </c>
      <c r="E49" s="6">
        <f t="shared" si="0"/>
        <v>7.7965100000000014</v>
      </c>
      <c r="F49" s="28">
        <f t="shared" si="3"/>
        <v>5.9989078781658387</v>
      </c>
      <c r="G49">
        <v>14.5</v>
      </c>
      <c r="H49">
        <v>316</v>
      </c>
      <c r="I49" s="7">
        <f t="shared" si="1"/>
        <v>0.05</v>
      </c>
      <c r="J49">
        <v>60</v>
      </c>
      <c r="N49" s="6">
        <f>PI()*L3^2/4*K3</f>
        <v>24.130572857278541</v>
      </c>
      <c r="O49" s="23">
        <f>P46/N49*100</f>
        <v>16.469241698514338</v>
      </c>
      <c r="R49" s="6">
        <f>PI()*L3^2/4*8</f>
        <v>40.632410620549003</v>
      </c>
      <c r="S49" s="23">
        <f>T46/R49*100</f>
        <v>18.969149875414594</v>
      </c>
      <c r="V49">
        <v>51.344900000000003</v>
      </c>
      <c r="W49">
        <v>55.989899999999999</v>
      </c>
      <c r="X49">
        <v>4.7510000000000003</v>
      </c>
      <c r="Y49">
        <v>2.5430000000000001</v>
      </c>
      <c r="Z49" s="6">
        <f>P58</f>
        <v>4.658976930792373</v>
      </c>
      <c r="AA49" s="6">
        <f>N61</f>
        <v>24.130572857278541</v>
      </c>
      <c r="AB49" s="36">
        <f>O61</f>
        <v>19.307361488465776</v>
      </c>
    </row>
    <row r="50" spans="1:28" x14ac:dyDescent="0.3">
      <c r="A50" s="6">
        <v>3</v>
      </c>
      <c r="B50">
        <v>7.91</v>
      </c>
      <c r="D50" s="6">
        <f t="shared" si="2"/>
        <v>8.8458550000000002</v>
      </c>
      <c r="E50" s="6">
        <f t="shared" si="0"/>
        <v>7.8458550000000002</v>
      </c>
      <c r="F50" s="28">
        <f t="shared" si="3"/>
        <v>5.9611788978000178</v>
      </c>
      <c r="G50">
        <v>15.03</v>
      </c>
      <c r="H50">
        <f>H49+13</f>
        <v>329</v>
      </c>
      <c r="I50" s="7">
        <f t="shared" si="1"/>
        <v>0.05</v>
      </c>
      <c r="J50">
        <v>60</v>
      </c>
      <c r="O50" s="3"/>
      <c r="S50" s="3"/>
      <c r="V50">
        <v>51.344900000000003</v>
      </c>
      <c r="W50">
        <v>55.527799999999999</v>
      </c>
      <c r="X50">
        <v>4.7510000000000003</v>
      </c>
      <c r="Y50">
        <v>2.5430000000000001</v>
      </c>
      <c r="Z50" s="6">
        <f>T52</f>
        <v>4.1954864593781309</v>
      </c>
      <c r="AA50" s="6">
        <f>R55</f>
        <v>24.130572857278541</v>
      </c>
      <c r="AB50" s="36">
        <f>S55</f>
        <v>17.386601156104092</v>
      </c>
    </row>
    <row r="51" spans="1:28" x14ac:dyDescent="0.3">
      <c r="A51" s="6">
        <v>3</v>
      </c>
      <c r="B51">
        <v>7.87</v>
      </c>
      <c r="D51" s="6">
        <f t="shared" si="2"/>
        <v>8.8063789999999997</v>
      </c>
      <c r="E51" s="6">
        <f t="shared" si="0"/>
        <v>7.8063789999999997</v>
      </c>
      <c r="F51" s="28">
        <f t="shared" si="3"/>
        <v>5.9913239238318754</v>
      </c>
      <c r="G51">
        <v>15.11</v>
      </c>
      <c r="H51">
        <f>H50+8</f>
        <v>337</v>
      </c>
      <c r="I51" s="7">
        <f t="shared" si="1"/>
        <v>0.05</v>
      </c>
      <c r="J51">
        <v>60</v>
      </c>
      <c r="N51" s="2" t="s">
        <v>21</v>
      </c>
      <c r="O51" s="11" t="s">
        <v>109</v>
      </c>
      <c r="P51" s="2" t="s">
        <v>1</v>
      </c>
      <c r="R51" s="2" t="s">
        <v>21</v>
      </c>
      <c r="S51" s="11" t="s">
        <v>109</v>
      </c>
      <c r="T51" s="2" t="s">
        <v>1</v>
      </c>
      <c r="V51">
        <v>51.344900000000003</v>
      </c>
      <c r="W51">
        <v>55.789400000000001</v>
      </c>
      <c r="X51">
        <v>4.7510000000000003</v>
      </c>
      <c r="Y51">
        <v>2.5430000000000001</v>
      </c>
      <c r="Z51" s="6">
        <f>T58</f>
        <v>4.4578736208625855</v>
      </c>
      <c r="AA51" s="6">
        <f>R61</f>
        <v>24.130572857278541</v>
      </c>
      <c r="AB51" s="36">
        <f>S61</f>
        <v>18.473965152957199</v>
      </c>
    </row>
    <row r="52" spans="1:28" x14ac:dyDescent="0.3">
      <c r="A52" s="6">
        <v>3</v>
      </c>
      <c r="B52">
        <v>7.84</v>
      </c>
      <c r="D52" s="6">
        <f t="shared" si="2"/>
        <v>8.7767720000000011</v>
      </c>
      <c r="E52" s="6">
        <f t="shared" si="0"/>
        <v>7.7767720000000011</v>
      </c>
      <c r="F52" s="28">
        <f t="shared" si="3"/>
        <v>6.01413353267895</v>
      </c>
      <c r="G52">
        <v>15.16</v>
      </c>
      <c r="H52">
        <f>H51+5</f>
        <v>342</v>
      </c>
      <c r="I52" s="7">
        <f t="shared" si="1"/>
        <v>0.05</v>
      </c>
      <c r="J52">
        <v>60</v>
      </c>
      <c r="N52">
        <v>51.344900000000003</v>
      </c>
      <c r="O52" s="3">
        <v>55.458199999999998</v>
      </c>
      <c r="P52" s="6">
        <f>(O52-N52)/0.997</f>
        <v>4.1256770310932751</v>
      </c>
      <c r="R52">
        <v>51.344900000000003</v>
      </c>
      <c r="S52" s="3">
        <v>55.527799999999999</v>
      </c>
      <c r="T52" s="6">
        <f>(S52-R52)/0.997</f>
        <v>4.1954864593781309</v>
      </c>
    </row>
    <row r="53" spans="1:28" x14ac:dyDescent="0.3">
      <c r="A53" s="6">
        <v>3</v>
      </c>
      <c r="B53">
        <v>7.91</v>
      </c>
      <c r="D53" s="6">
        <f t="shared" si="2"/>
        <v>8.8458550000000002</v>
      </c>
      <c r="E53" s="6">
        <f t="shared" si="0"/>
        <v>7.8458550000000002</v>
      </c>
      <c r="F53" s="28">
        <f t="shared" si="3"/>
        <v>5.9611788978000178</v>
      </c>
      <c r="G53">
        <v>15.18</v>
      </c>
      <c r="H53">
        <v>344</v>
      </c>
      <c r="I53" s="7">
        <f t="shared" si="1"/>
        <v>0.05</v>
      </c>
      <c r="J53">
        <v>60</v>
      </c>
      <c r="O53" s="3"/>
      <c r="S53" s="3"/>
    </row>
    <row r="54" spans="1:28" x14ac:dyDescent="0.3">
      <c r="A54" s="6">
        <v>3</v>
      </c>
      <c r="B54" s="6">
        <v>7.9</v>
      </c>
      <c r="D54" s="6">
        <f t="shared" si="2"/>
        <v>8.8359860000000001</v>
      </c>
      <c r="E54" s="6">
        <f t="shared" si="0"/>
        <v>7.8359860000000001</v>
      </c>
      <c r="F54" s="28">
        <f t="shared" si="3"/>
        <v>5.9686866797871714</v>
      </c>
      <c r="G54">
        <v>15.24</v>
      </c>
      <c r="H54">
        <v>350</v>
      </c>
      <c r="I54" s="7">
        <f t="shared" si="1"/>
        <v>0.05</v>
      </c>
      <c r="J54">
        <v>60</v>
      </c>
      <c r="N54" s="2" t="s">
        <v>2</v>
      </c>
      <c r="O54" s="11" t="s">
        <v>3</v>
      </c>
      <c r="R54" s="2" t="s">
        <v>2</v>
      </c>
      <c r="S54" s="11" t="s">
        <v>3</v>
      </c>
      <c r="Y54" s="2"/>
    </row>
    <row r="55" spans="1:28" x14ac:dyDescent="0.3">
      <c r="A55" s="6">
        <v>3</v>
      </c>
      <c r="B55">
        <v>8.56</v>
      </c>
      <c r="D55" s="6">
        <f t="shared" si="2"/>
        <v>9.4873399999999997</v>
      </c>
      <c r="E55" s="6">
        <f t="shared" si="0"/>
        <v>8.4873399999999997</v>
      </c>
      <c r="F55" s="28">
        <f t="shared" si="3"/>
        <v>5.5106246787802489</v>
      </c>
      <c r="G55">
        <v>10.15</v>
      </c>
      <c r="H55">
        <v>350</v>
      </c>
      <c r="I55" s="7">
        <f t="shared" si="1"/>
        <v>0.05</v>
      </c>
      <c r="J55">
        <v>60</v>
      </c>
      <c r="N55" s="6">
        <f>PI()*L3^2/4*K3</f>
        <v>24.130572857278541</v>
      </c>
      <c r="O55" s="23">
        <f>P52/N55*100</f>
        <v>17.097302478042252</v>
      </c>
      <c r="R55" s="6">
        <f>PI()*L3^2/4*K3</f>
        <v>24.130572857278541</v>
      </c>
      <c r="S55" s="23">
        <f>T52/R55*100</f>
        <v>17.386601156104092</v>
      </c>
      <c r="W55" s="36"/>
      <c r="X55" s="2" t="s">
        <v>21</v>
      </c>
      <c r="Y55" s="2" t="s">
        <v>109</v>
      </c>
      <c r="Z55" t="s">
        <v>214</v>
      </c>
      <c r="AA55" t="s">
        <v>215</v>
      </c>
      <c r="AB55" t="s">
        <v>133</v>
      </c>
    </row>
    <row r="56" spans="1:28" x14ac:dyDescent="0.3">
      <c r="A56" s="6">
        <v>3</v>
      </c>
      <c r="B56">
        <v>8.67</v>
      </c>
      <c r="D56" s="6">
        <f t="shared" si="2"/>
        <v>9.5958989999999993</v>
      </c>
      <c r="E56" s="6">
        <f t="shared" si="0"/>
        <v>8.5958989999999993</v>
      </c>
      <c r="F56" s="28">
        <f t="shared" si="3"/>
        <v>5.4410301076360668</v>
      </c>
      <c r="G56">
        <v>10.18</v>
      </c>
      <c r="H56">
        <v>353</v>
      </c>
      <c r="I56" s="7">
        <f t="shared" si="1"/>
        <v>0.05</v>
      </c>
      <c r="J56">
        <v>60</v>
      </c>
      <c r="O56" s="3"/>
      <c r="S56" s="3"/>
      <c r="W56" s="36"/>
      <c r="X56">
        <v>87.638900000000007</v>
      </c>
      <c r="Y56">
        <v>95.323400000000007</v>
      </c>
      <c r="Z56" s="6">
        <v>7.7076228686058172</v>
      </c>
      <c r="AA56" s="6">
        <v>40.632410620549003</v>
      </c>
      <c r="AB56" s="36">
        <v>18.969149875414594</v>
      </c>
    </row>
    <row r="57" spans="1:28" x14ac:dyDescent="0.3">
      <c r="A57" s="6">
        <v>3</v>
      </c>
      <c r="B57">
        <v>8.08</v>
      </c>
      <c r="D57" s="6">
        <f t="shared" si="2"/>
        <v>9.0136279999999989</v>
      </c>
      <c r="E57" s="6">
        <f t="shared" si="0"/>
        <v>8.0136279999999989</v>
      </c>
      <c r="F57" s="28">
        <f t="shared" si="3"/>
        <v>5.8363758913189834</v>
      </c>
      <c r="G57">
        <v>10.29</v>
      </c>
      <c r="H57">
        <f>H56+9</f>
        <v>362</v>
      </c>
      <c r="I57" s="7">
        <f t="shared" si="1"/>
        <v>0.05</v>
      </c>
      <c r="J57">
        <v>60</v>
      </c>
      <c r="K57" s="2"/>
      <c r="N57" s="2" t="s">
        <v>21</v>
      </c>
      <c r="O57" s="11" t="s">
        <v>109</v>
      </c>
      <c r="P57" s="2" t="s">
        <v>1</v>
      </c>
      <c r="R57" s="2" t="s">
        <v>21</v>
      </c>
      <c r="S57" s="11" t="s">
        <v>109</v>
      </c>
      <c r="T57" s="2" t="s">
        <v>1</v>
      </c>
      <c r="W57" s="36"/>
      <c r="X57">
        <v>51.344900000000003</v>
      </c>
      <c r="Y57">
        <v>55.307099999999998</v>
      </c>
      <c r="Z57" s="6">
        <v>3.9741223671012995</v>
      </c>
      <c r="AA57" s="6">
        <v>24.130572857278541</v>
      </c>
      <c r="AB57" s="36">
        <v>16.469241698514338</v>
      </c>
    </row>
    <row r="58" spans="1:28" x14ac:dyDescent="0.3">
      <c r="A58" s="6">
        <v>3.5</v>
      </c>
      <c r="B58">
        <v>9.15</v>
      </c>
      <c r="D58" s="6">
        <f t="shared" si="2"/>
        <v>10.069611</v>
      </c>
      <c r="E58" s="6">
        <f t="shared" si="0"/>
        <v>9.0696110000000001</v>
      </c>
      <c r="F58" s="28">
        <f t="shared" si="3"/>
        <v>6.016314937659974</v>
      </c>
      <c r="G58">
        <v>10.39</v>
      </c>
      <c r="H58">
        <f>372</f>
        <v>372</v>
      </c>
      <c r="I58" s="7">
        <f t="shared" si="1"/>
        <v>5.8333333333333334E-2</v>
      </c>
      <c r="J58">
        <v>60</v>
      </c>
      <c r="L58" s="1"/>
      <c r="M58" s="1"/>
      <c r="N58">
        <v>51.344900000000003</v>
      </c>
      <c r="O58" s="3">
        <v>55.989899999999999</v>
      </c>
      <c r="P58" s="6">
        <f>(O58-N58)/0.997</f>
        <v>4.658976930792373</v>
      </c>
      <c r="R58">
        <v>51.344900000000003</v>
      </c>
      <c r="S58" s="3">
        <v>55.789400000000001</v>
      </c>
      <c r="T58" s="6">
        <f>(S58-R58)/0.997</f>
        <v>4.4578736208625855</v>
      </c>
      <c r="W58" s="36"/>
      <c r="X58">
        <v>51.344900000000003</v>
      </c>
      <c r="Y58">
        <v>55.458199999999998</v>
      </c>
      <c r="Z58" s="6">
        <v>4.1256770310932751</v>
      </c>
      <c r="AA58" s="6">
        <v>24.130572857278541</v>
      </c>
      <c r="AB58" s="36">
        <v>17.097302478042252</v>
      </c>
    </row>
    <row r="59" spans="1:28" x14ac:dyDescent="0.3">
      <c r="A59" s="6">
        <v>3.5</v>
      </c>
      <c r="B59">
        <v>8.82</v>
      </c>
      <c r="D59" s="6">
        <f t="shared" si="2"/>
        <v>9.7439339999999994</v>
      </c>
      <c r="E59" s="6">
        <f t="shared" si="0"/>
        <v>8.7439339999999994</v>
      </c>
      <c r="F59" s="28">
        <f t="shared" si="3"/>
        <v>6.2403989026066782</v>
      </c>
      <c r="G59">
        <v>10.49</v>
      </c>
      <c r="H59">
        <v>382</v>
      </c>
      <c r="I59" s="7">
        <f t="shared" si="1"/>
        <v>5.8333333333333334E-2</v>
      </c>
      <c r="J59">
        <v>60</v>
      </c>
      <c r="L59" s="1"/>
      <c r="M59" s="1"/>
      <c r="O59" s="3"/>
      <c r="S59" s="3"/>
      <c r="W59" s="36"/>
      <c r="X59">
        <v>51.344900000000003</v>
      </c>
      <c r="Y59">
        <v>55.989899999999999</v>
      </c>
      <c r="Z59" s="6">
        <v>4.658976930792373</v>
      </c>
      <c r="AA59" s="6">
        <v>24.130572857278541</v>
      </c>
      <c r="AB59" s="36">
        <v>19.307361488465776</v>
      </c>
    </row>
    <row r="60" spans="1:28" x14ac:dyDescent="0.3">
      <c r="A60" s="6">
        <v>3.5</v>
      </c>
      <c r="B60">
        <v>8.77</v>
      </c>
      <c r="D60" s="6">
        <f t="shared" si="2"/>
        <v>9.6945889999999988</v>
      </c>
      <c r="E60" s="6">
        <f t="shared" si="0"/>
        <v>8.6945889999999988</v>
      </c>
      <c r="F60" s="28">
        <f t="shared" si="3"/>
        <v>6.2758154684557521</v>
      </c>
      <c r="G60">
        <v>10.56</v>
      </c>
      <c r="H60">
        <f>H59+7</f>
        <v>389</v>
      </c>
      <c r="I60" s="7">
        <f t="shared" si="1"/>
        <v>5.8333333333333334E-2</v>
      </c>
      <c r="J60">
        <v>60</v>
      </c>
      <c r="L60" s="1"/>
      <c r="M60" s="1"/>
      <c r="N60" s="2" t="s">
        <v>2</v>
      </c>
      <c r="O60" s="11" t="s">
        <v>3</v>
      </c>
      <c r="R60" s="2" t="s">
        <v>2</v>
      </c>
      <c r="S60" s="11" t="s">
        <v>3</v>
      </c>
      <c r="W60" s="36"/>
      <c r="X60">
        <v>51.344900000000003</v>
      </c>
      <c r="Y60">
        <v>55.527799999999999</v>
      </c>
      <c r="Z60" s="6">
        <v>4.1954864593781309</v>
      </c>
      <c r="AA60" s="6">
        <v>24.130572857278541</v>
      </c>
      <c r="AB60" s="36">
        <v>17.386601156104092</v>
      </c>
    </row>
    <row r="61" spans="1:28" x14ac:dyDescent="0.3">
      <c r="A61" s="6">
        <v>3.5</v>
      </c>
      <c r="B61">
        <v>8.75</v>
      </c>
      <c r="D61" s="6">
        <f t="shared" si="2"/>
        <v>9.6748509999999985</v>
      </c>
      <c r="E61" s="6">
        <f t="shared" si="0"/>
        <v>8.6748509999999985</v>
      </c>
      <c r="F61" s="28">
        <f t="shared" si="3"/>
        <v>6.2900949120699865</v>
      </c>
      <c r="G61">
        <v>11.01</v>
      </c>
      <c r="H61">
        <f>H60+5</f>
        <v>394</v>
      </c>
      <c r="I61" s="7">
        <f t="shared" si="1"/>
        <v>5.8333333333333334E-2</v>
      </c>
      <c r="J61">
        <v>60</v>
      </c>
      <c r="L61" s="1"/>
      <c r="M61" s="1"/>
      <c r="N61" s="6">
        <f>PI()*L3^2/4*K3</f>
        <v>24.130572857278541</v>
      </c>
      <c r="O61" s="23">
        <f>P58/N61*100</f>
        <v>19.307361488465776</v>
      </c>
      <c r="R61" s="6">
        <f>PI()*L3^2/4*K3</f>
        <v>24.130572857278541</v>
      </c>
      <c r="S61" s="23">
        <f>T58/R61*100</f>
        <v>18.473965152957199</v>
      </c>
      <c r="W61" s="36"/>
      <c r="X61">
        <v>51.344900000000003</v>
      </c>
      <c r="Y61">
        <v>55.789400000000001</v>
      </c>
      <c r="Z61" s="6">
        <v>4.4578736208625855</v>
      </c>
      <c r="AA61" s="6">
        <v>24.130572857278541</v>
      </c>
      <c r="AB61" s="36">
        <v>18.473965152957199</v>
      </c>
    </row>
    <row r="62" spans="1:28" x14ac:dyDescent="0.3">
      <c r="A62" s="6">
        <v>3.5</v>
      </c>
      <c r="B62">
        <v>8.73</v>
      </c>
      <c r="D62" s="6">
        <f t="shared" si="2"/>
        <v>9.6551130000000001</v>
      </c>
      <c r="E62" s="6">
        <f t="shared" si="0"/>
        <v>8.6551130000000001</v>
      </c>
      <c r="F62" s="28">
        <f t="shared" si="3"/>
        <v>6.304439484275389</v>
      </c>
      <c r="G62">
        <v>11.14</v>
      </c>
      <c r="H62">
        <f>H61+13</f>
        <v>407</v>
      </c>
      <c r="I62" s="7">
        <f t="shared" si="1"/>
        <v>5.8333333333333334E-2</v>
      </c>
      <c r="J62">
        <v>60</v>
      </c>
      <c r="L62" s="1"/>
      <c r="M62" s="1"/>
    </row>
    <row r="63" spans="1:28" x14ac:dyDescent="0.3">
      <c r="A63" s="6">
        <v>3.5</v>
      </c>
      <c r="B63">
        <v>8.67</v>
      </c>
      <c r="D63" s="6">
        <f t="shared" si="2"/>
        <v>9.5958989999999993</v>
      </c>
      <c r="E63" s="6">
        <f t="shared" si="0"/>
        <v>8.5958989999999993</v>
      </c>
      <c r="F63" s="28">
        <f t="shared" si="3"/>
        <v>6.3478684589087448</v>
      </c>
      <c r="G63">
        <v>11.18</v>
      </c>
      <c r="H63" s="1">
        <v>411</v>
      </c>
      <c r="I63" s="7">
        <f t="shared" si="1"/>
        <v>5.8333333333333334E-2</v>
      </c>
      <c r="J63">
        <v>60</v>
      </c>
      <c r="L63" s="1"/>
      <c r="M63" s="1"/>
    </row>
    <row r="64" spans="1:28" x14ac:dyDescent="0.3">
      <c r="A64" s="6">
        <v>3.5</v>
      </c>
      <c r="B64">
        <v>8.68</v>
      </c>
      <c r="D64" s="6">
        <f t="shared" si="2"/>
        <v>9.6057679999999994</v>
      </c>
      <c r="E64" s="6">
        <f t="shared" si="0"/>
        <v>8.6057679999999994</v>
      </c>
      <c r="F64" s="28">
        <f t="shared" si="3"/>
        <v>6.3405887932448586</v>
      </c>
      <c r="G64">
        <v>11.25</v>
      </c>
      <c r="H64">
        <f>H63+7</f>
        <v>418</v>
      </c>
      <c r="I64" s="7">
        <f t="shared" si="1"/>
        <v>5.8333333333333334E-2</v>
      </c>
      <c r="J64">
        <v>60</v>
      </c>
      <c r="L64" s="1"/>
      <c r="M64" s="1"/>
      <c r="S64" s="2" t="s">
        <v>189</v>
      </c>
    </row>
    <row r="65" spans="1:28" x14ac:dyDescent="0.3">
      <c r="A65" s="6">
        <v>3.5</v>
      </c>
      <c r="B65">
        <v>8.67</v>
      </c>
      <c r="D65" s="6">
        <f t="shared" si="2"/>
        <v>9.5958989999999993</v>
      </c>
      <c r="E65" s="6">
        <f t="shared" si="0"/>
        <v>8.5958989999999993</v>
      </c>
      <c r="F65" s="28">
        <f t="shared" si="3"/>
        <v>6.3478684589087448</v>
      </c>
      <c r="G65">
        <v>11.3</v>
      </c>
      <c r="H65">
        <f>H64+5</f>
        <v>423</v>
      </c>
      <c r="I65" s="7">
        <f t="shared" si="1"/>
        <v>5.8333333333333334E-2</v>
      </c>
      <c r="J65">
        <v>60</v>
      </c>
      <c r="L65" s="1"/>
      <c r="M65" s="1"/>
      <c r="Q65" s="2" t="s">
        <v>176</v>
      </c>
      <c r="R65" s="2" t="s">
        <v>179</v>
      </c>
      <c r="S65" s="2" t="s">
        <v>178</v>
      </c>
      <c r="T65" s="2" t="s">
        <v>180</v>
      </c>
      <c r="U65" s="2" t="s">
        <v>181</v>
      </c>
      <c r="V65" s="2" t="s">
        <v>182</v>
      </c>
      <c r="W65" s="2" t="s">
        <v>183</v>
      </c>
    </row>
    <row r="66" spans="1:28" x14ac:dyDescent="0.3">
      <c r="A66" s="6">
        <v>3.5</v>
      </c>
      <c r="B66">
        <v>8.6199999999999992</v>
      </c>
      <c r="D66" s="6">
        <f t="shared" si="2"/>
        <v>9.5465539999999987</v>
      </c>
      <c r="E66" s="6">
        <f t="shared" si="0"/>
        <v>8.5465539999999987</v>
      </c>
      <c r="F66" s="28">
        <f t="shared" si="3"/>
        <v>6.3845189696414755</v>
      </c>
      <c r="G66">
        <v>11.35</v>
      </c>
      <c r="H66">
        <f>H65+5</f>
        <v>428</v>
      </c>
      <c r="I66" s="7">
        <f t="shared" si="1"/>
        <v>5.8333333333333334E-2</v>
      </c>
      <c r="J66">
        <v>60</v>
      </c>
      <c r="L66" s="1"/>
      <c r="M66" s="1"/>
      <c r="Q66" s="60">
        <f>AVERAGE(O49,S49,O55,S55,O61,S61)</f>
        <v>17.95060364158304</v>
      </c>
      <c r="R66" s="6">
        <f>(O49-Q66)^2</f>
        <v>2.1944332063722802</v>
      </c>
      <c r="S66" s="36">
        <f>SQRT(SUM(R66:R71)/(6-1))</f>
        <v>1.130733429488749</v>
      </c>
      <c r="T66">
        <v>4.032</v>
      </c>
      <c r="U66" s="63">
        <f>T66*S66/SQRT(6)</f>
        <v>1.861251797902383</v>
      </c>
      <c r="V66" s="36">
        <f>Q66-U66</f>
        <v>16.089351843680657</v>
      </c>
      <c r="W66" s="36">
        <f>Q66+U66</f>
        <v>19.811855439485424</v>
      </c>
    </row>
    <row r="67" spans="1:28" x14ac:dyDescent="0.3">
      <c r="A67" s="6">
        <v>3.5</v>
      </c>
      <c r="B67">
        <v>8.56</v>
      </c>
      <c r="D67" s="6">
        <f t="shared" si="2"/>
        <v>9.4873399999999997</v>
      </c>
      <c r="E67" s="6">
        <f t="shared" si="0"/>
        <v>8.4873399999999997</v>
      </c>
      <c r="F67" s="28">
        <f t="shared" si="3"/>
        <v>6.4290621252436244</v>
      </c>
      <c r="G67">
        <v>11.42</v>
      </c>
      <c r="H67">
        <v>435</v>
      </c>
      <c r="I67" s="7">
        <f t="shared" si="1"/>
        <v>5.8333333333333334E-2</v>
      </c>
      <c r="J67">
        <v>60</v>
      </c>
      <c r="L67" s="1"/>
      <c r="M67" s="1"/>
      <c r="R67" s="6">
        <f>(O55-Q66)^2</f>
        <v>0.72812287570006284</v>
      </c>
    </row>
    <row r="68" spans="1:28" x14ac:dyDescent="0.3">
      <c r="A68" s="6">
        <v>3.5</v>
      </c>
      <c r="B68">
        <v>8.6199999999999992</v>
      </c>
      <c r="D68" s="6">
        <f t="shared" si="2"/>
        <v>9.5465539999999987</v>
      </c>
      <c r="E68" s="6">
        <f t="shared" si="0"/>
        <v>8.5465539999999987</v>
      </c>
      <c r="F68" s="28">
        <f t="shared" si="3"/>
        <v>6.3845189696414755</v>
      </c>
      <c r="G68">
        <v>11.5</v>
      </c>
      <c r="H68">
        <f>H67+8</f>
        <v>443</v>
      </c>
      <c r="I68" s="7">
        <f t="shared" si="1"/>
        <v>5.8333333333333334E-2</v>
      </c>
      <c r="J68">
        <v>60</v>
      </c>
      <c r="L68" s="1"/>
      <c r="M68" s="1"/>
      <c r="R68" s="6">
        <f>(O61-Q66)^2</f>
        <v>1.8407918550778788</v>
      </c>
    </row>
    <row r="69" spans="1:28" x14ac:dyDescent="0.3">
      <c r="A69" s="6">
        <v>3.5</v>
      </c>
      <c r="B69" s="6">
        <v>8.6</v>
      </c>
      <c r="D69" s="6">
        <f t="shared" si="2"/>
        <v>9.5268159999999984</v>
      </c>
      <c r="E69" s="6">
        <f t="shared" si="0"/>
        <v>8.5268159999999984</v>
      </c>
      <c r="F69" s="28">
        <f t="shared" ref="F69:F132" si="4">(1000*I69*1*$K$3)/(PI()*($L$3^2)/4*E69)</f>
        <v>6.3992979487378676</v>
      </c>
      <c r="G69">
        <v>11.54</v>
      </c>
      <c r="H69">
        <v>447</v>
      </c>
      <c r="I69" s="7">
        <f t="shared" si="1"/>
        <v>5.8333333333333334E-2</v>
      </c>
      <c r="J69">
        <v>60</v>
      </c>
      <c r="L69" s="1"/>
      <c r="M69" s="1"/>
      <c r="R69" s="6">
        <f>(S49-Q66)^2</f>
        <v>1.0374364304524424</v>
      </c>
      <c r="AB69" s="53"/>
    </row>
    <row r="70" spans="1:28" x14ac:dyDescent="0.3">
      <c r="A70" s="6">
        <v>3.5</v>
      </c>
      <c r="B70">
        <v>8.5399999999999991</v>
      </c>
      <c r="D70" s="6">
        <f t="shared" si="2"/>
        <v>9.4676019999999976</v>
      </c>
      <c r="E70" s="6">
        <f t="shared" si="0"/>
        <v>8.4676019999999976</v>
      </c>
      <c r="F70" s="28">
        <f t="shared" si="4"/>
        <v>6.4440482840437276</v>
      </c>
      <c r="G70">
        <v>12.04</v>
      </c>
      <c r="H70">
        <f>H69+10</f>
        <v>457</v>
      </c>
      <c r="I70" s="7">
        <f t="shared" si="1"/>
        <v>5.8333333333333334E-2</v>
      </c>
      <c r="J70">
        <v>60</v>
      </c>
      <c r="L70" s="1"/>
      <c r="M70" s="1"/>
      <c r="R70" s="6">
        <f>(S55-Q66)^2</f>
        <v>0.318098803626431</v>
      </c>
    </row>
    <row r="71" spans="1:28" x14ac:dyDescent="0.3">
      <c r="A71" s="6">
        <v>3.5</v>
      </c>
      <c r="B71" s="6">
        <v>8.6</v>
      </c>
      <c r="D71" s="6">
        <f t="shared" si="2"/>
        <v>9.5268159999999984</v>
      </c>
      <c r="E71" s="6">
        <f t="shared" si="0"/>
        <v>8.5268159999999984</v>
      </c>
      <c r="F71" s="28">
        <f t="shared" si="4"/>
        <v>6.3992979487378676</v>
      </c>
      <c r="G71">
        <v>12.08</v>
      </c>
      <c r="H71">
        <v>461</v>
      </c>
      <c r="I71" s="7">
        <f t="shared" si="1"/>
        <v>5.8333333333333334E-2</v>
      </c>
      <c r="J71">
        <v>60</v>
      </c>
      <c r="L71" s="1"/>
      <c r="M71" s="1"/>
      <c r="R71" s="6">
        <f>(S61-Q66)^2</f>
        <v>0.2739072715878435</v>
      </c>
    </row>
    <row r="72" spans="1:28" x14ac:dyDescent="0.3">
      <c r="A72" s="6">
        <v>3.5</v>
      </c>
      <c r="B72">
        <v>8.58</v>
      </c>
      <c r="D72" s="6">
        <f t="shared" si="2"/>
        <v>9.5070779999999999</v>
      </c>
      <c r="E72" s="6">
        <f t="shared" si="0"/>
        <v>8.5070779999999999</v>
      </c>
      <c r="F72" s="28">
        <f t="shared" si="4"/>
        <v>6.4141455077836627</v>
      </c>
      <c r="G72">
        <v>12.13</v>
      </c>
      <c r="H72">
        <f>H71+5</f>
        <v>466</v>
      </c>
      <c r="I72" s="7">
        <f t="shared" si="1"/>
        <v>5.8333333333333334E-2</v>
      </c>
      <c r="J72">
        <v>60</v>
      </c>
      <c r="L72" s="1"/>
      <c r="M72" s="1"/>
    </row>
    <row r="73" spans="1:28" x14ac:dyDescent="0.3">
      <c r="A73" s="6">
        <v>3.5</v>
      </c>
      <c r="B73">
        <v>8.6199999999999992</v>
      </c>
      <c r="D73" s="6">
        <f t="shared" si="2"/>
        <v>9.5465539999999987</v>
      </c>
      <c r="E73" s="6">
        <f t="shared" si="0"/>
        <v>8.5465539999999987</v>
      </c>
      <c r="F73" s="28">
        <f t="shared" si="4"/>
        <v>6.3845189696414755</v>
      </c>
      <c r="G73">
        <v>12.2</v>
      </c>
      <c r="H73">
        <f>H72+7</f>
        <v>473</v>
      </c>
      <c r="I73" s="7">
        <f t="shared" si="1"/>
        <v>5.8333333333333334E-2</v>
      </c>
      <c r="J73">
        <v>60</v>
      </c>
      <c r="L73" s="1"/>
      <c r="M73" s="1"/>
    </row>
    <row r="74" spans="1:28" x14ac:dyDescent="0.3">
      <c r="A74" s="6">
        <v>3.5</v>
      </c>
      <c r="B74">
        <v>8.61</v>
      </c>
      <c r="D74" s="6">
        <f t="shared" si="2"/>
        <v>9.5366849999999985</v>
      </c>
      <c r="E74" s="6">
        <f t="shared" si="0"/>
        <v>8.5366849999999985</v>
      </c>
      <c r="F74" s="28">
        <f t="shared" si="4"/>
        <v>6.3918999164271879</v>
      </c>
      <c r="G74">
        <v>12.25</v>
      </c>
      <c r="H74">
        <f>H73+5</f>
        <v>478</v>
      </c>
      <c r="I74" s="7">
        <f t="shared" si="1"/>
        <v>5.8333333333333334E-2</v>
      </c>
      <c r="J74">
        <v>60</v>
      </c>
      <c r="L74" s="1"/>
      <c r="M74" s="1"/>
    </row>
    <row r="75" spans="1:28" x14ac:dyDescent="0.3">
      <c r="A75" s="6">
        <v>3.5</v>
      </c>
      <c r="B75">
        <v>8.66</v>
      </c>
      <c r="D75" s="6">
        <f t="shared" si="2"/>
        <v>9.5860299999999992</v>
      </c>
      <c r="E75" s="6">
        <f t="shared" si="0"/>
        <v>8.5860299999999992</v>
      </c>
      <c r="F75" s="28">
        <f t="shared" si="4"/>
        <v>6.3551648594362264</v>
      </c>
      <c r="G75">
        <v>12.3</v>
      </c>
      <c r="H75" s="1">
        <f>H74+5</f>
        <v>483</v>
      </c>
      <c r="I75" s="7">
        <f t="shared" si="1"/>
        <v>5.8333333333333334E-2</v>
      </c>
      <c r="J75">
        <v>60</v>
      </c>
      <c r="L75" s="1"/>
      <c r="M75" s="1"/>
    </row>
    <row r="76" spans="1:28" x14ac:dyDescent="0.3">
      <c r="A76" s="6">
        <v>4</v>
      </c>
      <c r="B76">
        <v>9.52</v>
      </c>
      <c r="D76" s="6">
        <f t="shared" si="2"/>
        <v>10.434763999999999</v>
      </c>
      <c r="E76" s="6">
        <f t="shared" si="0"/>
        <v>9.4347639999999995</v>
      </c>
      <c r="F76" s="28">
        <f t="shared" si="4"/>
        <v>6.6096753469330753</v>
      </c>
      <c r="G76">
        <v>13.02</v>
      </c>
      <c r="H76">
        <v>485</v>
      </c>
      <c r="I76" s="7">
        <f t="shared" si="1"/>
        <v>6.6666666666666666E-2</v>
      </c>
      <c r="J76">
        <v>60</v>
      </c>
      <c r="L76" s="1"/>
      <c r="M76" s="1"/>
    </row>
    <row r="77" spans="1:28" x14ac:dyDescent="0.3">
      <c r="A77" s="6">
        <v>4</v>
      </c>
      <c r="B77">
        <v>9.4499999999999993</v>
      </c>
      <c r="D77" s="6">
        <f t="shared" si="2"/>
        <v>10.365680999999999</v>
      </c>
      <c r="E77" s="6">
        <f t="shared" si="0"/>
        <v>9.3656809999999986</v>
      </c>
      <c r="F77" s="28">
        <f t="shared" si="4"/>
        <v>6.6584295381117178</v>
      </c>
      <c r="G77">
        <v>13.05</v>
      </c>
      <c r="H77">
        <v>488</v>
      </c>
      <c r="I77" s="7">
        <f t="shared" si="1"/>
        <v>6.6666666666666666E-2</v>
      </c>
      <c r="J77">
        <v>60</v>
      </c>
      <c r="L77" s="1"/>
      <c r="M77" s="1"/>
      <c r="P77">
        <f>7.324956/8.968594</f>
        <v>0.81673403880251472</v>
      </c>
      <c r="R77">
        <f>7.32/8.968594</f>
        <v>0.81618144382497415</v>
      </c>
    </row>
    <row r="78" spans="1:28" x14ac:dyDescent="0.3">
      <c r="A78" s="6">
        <v>4</v>
      </c>
      <c r="B78">
        <v>9.27</v>
      </c>
      <c r="D78" s="6">
        <f t="shared" si="2"/>
        <v>10.188038999999998</v>
      </c>
      <c r="E78" s="6">
        <f t="shared" si="0"/>
        <v>9.1880389999999981</v>
      </c>
      <c r="F78" s="28">
        <f t="shared" si="4"/>
        <v>6.7871639437894959</v>
      </c>
      <c r="G78">
        <v>13.12</v>
      </c>
      <c r="H78">
        <f>H77+7</f>
        <v>495</v>
      </c>
      <c r="I78" s="7">
        <f t="shared" si="1"/>
        <v>6.6666666666666666E-2</v>
      </c>
      <c r="J78">
        <v>60</v>
      </c>
      <c r="L78" s="1"/>
      <c r="M78" s="1"/>
      <c r="R78" s="52">
        <f>7.324956/8.969</f>
        <v>0.81669706767755612</v>
      </c>
    </row>
    <row r="79" spans="1:28" x14ac:dyDescent="0.3">
      <c r="A79" s="6">
        <v>4</v>
      </c>
      <c r="B79">
        <v>9.2200000000000006</v>
      </c>
      <c r="D79" s="6">
        <f t="shared" si="2"/>
        <v>10.138693999999999</v>
      </c>
      <c r="E79" s="55">
        <f t="shared" si="0"/>
        <v>9.1386939999999992</v>
      </c>
      <c r="F79" s="28">
        <f t="shared" si="4"/>
        <v>6.8238116972656808</v>
      </c>
      <c r="G79">
        <v>13.17</v>
      </c>
      <c r="H79" s="1">
        <v>500</v>
      </c>
      <c r="I79" s="7">
        <f t="shared" si="1"/>
        <v>6.6666666666666666E-2</v>
      </c>
      <c r="J79">
        <v>60</v>
      </c>
      <c r="L79" s="1"/>
      <c r="M79" s="1"/>
      <c r="R79">
        <f>7.3/8.979</f>
        <v>0.81300813008130091</v>
      </c>
      <c r="Z79" s="54"/>
    </row>
    <row r="80" spans="1:28" x14ac:dyDescent="0.3">
      <c r="A80" s="6">
        <v>4</v>
      </c>
      <c r="B80">
        <v>9.17</v>
      </c>
      <c r="D80" s="6">
        <f t="shared" si="2"/>
        <v>10.089348999999999</v>
      </c>
      <c r="E80" s="6">
        <f t="shared" si="0"/>
        <v>9.0893489999999986</v>
      </c>
      <c r="F80" s="28">
        <f t="shared" si="4"/>
        <v>6.860857363374615</v>
      </c>
      <c r="G80">
        <v>13.26</v>
      </c>
      <c r="H80">
        <v>509</v>
      </c>
      <c r="I80" s="7">
        <f t="shared" si="1"/>
        <v>6.6666666666666666E-2</v>
      </c>
      <c r="J80">
        <v>60</v>
      </c>
      <c r="L80" s="1"/>
      <c r="M80" s="1"/>
      <c r="R80">
        <f>7.325/9</f>
        <v>0.81388888888888888</v>
      </c>
    </row>
    <row r="81" spans="1:18" x14ac:dyDescent="0.3">
      <c r="A81" s="6">
        <v>4</v>
      </c>
      <c r="B81">
        <v>9.2100000000000009</v>
      </c>
      <c r="D81" s="6">
        <f t="shared" si="2"/>
        <v>10.128825000000001</v>
      </c>
      <c r="E81" s="6">
        <f t="shared" si="0"/>
        <v>9.1288250000000009</v>
      </c>
      <c r="F81" s="28">
        <f t="shared" si="4"/>
        <v>6.831188790992452</v>
      </c>
      <c r="G81">
        <v>13.3</v>
      </c>
      <c r="H81">
        <f>H80+4</f>
        <v>513</v>
      </c>
      <c r="I81" s="7">
        <f t="shared" si="1"/>
        <v>6.6666666666666666E-2</v>
      </c>
      <c r="J81">
        <v>60</v>
      </c>
      <c r="L81" s="1"/>
      <c r="M81" s="1"/>
      <c r="R81">
        <f>7.32496/8.969</f>
        <v>0.8166975136581559</v>
      </c>
    </row>
    <row r="82" spans="1:18" x14ac:dyDescent="0.3">
      <c r="A82" s="6">
        <v>4</v>
      </c>
      <c r="B82">
        <v>9.17</v>
      </c>
      <c r="D82" s="6">
        <f t="shared" si="2"/>
        <v>10.089348999999999</v>
      </c>
      <c r="E82" s="6">
        <f t="shared" si="0"/>
        <v>9.0893489999999986</v>
      </c>
      <c r="F82" s="28">
        <f t="shared" si="4"/>
        <v>6.860857363374615</v>
      </c>
      <c r="G82">
        <v>13.35</v>
      </c>
      <c r="H82">
        <f>H81+5</f>
        <v>518</v>
      </c>
      <c r="I82" s="7">
        <f t="shared" si="1"/>
        <v>6.6666666666666666E-2</v>
      </c>
      <c r="J82">
        <v>60</v>
      </c>
      <c r="L82" s="1"/>
      <c r="M82" s="1"/>
    </row>
    <row r="83" spans="1:18" x14ac:dyDescent="0.3">
      <c r="A83" s="6">
        <v>4</v>
      </c>
      <c r="B83">
        <v>9.18</v>
      </c>
      <c r="D83" s="6">
        <f t="shared" si="2"/>
        <v>10.099217999999999</v>
      </c>
      <c r="E83" s="6">
        <f t="shared" si="0"/>
        <v>9.0992179999999987</v>
      </c>
      <c r="F83" s="28">
        <f t="shared" si="4"/>
        <v>6.8534160864078313</v>
      </c>
      <c r="G83">
        <v>13.43</v>
      </c>
      <c r="H83">
        <f>H82+8</f>
        <v>526</v>
      </c>
      <c r="I83" s="7">
        <f t="shared" si="1"/>
        <v>6.6666666666666666E-2</v>
      </c>
      <c r="J83">
        <v>60</v>
      </c>
      <c r="L83" s="1"/>
      <c r="M83" s="1"/>
    </row>
    <row r="84" spans="1:18" x14ac:dyDescent="0.3">
      <c r="A84" s="6">
        <v>4</v>
      </c>
      <c r="B84">
        <v>9.17</v>
      </c>
      <c r="D84" s="6">
        <f t="shared" si="2"/>
        <v>10.089348999999999</v>
      </c>
      <c r="E84" s="6">
        <f t="shared" si="0"/>
        <v>9.0893489999999986</v>
      </c>
      <c r="F84" s="28">
        <f t="shared" si="4"/>
        <v>6.860857363374615</v>
      </c>
      <c r="G84">
        <v>13.48</v>
      </c>
      <c r="H84">
        <v>531</v>
      </c>
      <c r="I84" s="7">
        <f t="shared" si="1"/>
        <v>6.6666666666666666E-2</v>
      </c>
      <c r="J84">
        <v>60</v>
      </c>
      <c r="L84" s="1"/>
      <c r="M84" s="1"/>
    </row>
    <row r="85" spans="1:18" x14ac:dyDescent="0.3">
      <c r="A85" s="6">
        <v>4</v>
      </c>
      <c r="B85">
        <v>9.1199999999999992</v>
      </c>
      <c r="D85" s="6">
        <f t="shared" si="2"/>
        <v>10.040003999999998</v>
      </c>
      <c r="E85" s="6">
        <f t="shared" si="0"/>
        <v>9.0400039999999979</v>
      </c>
      <c r="F85" s="28">
        <f t="shared" si="4"/>
        <v>6.8983074581528605</v>
      </c>
      <c r="G85">
        <v>14.1</v>
      </c>
      <c r="H85">
        <f>H84+22</f>
        <v>553</v>
      </c>
      <c r="I85" s="7">
        <f t="shared" si="1"/>
        <v>6.6666666666666666E-2</v>
      </c>
      <c r="J85">
        <v>60</v>
      </c>
      <c r="L85" s="1"/>
      <c r="M85" s="1"/>
    </row>
    <row r="86" spans="1:18" x14ac:dyDescent="0.3">
      <c r="A86" s="6">
        <v>4</v>
      </c>
      <c r="B86">
        <v>9.16</v>
      </c>
      <c r="D86" s="6">
        <f t="shared" si="2"/>
        <v>10.079479999999998</v>
      </c>
      <c r="E86" s="6">
        <f t="shared" si="0"/>
        <v>9.0794799999999984</v>
      </c>
      <c r="F86" s="28">
        <f t="shared" si="4"/>
        <v>6.8683148170304573</v>
      </c>
      <c r="G86">
        <v>14.16</v>
      </c>
      <c r="H86">
        <f>H85+6</f>
        <v>559</v>
      </c>
      <c r="I86" s="7">
        <f t="shared" si="1"/>
        <v>6.6666666666666666E-2</v>
      </c>
      <c r="J86">
        <v>60</v>
      </c>
      <c r="L86" s="1"/>
      <c r="M86" s="1"/>
    </row>
    <row r="87" spans="1:18" x14ac:dyDescent="0.3">
      <c r="A87" s="6">
        <v>4</v>
      </c>
      <c r="B87">
        <v>9.16</v>
      </c>
      <c r="D87" s="6">
        <f t="shared" si="2"/>
        <v>10.079479999999998</v>
      </c>
      <c r="E87" s="6">
        <f t="shared" si="0"/>
        <v>9.0794799999999984</v>
      </c>
      <c r="F87" s="28">
        <f t="shared" si="4"/>
        <v>6.8683148170304573</v>
      </c>
      <c r="G87">
        <v>14.2</v>
      </c>
      <c r="H87">
        <f>H86+4</f>
        <v>563</v>
      </c>
      <c r="I87" s="7">
        <f t="shared" si="1"/>
        <v>6.6666666666666666E-2</v>
      </c>
      <c r="J87">
        <v>60</v>
      </c>
      <c r="L87" s="1"/>
      <c r="M87" s="1"/>
    </row>
    <row r="88" spans="1:18" x14ac:dyDescent="0.3">
      <c r="A88" s="6">
        <v>4</v>
      </c>
      <c r="B88">
        <v>9.1300000000000008</v>
      </c>
      <c r="D88" s="6">
        <f t="shared" si="2"/>
        <v>10.049873</v>
      </c>
      <c r="E88" s="6">
        <f t="shared" si="0"/>
        <v>9.0498729999999998</v>
      </c>
      <c r="F88" s="28">
        <f t="shared" si="4"/>
        <v>6.8907847673587996</v>
      </c>
      <c r="G88">
        <v>14.25</v>
      </c>
      <c r="H88">
        <v>568</v>
      </c>
      <c r="I88" s="7">
        <f t="shared" si="1"/>
        <v>6.6666666666666666E-2</v>
      </c>
      <c r="J88">
        <v>60</v>
      </c>
      <c r="L88" s="1"/>
      <c r="M88" s="1"/>
    </row>
    <row r="89" spans="1:18" x14ac:dyDescent="0.3">
      <c r="A89" s="6">
        <v>4</v>
      </c>
      <c r="B89" s="6">
        <v>9.1</v>
      </c>
      <c r="D89" s="6">
        <f t="shared" si="2"/>
        <v>10.020265999999999</v>
      </c>
      <c r="E89" s="6">
        <f t="shared" si="0"/>
        <v>9.0202659999999995</v>
      </c>
      <c r="F89" s="28">
        <f t="shared" si="4"/>
        <v>6.9134022228315315</v>
      </c>
      <c r="G89">
        <v>14.3</v>
      </c>
      <c r="H89">
        <f>H88+5</f>
        <v>573</v>
      </c>
      <c r="I89" s="7">
        <f t="shared" si="1"/>
        <v>6.6666666666666666E-2</v>
      </c>
      <c r="J89">
        <v>60</v>
      </c>
      <c r="L89" s="1"/>
      <c r="M89" s="1"/>
    </row>
    <row r="90" spans="1:18" x14ac:dyDescent="0.3">
      <c r="A90" s="6">
        <v>4</v>
      </c>
      <c r="B90">
        <v>9.16</v>
      </c>
      <c r="D90" s="6">
        <f t="shared" si="2"/>
        <v>10.079479999999998</v>
      </c>
      <c r="E90" s="6">
        <f t="shared" si="0"/>
        <v>9.0794799999999984</v>
      </c>
      <c r="F90" s="28">
        <f t="shared" si="4"/>
        <v>6.8683148170304573</v>
      </c>
      <c r="G90">
        <v>14.4</v>
      </c>
      <c r="H90">
        <f>H89+10</f>
        <v>583</v>
      </c>
      <c r="I90" s="7">
        <f t="shared" si="1"/>
        <v>6.6666666666666666E-2</v>
      </c>
      <c r="J90">
        <v>60</v>
      </c>
      <c r="L90" s="1"/>
      <c r="M90" s="1"/>
    </row>
    <row r="91" spans="1:18" x14ac:dyDescent="0.3">
      <c r="A91" s="6">
        <v>4</v>
      </c>
      <c r="B91">
        <v>9.15</v>
      </c>
      <c r="D91" s="6">
        <f t="shared" si="2"/>
        <v>10.069611</v>
      </c>
      <c r="E91" s="6">
        <f t="shared" si="0"/>
        <v>9.0696110000000001</v>
      </c>
      <c r="F91" s="28">
        <f t="shared" si="4"/>
        <v>6.8757885001828285</v>
      </c>
      <c r="G91">
        <v>14.45</v>
      </c>
      <c r="H91">
        <f>H90+5</f>
        <v>588</v>
      </c>
      <c r="I91" s="7">
        <f t="shared" si="1"/>
        <v>6.6666666666666666E-2</v>
      </c>
      <c r="J91">
        <v>60</v>
      </c>
      <c r="L91" s="1"/>
      <c r="M91" s="1"/>
    </row>
    <row r="92" spans="1:18" x14ac:dyDescent="0.3">
      <c r="A92" s="6">
        <v>4</v>
      </c>
      <c r="B92">
        <v>9.16</v>
      </c>
      <c r="D92" s="6">
        <f t="shared" si="2"/>
        <v>10.079479999999998</v>
      </c>
      <c r="E92" s="6">
        <f t="shared" si="0"/>
        <v>9.0794799999999984</v>
      </c>
      <c r="F92" s="28">
        <f t="shared" si="4"/>
        <v>6.8683148170304573</v>
      </c>
      <c r="G92">
        <v>14.3</v>
      </c>
      <c r="H92">
        <f>H91+5</f>
        <v>593</v>
      </c>
      <c r="I92" s="7">
        <f t="shared" si="1"/>
        <v>6.6666666666666666E-2</v>
      </c>
      <c r="J92">
        <v>60</v>
      </c>
      <c r="L92" s="1"/>
      <c r="M92" s="1"/>
    </row>
    <row r="93" spans="1:18" x14ac:dyDescent="0.3">
      <c r="A93" s="6">
        <v>4</v>
      </c>
      <c r="B93">
        <v>9.2200000000000006</v>
      </c>
      <c r="D93" s="6">
        <f t="shared" si="2"/>
        <v>10.138693999999999</v>
      </c>
      <c r="E93" s="6">
        <f t="shared" si="0"/>
        <v>9.1386939999999992</v>
      </c>
      <c r="F93" s="28">
        <f t="shared" si="4"/>
        <v>6.8238116972656808</v>
      </c>
      <c r="G93">
        <v>14.35</v>
      </c>
      <c r="H93">
        <f>H92+5</f>
        <v>598</v>
      </c>
      <c r="I93" s="7">
        <f t="shared" si="1"/>
        <v>6.6666666666666666E-2</v>
      </c>
      <c r="J93">
        <v>60</v>
      </c>
      <c r="L93" s="1"/>
      <c r="M93" s="1"/>
    </row>
    <row r="94" spans="1:18" x14ac:dyDescent="0.3">
      <c r="A94" s="6">
        <v>4</v>
      </c>
      <c r="B94">
        <v>9.17</v>
      </c>
      <c r="D94" s="6">
        <f t="shared" ref="D94:D115" si="5">$O$4*(B94-$C$3)+1</f>
        <v>10.089348999999999</v>
      </c>
      <c r="E94" s="55">
        <f t="shared" ref="E94:E115" si="6">D94-1</f>
        <v>9.0893489999999986</v>
      </c>
      <c r="F94" s="28">
        <f t="shared" si="4"/>
        <v>6.860857363374615</v>
      </c>
      <c r="G94">
        <v>14.41</v>
      </c>
      <c r="H94" s="1">
        <v>604</v>
      </c>
      <c r="I94" s="7">
        <f t="shared" ref="I94:I115" si="7">A94/60</f>
        <v>6.6666666666666666E-2</v>
      </c>
      <c r="J94">
        <v>60</v>
      </c>
      <c r="L94" s="1"/>
      <c r="M94" s="1"/>
    </row>
    <row r="95" spans="1:18" x14ac:dyDescent="0.3">
      <c r="A95" s="6">
        <v>3.5</v>
      </c>
      <c r="B95">
        <v>8.83</v>
      </c>
      <c r="D95" s="6">
        <f t="shared" si="5"/>
        <v>9.7538029999999996</v>
      </c>
      <c r="E95" s="6">
        <f t="shared" si="6"/>
        <v>8.7538029999999996</v>
      </c>
      <c r="F95" s="28">
        <f t="shared" si="4"/>
        <v>6.2333635036183956</v>
      </c>
      <c r="G95">
        <v>15.29</v>
      </c>
      <c r="H95">
        <v>604</v>
      </c>
      <c r="I95" s="7">
        <f t="shared" si="7"/>
        <v>5.8333333333333334E-2</v>
      </c>
      <c r="J95">
        <v>60</v>
      </c>
      <c r="L95" s="1"/>
      <c r="M95" s="1"/>
    </row>
    <row r="96" spans="1:18" x14ac:dyDescent="0.3">
      <c r="A96" s="6">
        <v>3.5</v>
      </c>
      <c r="B96">
        <v>8.18</v>
      </c>
      <c r="D96" s="6">
        <f t="shared" si="5"/>
        <v>9.1123179999999984</v>
      </c>
      <c r="E96" s="6">
        <f t="shared" si="6"/>
        <v>8.1123179999999984</v>
      </c>
      <c r="F96" s="28">
        <f t="shared" si="4"/>
        <v>6.7262693767755692</v>
      </c>
      <c r="G96">
        <v>15.32</v>
      </c>
      <c r="H96">
        <v>607</v>
      </c>
      <c r="I96" s="7">
        <f t="shared" si="7"/>
        <v>5.8333333333333334E-2</v>
      </c>
      <c r="J96">
        <v>60</v>
      </c>
      <c r="L96" s="1"/>
      <c r="M96" s="1"/>
    </row>
    <row r="97" spans="1:13" x14ac:dyDescent="0.3">
      <c r="A97" s="6">
        <v>3.5</v>
      </c>
      <c r="B97">
        <v>8.19</v>
      </c>
      <c r="D97" s="6">
        <f t="shared" si="5"/>
        <v>9.1221869999999985</v>
      </c>
      <c r="E97" s="6">
        <f t="shared" si="6"/>
        <v>8.1221869999999985</v>
      </c>
      <c r="F97" s="28">
        <f t="shared" si="4"/>
        <v>6.718096509975112</v>
      </c>
      <c r="G97">
        <v>15.37</v>
      </c>
      <c r="H97">
        <f>H96+5</f>
        <v>612</v>
      </c>
      <c r="I97" s="7">
        <f t="shared" si="7"/>
        <v>5.8333333333333334E-2</v>
      </c>
      <c r="J97">
        <v>60</v>
      </c>
      <c r="L97" s="1"/>
      <c r="M97" s="1"/>
    </row>
    <row r="98" spans="1:13" x14ac:dyDescent="0.3">
      <c r="A98" s="6">
        <v>3.5</v>
      </c>
      <c r="B98" s="6">
        <v>8.1999999999999993</v>
      </c>
      <c r="D98" s="6">
        <f t="shared" si="5"/>
        <v>9.1320559999999986</v>
      </c>
      <c r="E98" s="6">
        <f t="shared" si="6"/>
        <v>8.1320559999999986</v>
      </c>
      <c r="F98" s="28">
        <f t="shared" si="4"/>
        <v>6.7099434802299971</v>
      </c>
      <c r="G98">
        <v>15.43</v>
      </c>
      <c r="H98">
        <f>H97+6</f>
        <v>618</v>
      </c>
      <c r="I98" s="7">
        <f t="shared" si="7"/>
        <v>5.8333333333333334E-2</v>
      </c>
      <c r="J98">
        <v>60</v>
      </c>
      <c r="L98" s="1"/>
      <c r="M98" s="1"/>
    </row>
    <row r="99" spans="1:13" x14ac:dyDescent="0.3">
      <c r="A99" s="6">
        <v>3.5</v>
      </c>
      <c r="B99">
        <v>8.17</v>
      </c>
      <c r="D99" s="6">
        <f t="shared" si="5"/>
        <v>9.1024489999999982</v>
      </c>
      <c r="E99" s="6">
        <f t="shared" si="6"/>
        <v>8.1024489999999982</v>
      </c>
      <c r="F99" s="28">
        <f t="shared" si="4"/>
        <v>6.734462153117561</v>
      </c>
      <c r="G99">
        <v>15.47</v>
      </c>
      <c r="H99">
        <f>H98+5</f>
        <v>623</v>
      </c>
      <c r="I99" s="7">
        <f t="shared" si="7"/>
        <v>5.8333333333333334E-2</v>
      </c>
      <c r="J99">
        <v>60</v>
      </c>
      <c r="L99" s="1"/>
      <c r="M99" s="1"/>
    </row>
    <row r="100" spans="1:13" x14ac:dyDescent="0.3">
      <c r="A100" s="6">
        <v>3.5</v>
      </c>
      <c r="B100">
        <v>8.18</v>
      </c>
      <c r="D100" s="6">
        <f t="shared" si="5"/>
        <v>9.1123179999999984</v>
      </c>
      <c r="E100" s="6">
        <f t="shared" si="6"/>
        <v>8.1123179999999984</v>
      </c>
      <c r="F100" s="28">
        <f t="shared" si="4"/>
        <v>6.7262693767755692</v>
      </c>
      <c r="G100">
        <v>15.57</v>
      </c>
      <c r="H100">
        <f>H99+10</f>
        <v>633</v>
      </c>
      <c r="I100" s="7">
        <f t="shared" si="7"/>
        <v>5.8333333333333334E-2</v>
      </c>
      <c r="J100">
        <v>60</v>
      </c>
      <c r="L100" s="1"/>
      <c r="M100" s="1"/>
    </row>
    <row r="101" spans="1:13" x14ac:dyDescent="0.3">
      <c r="A101" s="6">
        <v>3.5</v>
      </c>
      <c r="B101">
        <v>8.19</v>
      </c>
      <c r="D101" s="6">
        <f t="shared" si="5"/>
        <v>9.1221869999999985</v>
      </c>
      <c r="E101" s="6">
        <f t="shared" si="6"/>
        <v>8.1221869999999985</v>
      </c>
      <c r="F101" s="28">
        <f t="shared" si="4"/>
        <v>6.718096509975112</v>
      </c>
      <c r="G101">
        <v>16.059999999999999</v>
      </c>
      <c r="H101">
        <f>H100+9</f>
        <v>642</v>
      </c>
      <c r="I101" s="7">
        <f t="shared" si="7"/>
        <v>5.8333333333333334E-2</v>
      </c>
      <c r="J101">
        <v>60</v>
      </c>
      <c r="L101" s="1"/>
      <c r="M101" s="1"/>
    </row>
    <row r="102" spans="1:13" x14ac:dyDescent="0.3">
      <c r="A102" s="6">
        <v>3.5</v>
      </c>
      <c r="B102">
        <v>8.24</v>
      </c>
      <c r="D102" s="6">
        <f t="shared" si="5"/>
        <v>9.1715319999999991</v>
      </c>
      <c r="E102" s="6">
        <f t="shared" si="6"/>
        <v>8.1715319999999991</v>
      </c>
      <c r="F102" s="28">
        <f t="shared" si="4"/>
        <v>6.6775282943351657</v>
      </c>
      <c r="G102">
        <v>16.13</v>
      </c>
      <c r="H102">
        <f>H101+7</f>
        <v>649</v>
      </c>
      <c r="I102" s="7">
        <f t="shared" si="7"/>
        <v>5.8333333333333334E-2</v>
      </c>
      <c r="J102">
        <v>60</v>
      </c>
      <c r="L102" s="1"/>
      <c r="M102" s="1"/>
    </row>
    <row r="103" spans="1:13" x14ac:dyDescent="0.3">
      <c r="A103" s="6">
        <v>3.5</v>
      </c>
      <c r="B103">
        <v>8.18</v>
      </c>
      <c r="D103" s="6">
        <f t="shared" si="5"/>
        <v>9.1123179999999984</v>
      </c>
      <c r="E103" s="6">
        <f t="shared" si="6"/>
        <v>8.1123179999999984</v>
      </c>
      <c r="F103" s="28">
        <f t="shared" si="4"/>
        <v>6.7262693767755692</v>
      </c>
      <c r="G103">
        <v>16.2</v>
      </c>
      <c r="H103">
        <f>H102+7</f>
        <v>656</v>
      </c>
      <c r="I103" s="7">
        <f t="shared" si="7"/>
        <v>5.8333333333333334E-2</v>
      </c>
      <c r="J103">
        <v>60</v>
      </c>
      <c r="L103" s="1"/>
      <c r="M103" s="1"/>
    </row>
    <row r="104" spans="1:13" x14ac:dyDescent="0.3">
      <c r="A104" s="6">
        <v>3.5</v>
      </c>
      <c r="B104">
        <v>8.19</v>
      </c>
      <c r="D104" s="6">
        <f t="shared" si="5"/>
        <v>9.1221869999999985</v>
      </c>
      <c r="E104" s="6">
        <f t="shared" si="6"/>
        <v>8.1221869999999985</v>
      </c>
      <c r="F104" s="28">
        <f t="shared" si="4"/>
        <v>6.718096509975112</v>
      </c>
      <c r="G104">
        <v>16.25</v>
      </c>
      <c r="H104">
        <f>H103+5</f>
        <v>661</v>
      </c>
      <c r="I104" s="7">
        <f t="shared" si="7"/>
        <v>5.8333333333333334E-2</v>
      </c>
      <c r="J104">
        <v>60</v>
      </c>
      <c r="L104" s="1"/>
      <c r="M104" s="1"/>
    </row>
    <row r="105" spans="1:13" x14ac:dyDescent="0.3">
      <c r="A105" s="6">
        <v>3.5</v>
      </c>
      <c r="B105" s="6">
        <v>8.1999999999999993</v>
      </c>
      <c r="D105" s="6">
        <f t="shared" si="5"/>
        <v>9.1320559999999986</v>
      </c>
      <c r="E105" s="6">
        <f t="shared" si="6"/>
        <v>8.1320559999999986</v>
      </c>
      <c r="F105" s="28">
        <f t="shared" si="4"/>
        <v>6.7099434802299971</v>
      </c>
      <c r="G105">
        <v>16.3</v>
      </c>
      <c r="H105">
        <v>666</v>
      </c>
      <c r="I105" s="7">
        <f t="shared" si="7"/>
        <v>5.8333333333333334E-2</v>
      </c>
      <c r="J105">
        <v>60</v>
      </c>
      <c r="L105" s="1"/>
      <c r="M105" s="1"/>
    </row>
    <row r="106" spans="1:13" x14ac:dyDescent="0.3">
      <c r="A106" s="6">
        <v>3.5</v>
      </c>
      <c r="B106">
        <v>8.2100000000000009</v>
      </c>
      <c r="D106" s="6">
        <f t="shared" si="5"/>
        <v>9.1419250000000005</v>
      </c>
      <c r="E106" s="6">
        <f t="shared" si="6"/>
        <v>8.1419250000000005</v>
      </c>
      <c r="F106" s="28">
        <f t="shared" si="4"/>
        <v>6.7018102154054739</v>
      </c>
      <c r="G106">
        <v>16.350000000000001</v>
      </c>
      <c r="H106">
        <f>H105+5</f>
        <v>671</v>
      </c>
      <c r="I106" s="7">
        <f t="shared" si="7"/>
        <v>5.8333333333333334E-2</v>
      </c>
      <c r="J106">
        <v>60</v>
      </c>
      <c r="L106" s="1"/>
      <c r="M106" s="1"/>
    </row>
    <row r="107" spans="1:13" x14ac:dyDescent="0.3">
      <c r="A107" s="6">
        <v>3.5</v>
      </c>
      <c r="B107">
        <v>8.2200000000000006</v>
      </c>
      <c r="D107" s="6">
        <f t="shared" si="5"/>
        <v>9.1517940000000007</v>
      </c>
      <c r="E107" s="6">
        <f t="shared" si="6"/>
        <v>8.1517940000000007</v>
      </c>
      <c r="F107" s="28">
        <f t="shared" si="4"/>
        <v>6.6936966437161214</v>
      </c>
      <c r="G107">
        <v>16.420000000000002</v>
      </c>
      <c r="H107">
        <f>H106+7</f>
        <v>678</v>
      </c>
      <c r="I107" s="7">
        <f t="shared" si="7"/>
        <v>5.8333333333333334E-2</v>
      </c>
      <c r="J107">
        <v>60</v>
      </c>
      <c r="L107" s="1"/>
      <c r="M107" s="1"/>
    </row>
    <row r="108" spans="1:13" x14ac:dyDescent="0.3">
      <c r="A108" s="6">
        <v>3.5</v>
      </c>
      <c r="B108">
        <v>8.25</v>
      </c>
      <c r="D108" s="6">
        <f t="shared" si="5"/>
        <v>9.1814009999999993</v>
      </c>
      <c r="E108" s="6">
        <f t="shared" si="6"/>
        <v>8.1814009999999993</v>
      </c>
      <c r="F108" s="28">
        <f t="shared" si="4"/>
        <v>6.6694733748003818</v>
      </c>
      <c r="G108">
        <v>16.48</v>
      </c>
      <c r="H108">
        <f>H107+4</f>
        <v>682</v>
      </c>
      <c r="I108" s="7">
        <f t="shared" si="7"/>
        <v>5.8333333333333334E-2</v>
      </c>
      <c r="J108">
        <v>60</v>
      </c>
      <c r="L108" s="1"/>
      <c r="M108" s="1"/>
    </row>
    <row r="109" spans="1:13" x14ac:dyDescent="0.3">
      <c r="A109" s="6">
        <v>3.5</v>
      </c>
      <c r="B109">
        <v>8.27</v>
      </c>
      <c r="D109" s="6">
        <f t="shared" si="5"/>
        <v>9.2011389999999995</v>
      </c>
      <c r="E109" s="6">
        <f t="shared" si="6"/>
        <v>8.2011389999999995</v>
      </c>
      <c r="F109" s="28">
        <f t="shared" si="4"/>
        <v>6.6534216939946047</v>
      </c>
      <c r="G109">
        <v>16.52</v>
      </c>
      <c r="H109">
        <f>H108+4</f>
        <v>686</v>
      </c>
      <c r="I109" s="7">
        <f t="shared" si="7"/>
        <v>5.8333333333333334E-2</v>
      </c>
      <c r="J109">
        <v>60</v>
      </c>
      <c r="L109" s="1"/>
      <c r="M109" s="1"/>
    </row>
    <row r="110" spans="1:13" x14ac:dyDescent="0.3">
      <c r="A110" s="6">
        <v>3.5</v>
      </c>
      <c r="B110">
        <v>8.25</v>
      </c>
      <c r="D110" s="6">
        <f t="shared" si="5"/>
        <v>9.1814009999999993</v>
      </c>
      <c r="E110" s="6">
        <f t="shared" si="6"/>
        <v>8.1814009999999993</v>
      </c>
      <c r="F110" s="28">
        <f t="shared" si="4"/>
        <v>6.6694733748003818</v>
      </c>
      <c r="G110">
        <v>17.57</v>
      </c>
      <c r="H110">
        <f>H109+5</f>
        <v>691</v>
      </c>
      <c r="I110" s="7">
        <f t="shared" si="7"/>
        <v>5.8333333333333334E-2</v>
      </c>
      <c r="J110">
        <v>60</v>
      </c>
      <c r="L110" s="1"/>
      <c r="M110" s="1"/>
    </row>
    <row r="111" spans="1:13" x14ac:dyDescent="0.3">
      <c r="A111" s="6">
        <v>3.5</v>
      </c>
      <c r="B111">
        <v>8.25</v>
      </c>
      <c r="D111" s="6">
        <f t="shared" si="5"/>
        <v>9.1814009999999993</v>
      </c>
      <c r="E111" s="6">
        <f t="shared" si="6"/>
        <v>8.1814009999999993</v>
      </c>
      <c r="F111" s="28">
        <f t="shared" si="4"/>
        <v>6.6694733748003818</v>
      </c>
      <c r="G111">
        <v>17.05</v>
      </c>
      <c r="H111">
        <f>H110+8</f>
        <v>699</v>
      </c>
      <c r="I111" s="7">
        <f t="shared" si="7"/>
        <v>5.8333333333333334E-2</v>
      </c>
      <c r="J111">
        <v>60</v>
      </c>
      <c r="L111" s="1"/>
      <c r="M111" s="1"/>
    </row>
    <row r="112" spans="1:13" x14ac:dyDescent="0.3">
      <c r="A112" s="6">
        <v>3.5</v>
      </c>
      <c r="B112" s="6">
        <v>8.3000000000000007</v>
      </c>
      <c r="D112" s="6">
        <f t="shared" si="5"/>
        <v>9.2307459999999999</v>
      </c>
      <c r="E112" s="6">
        <f t="shared" si="6"/>
        <v>8.2307459999999999</v>
      </c>
      <c r="F112" s="28">
        <f t="shared" si="4"/>
        <v>6.6294885224334728</v>
      </c>
      <c r="G112">
        <v>17.09</v>
      </c>
      <c r="H112">
        <f>H111+4</f>
        <v>703</v>
      </c>
      <c r="I112" s="7">
        <f t="shared" si="7"/>
        <v>5.8333333333333334E-2</v>
      </c>
      <c r="J112">
        <v>60</v>
      </c>
      <c r="L112" s="1"/>
      <c r="M112" s="1"/>
    </row>
    <row r="113" spans="1:13" x14ac:dyDescent="0.3">
      <c r="A113" s="6">
        <v>3.5</v>
      </c>
      <c r="B113">
        <v>8.31</v>
      </c>
      <c r="D113" s="6">
        <f t="shared" si="5"/>
        <v>9.240615</v>
      </c>
      <c r="E113" s="6">
        <f t="shared" si="6"/>
        <v>8.240615</v>
      </c>
      <c r="F113" s="28">
        <f t="shared" si="4"/>
        <v>6.6215490152209773</v>
      </c>
      <c r="G113">
        <v>17.149999999999999</v>
      </c>
      <c r="H113">
        <f>H112+6</f>
        <v>709</v>
      </c>
      <c r="I113" s="7">
        <f t="shared" si="7"/>
        <v>5.8333333333333334E-2</v>
      </c>
      <c r="J113">
        <v>60</v>
      </c>
      <c r="L113" s="1"/>
      <c r="M113" s="1"/>
    </row>
    <row r="114" spans="1:13" x14ac:dyDescent="0.3">
      <c r="A114" s="6">
        <v>3.5</v>
      </c>
      <c r="B114">
        <v>8.35</v>
      </c>
      <c r="D114" s="6">
        <f t="shared" si="5"/>
        <v>9.2800909999999988</v>
      </c>
      <c r="E114" s="6">
        <f t="shared" si="6"/>
        <v>8.2800909999999988</v>
      </c>
      <c r="F114" s="28">
        <f t="shared" si="4"/>
        <v>6.5899802475679587</v>
      </c>
      <c r="G114">
        <v>17.2</v>
      </c>
      <c r="H114">
        <f>H113+5</f>
        <v>714</v>
      </c>
      <c r="I114" s="7">
        <f t="shared" si="7"/>
        <v>5.8333333333333334E-2</v>
      </c>
      <c r="J114">
        <v>60</v>
      </c>
      <c r="L114" s="1"/>
      <c r="M114" s="1"/>
    </row>
    <row r="115" spans="1:13" x14ac:dyDescent="0.3">
      <c r="A115" s="6">
        <v>3.5</v>
      </c>
      <c r="B115">
        <v>8.35</v>
      </c>
      <c r="D115" s="6">
        <f t="shared" si="5"/>
        <v>9.2800909999999988</v>
      </c>
      <c r="E115" s="6">
        <f t="shared" si="6"/>
        <v>8.2800909999999988</v>
      </c>
      <c r="F115" s="28">
        <f t="shared" si="4"/>
        <v>6.5899802475679587</v>
      </c>
      <c r="G115">
        <v>17.25</v>
      </c>
      <c r="H115">
        <f>H114+5</f>
        <v>719</v>
      </c>
      <c r="I115" s="7">
        <f t="shared" si="7"/>
        <v>5.8333333333333334E-2</v>
      </c>
      <c r="J115">
        <v>60</v>
      </c>
      <c r="L115" s="1"/>
      <c r="M115" s="1"/>
    </row>
    <row r="116" spans="1:13" x14ac:dyDescent="0.3">
      <c r="A116" s="6">
        <v>3.5</v>
      </c>
      <c r="B116">
        <v>9.67</v>
      </c>
      <c r="D116" s="6">
        <f t="shared" ref="D116:D147" si="8">$O$4*(B116-$C$3)+1</f>
        <v>10.582799</v>
      </c>
      <c r="E116" s="6">
        <f t="shared" ref="E116:E147" si="9">D116-1</f>
        <v>9.5827989999999996</v>
      </c>
      <c r="F116" s="28">
        <f t="shared" si="4"/>
        <v>5.6941229945515106</v>
      </c>
      <c r="H116">
        <v>719</v>
      </c>
      <c r="I116" s="7">
        <f t="shared" ref="I116:I147" si="10">A116/60</f>
        <v>5.8333333333333334E-2</v>
      </c>
      <c r="J116">
        <v>60</v>
      </c>
      <c r="L116" s="1"/>
      <c r="M116" s="1"/>
    </row>
    <row r="117" spans="1:13" x14ac:dyDescent="0.3">
      <c r="A117" s="6">
        <v>3.5</v>
      </c>
      <c r="B117">
        <v>9.32</v>
      </c>
      <c r="D117" s="6">
        <f t="shared" si="8"/>
        <v>10.237383999999999</v>
      </c>
      <c r="E117" s="6">
        <f t="shared" si="9"/>
        <v>9.2373839999999987</v>
      </c>
      <c r="F117" s="28">
        <f t="shared" si="4"/>
        <v>5.9070442603734161</v>
      </c>
      <c r="G117">
        <v>17.59</v>
      </c>
      <c r="H117">
        <v>719</v>
      </c>
      <c r="I117" s="7">
        <f t="shared" si="10"/>
        <v>5.8333333333333334E-2</v>
      </c>
      <c r="J117">
        <v>60</v>
      </c>
      <c r="L117" s="1"/>
      <c r="M117" s="1"/>
    </row>
    <row r="118" spans="1:13" x14ac:dyDescent="0.3">
      <c r="A118" s="6">
        <v>3.5</v>
      </c>
      <c r="B118">
        <v>9.02</v>
      </c>
      <c r="D118" s="6">
        <f t="shared" si="8"/>
        <v>9.9413139999999984</v>
      </c>
      <c r="E118" s="6">
        <f t="shared" si="9"/>
        <v>8.9413139999999984</v>
      </c>
      <c r="F118" s="28">
        <f t="shared" si="4"/>
        <v>6.1026417524387613</v>
      </c>
      <c r="G118">
        <v>18</v>
      </c>
      <c r="H118">
        <v>720</v>
      </c>
      <c r="I118" s="7">
        <f t="shared" si="10"/>
        <v>5.8333333333333334E-2</v>
      </c>
      <c r="J118">
        <v>60</v>
      </c>
      <c r="L118" s="1"/>
      <c r="M118" s="1"/>
    </row>
    <row r="119" spans="1:13" x14ac:dyDescent="0.3">
      <c r="A119" s="6">
        <v>3.5</v>
      </c>
      <c r="B119" s="6">
        <v>8.9</v>
      </c>
      <c r="D119" s="6">
        <f t="shared" si="8"/>
        <v>9.8228859999999987</v>
      </c>
      <c r="E119" s="6">
        <f t="shared" si="9"/>
        <v>8.8228859999999987</v>
      </c>
      <c r="F119" s="28">
        <f t="shared" si="4"/>
        <v>6.1845564068339121</v>
      </c>
      <c r="G119">
        <v>18.05</v>
      </c>
      <c r="H119">
        <v>725</v>
      </c>
      <c r="I119" s="7">
        <f t="shared" si="10"/>
        <v>5.8333333333333334E-2</v>
      </c>
      <c r="J119">
        <v>60</v>
      </c>
      <c r="L119" s="1"/>
      <c r="M119" s="1"/>
    </row>
    <row r="120" spans="1:13" x14ac:dyDescent="0.3">
      <c r="A120" s="6">
        <v>3.5</v>
      </c>
      <c r="B120">
        <v>8.83</v>
      </c>
      <c r="D120" s="6">
        <f t="shared" si="8"/>
        <v>9.7538029999999996</v>
      </c>
      <c r="E120" s="6">
        <f t="shared" si="9"/>
        <v>8.7538029999999996</v>
      </c>
      <c r="F120" s="28">
        <f t="shared" si="4"/>
        <v>6.2333635036183956</v>
      </c>
      <c r="G120">
        <v>10.220000000000001</v>
      </c>
      <c r="H120">
        <v>725</v>
      </c>
      <c r="I120" s="7">
        <f t="shared" si="10"/>
        <v>5.8333333333333334E-2</v>
      </c>
      <c r="J120">
        <v>60</v>
      </c>
      <c r="L120" s="1"/>
      <c r="M120" s="1"/>
    </row>
    <row r="121" spans="1:13" x14ac:dyDescent="0.3">
      <c r="A121" s="6">
        <v>3.5</v>
      </c>
      <c r="B121">
        <v>8.76</v>
      </c>
      <c r="D121" s="6">
        <f t="shared" si="8"/>
        <v>9.6847199999999987</v>
      </c>
      <c r="E121" s="6">
        <f t="shared" si="9"/>
        <v>8.6847199999999987</v>
      </c>
      <c r="F121" s="28">
        <f t="shared" si="4"/>
        <v>6.2829470769426337</v>
      </c>
      <c r="G121">
        <v>10.39</v>
      </c>
      <c r="H121">
        <f>H120+39-22</f>
        <v>742</v>
      </c>
      <c r="I121" s="7">
        <f t="shared" si="10"/>
        <v>5.8333333333333334E-2</v>
      </c>
      <c r="J121">
        <v>60</v>
      </c>
      <c r="L121" s="1"/>
      <c r="M121" s="1"/>
    </row>
    <row r="122" spans="1:13" x14ac:dyDescent="0.3">
      <c r="A122" s="6">
        <v>3.5</v>
      </c>
      <c r="B122">
        <v>8.69</v>
      </c>
      <c r="D122" s="6">
        <f t="shared" si="8"/>
        <v>9.6156369999999995</v>
      </c>
      <c r="E122" s="6">
        <f t="shared" si="9"/>
        <v>8.6156369999999995</v>
      </c>
      <c r="F122" s="28">
        <f t="shared" si="4"/>
        <v>6.3333258049364449</v>
      </c>
      <c r="G122">
        <v>10.49</v>
      </c>
      <c r="H122">
        <v>752</v>
      </c>
      <c r="I122" s="7">
        <f t="shared" si="10"/>
        <v>5.8333333333333334E-2</v>
      </c>
      <c r="J122">
        <v>60</v>
      </c>
      <c r="L122" s="1"/>
      <c r="M122" s="1"/>
    </row>
    <row r="123" spans="1:13" x14ac:dyDescent="0.3">
      <c r="A123" s="6">
        <v>3.5</v>
      </c>
      <c r="B123">
        <v>8.66</v>
      </c>
      <c r="D123" s="6">
        <f t="shared" si="8"/>
        <v>9.5860299999999992</v>
      </c>
      <c r="E123" s="6">
        <f t="shared" si="9"/>
        <v>8.5860299999999992</v>
      </c>
      <c r="F123" s="28">
        <f t="shared" si="4"/>
        <v>6.3551648594362264</v>
      </c>
      <c r="G123">
        <v>10.58</v>
      </c>
      <c r="H123">
        <f>H122+58-49</f>
        <v>761</v>
      </c>
      <c r="I123" s="7">
        <f t="shared" si="10"/>
        <v>5.8333333333333334E-2</v>
      </c>
      <c r="J123">
        <v>60</v>
      </c>
      <c r="L123" s="1"/>
      <c r="M123" s="1"/>
    </row>
    <row r="124" spans="1:13" x14ac:dyDescent="0.3">
      <c r="A124" s="6">
        <v>3.5</v>
      </c>
      <c r="B124">
        <v>8.64</v>
      </c>
      <c r="D124" s="6">
        <f t="shared" si="8"/>
        <v>9.5662919999999989</v>
      </c>
      <c r="E124" s="55">
        <f t="shared" si="9"/>
        <v>8.5662919999999989</v>
      </c>
      <c r="F124" s="28">
        <f t="shared" si="4"/>
        <v>6.3698080964395363</v>
      </c>
      <c r="G124">
        <v>11.5</v>
      </c>
      <c r="H124" s="1">
        <f>H123+7</f>
        <v>768</v>
      </c>
      <c r="I124" s="7">
        <f t="shared" si="10"/>
        <v>5.8333333333333334E-2</v>
      </c>
      <c r="J124">
        <v>60</v>
      </c>
      <c r="L124" s="1"/>
      <c r="M124" s="1"/>
    </row>
    <row r="125" spans="1:13" x14ac:dyDescent="0.3">
      <c r="A125" s="6">
        <v>3.5</v>
      </c>
      <c r="B125" s="6">
        <v>8.6</v>
      </c>
      <c r="D125" s="6">
        <f t="shared" si="8"/>
        <v>9.5268159999999984</v>
      </c>
      <c r="E125" s="6">
        <f t="shared" si="9"/>
        <v>8.5268159999999984</v>
      </c>
      <c r="F125" s="28">
        <f t="shared" si="4"/>
        <v>6.3992979487378676</v>
      </c>
      <c r="G125">
        <v>11.1</v>
      </c>
      <c r="H125">
        <f>H124+5</f>
        <v>773</v>
      </c>
      <c r="I125" s="7">
        <f t="shared" si="10"/>
        <v>5.8333333333333334E-2</v>
      </c>
      <c r="J125">
        <v>60</v>
      </c>
      <c r="L125" s="1"/>
      <c r="M125" s="1"/>
    </row>
    <row r="126" spans="1:13" x14ac:dyDescent="0.3">
      <c r="A126" s="6">
        <v>3.5</v>
      </c>
      <c r="B126">
        <v>8.6300000000000008</v>
      </c>
      <c r="D126" s="6">
        <f t="shared" si="8"/>
        <v>9.5564230000000006</v>
      </c>
      <c r="E126" s="6">
        <f t="shared" si="9"/>
        <v>8.5564230000000006</v>
      </c>
      <c r="F126" s="28">
        <f t="shared" si="4"/>
        <v>6.3771550492612645</v>
      </c>
      <c r="G126">
        <v>11.15</v>
      </c>
      <c r="H126">
        <f>H125+5</f>
        <v>778</v>
      </c>
      <c r="I126" s="7">
        <f t="shared" si="10"/>
        <v>5.8333333333333334E-2</v>
      </c>
      <c r="J126">
        <v>60</v>
      </c>
      <c r="L126" s="1"/>
      <c r="M126" s="1"/>
    </row>
    <row r="127" spans="1:13" x14ac:dyDescent="0.3">
      <c r="A127" s="6">
        <v>3.5</v>
      </c>
      <c r="B127">
        <v>8.6199999999999992</v>
      </c>
      <c r="D127" s="6">
        <f t="shared" si="8"/>
        <v>9.5465539999999987</v>
      </c>
      <c r="E127" s="6">
        <f t="shared" si="9"/>
        <v>8.5465539999999987</v>
      </c>
      <c r="F127" s="28">
        <f t="shared" si="4"/>
        <v>6.3845189696414755</v>
      </c>
      <c r="G127">
        <v>11.2</v>
      </c>
      <c r="H127">
        <f>H126+5</f>
        <v>783</v>
      </c>
      <c r="I127" s="7">
        <f t="shared" si="10"/>
        <v>5.8333333333333334E-2</v>
      </c>
      <c r="J127">
        <v>60</v>
      </c>
      <c r="L127" s="1"/>
      <c r="M127" s="1"/>
    </row>
    <row r="128" spans="1:13" x14ac:dyDescent="0.3">
      <c r="A128" s="6">
        <v>3.5</v>
      </c>
      <c r="B128">
        <v>8.59</v>
      </c>
      <c r="D128" s="6">
        <f t="shared" si="8"/>
        <v>9.5169469999999983</v>
      </c>
      <c r="E128" s="6">
        <f t="shared" si="9"/>
        <v>8.5169469999999983</v>
      </c>
      <c r="F128" s="28">
        <f t="shared" si="4"/>
        <v>6.4067131259669958</v>
      </c>
      <c r="G128">
        <v>11.25</v>
      </c>
      <c r="H128">
        <f>H127+5</f>
        <v>788</v>
      </c>
      <c r="I128" s="7">
        <f t="shared" si="10"/>
        <v>5.8333333333333334E-2</v>
      </c>
      <c r="J128">
        <v>60</v>
      </c>
      <c r="L128" s="1"/>
      <c r="M128" s="1"/>
    </row>
    <row r="129" spans="1:13" x14ac:dyDescent="0.3">
      <c r="A129" s="6">
        <v>3.5</v>
      </c>
      <c r="B129">
        <v>8.5500000000000007</v>
      </c>
      <c r="D129" s="6">
        <f t="shared" si="8"/>
        <v>9.4774709999999995</v>
      </c>
      <c r="E129" s="6">
        <f t="shared" si="9"/>
        <v>8.4774709999999995</v>
      </c>
      <c r="F129" s="28">
        <f t="shared" si="4"/>
        <v>6.436546481617599</v>
      </c>
      <c r="G129">
        <v>11.35</v>
      </c>
      <c r="H129">
        <f>H128+10</f>
        <v>798</v>
      </c>
      <c r="I129" s="7">
        <f t="shared" si="10"/>
        <v>5.8333333333333334E-2</v>
      </c>
      <c r="J129">
        <v>60</v>
      </c>
      <c r="L129" s="1"/>
      <c r="M129" s="1"/>
    </row>
    <row r="130" spans="1:13" x14ac:dyDescent="0.3">
      <c r="A130" s="6">
        <v>3.5</v>
      </c>
      <c r="B130">
        <v>8.58</v>
      </c>
      <c r="D130" s="6">
        <f t="shared" si="8"/>
        <v>9.5070779999999999</v>
      </c>
      <c r="E130" s="6">
        <f t="shared" si="9"/>
        <v>8.5070779999999999</v>
      </c>
      <c r="F130" s="28">
        <f t="shared" si="4"/>
        <v>6.4141455077836627</v>
      </c>
      <c r="G130">
        <v>11.42</v>
      </c>
      <c r="H130">
        <f>H129+7</f>
        <v>805</v>
      </c>
      <c r="I130" s="7">
        <f t="shared" si="10"/>
        <v>5.8333333333333334E-2</v>
      </c>
      <c r="J130">
        <v>60</v>
      </c>
      <c r="L130" s="1"/>
      <c r="M130" s="1"/>
    </row>
    <row r="131" spans="1:13" x14ac:dyDescent="0.3">
      <c r="A131" s="6">
        <v>3.5</v>
      </c>
      <c r="B131">
        <v>8.58</v>
      </c>
      <c r="D131" s="6">
        <f t="shared" si="8"/>
        <v>9.5070779999999999</v>
      </c>
      <c r="E131" s="6">
        <f t="shared" si="9"/>
        <v>8.5070779999999999</v>
      </c>
      <c r="F131" s="28">
        <f t="shared" si="4"/>
        <v>6.4141455077836627</v>
      </c>
      <c r="G131">
        <v>11.48</v>
      </c>
      <c r="H131">
        <f>H130+6</f>
        <v>811</v>
      </c>
      <c r="I131" s="7">
        <f t="shared" si="10"/>
        <v>5.8333333333333334E-2</v>
      </c>
      <c r="J131">
        <v>60</v>
      </c>
      <c r="L131" s="1"/>
      <c r="M131" s="1"/>
    </row>
    <row r="132" spans="1:13" x14ac:dyDescent="0.3">
      <c r="A132" s="6">
        <v>3.5</v>
      </c>
      <c r="B132">
        <v>8.5500000000000007</v>
      </c>
      <c r="D132" s="6">
        <f t="shared" si="8"/>
        <v>9.4774709999999995</v>
      </c>
      <c r="E132" s="6">
        <f t="shared" si="9"/>
        <v>8.4774709999999995</v>
      </c>
      <c r="F132" s="28">
        <f t="shared" si="4"/>
        <v>6.436546481617599</v>
      </c>
      <c r="G132">
        <v>11.55</v>
      </c>
      <c r="H132">
        <f>H131+7</f>
        <v>818</v>
      </c>
      <c r="I132" s="7">
        <f t="shared" si="10"/>
        <v>5.8333333333333334E-2</v>
      </c>
      <c r="J132">
        <v>60</v>
      </c>
      <c r="L132" s="1"/>
      <c r="M132" s="1"/>
    </row>
    <row r="133" spans="1:13" x14ac:dyDescent="0.3">
      <c r="A133" s="6">
        <v>3.5</v>
      </c>
      <c r="B133">
        <v>8.56</v>
      </c>
      <c r="D133" s="6">
        <f t="shared" si="8"/>
        <v>9.4873399999999997</v>
      </c>
      <c r="E133" s="6">
        <f t="shared" si="9"/>
        <v>8.4873399999999997</v>
      </c>
      <c r="F133" s="28">
        <f t="shared" ref="F133:F182" si="11">(1000*I133*1*$K$3)/(PI()*($L$3^2)/4*E133)</f>
        <v>6.4290621252436244</v>
      </c>
      <c r="G133">
        <v>12</v>
      </c>
      <c r="H133">
        <f>H132+5</f>
        <v>823</v>
      </c>
      <c r="I133" s="7">
        <f t="shared" si="10"/>
        <v>5.8333333333333334E-2</v>
      </c>
      <c r="J133">
        <v>60</v>
      </c>
      <c r="L133" s="1"/>
      <c r="M133" s="1"/>
    </row>
    <row r="134" spans="1:13" x14ac:dyDescent="0.3">
      <c r="A134" s="6">
        <v>3.5</v>
      </c>
      <c r="B134">
        <v>8.57</v>
      </c>
      <c r="D134" s="6">
        <f t="shared" si="8"/>
        <v>9.4972089999999998</v>
      </c>
      <c r="E134" s="6">
        <f t="shared" si="9"/>
        <v>8.4972089999999998</v>
      </c>
      <c r="F134" s="28">
        <f t="shared" si="11"/>
        <v>6.4215951541341658</v>
      </c>
      <c r="G134">
        <v>12.07</v>
      </c>
      <c r="H134">
        <f>H133+7</f>
        <v>830</v>
      </c>
      <c r="I134" s="7">
        <f t="shared" si="10"/>
        <v>5.8333333333333334E-2</v>
      </c>
      <c r="J134">
        <v>60</v>
      </c>
      <c r="L134" s="1"/>
      <c r="M134" s="1"/>
    </row>
    <row r="135" spans="1:13" x14ac:dyDescent="0.3">
      <c r="A135" s="6">
        <v>3.5</v>
      </c>
      <c r="B135">
        <v>8.5500000000000007</v>
      </c>
      <c r="D135" s="6">
        <f t="shared" si="8"/>
        <v>9.4774709999999995</v>
      </c>
      <c r="E135" s="6">
        <f t="shared" si="9"/>
        <v>8.4774709999999995</v>
      </c>
      <c r="F135" s="28">
        <f t="shared" si="11"/>
        <v>6.436546481617599</v>
      </c>
      <c r="G135">
        <v>12.2</v>
      </c>
      <c r="H135">
        <f>H134+13</f>
        <v>843</v>
      </c>
      <c r="I135" s="7">
        <f t="shared" si="10"/>
        <v>5.8333333333333334E-2</v>
      </c>
      <c r="J135">
        <v>60</v>
      </c>
      <c r="L135" s="1"/>
      <c r="M135" s="1"/>
    </row>
    <row r="136" spans="1:13" x14ac:dyDescent="0.3">
      <c r="A136" s="6">
        <v>3.5</v>
      </c>
      <c r="B136" s="6">
        <v>8.6</v>
      </c>
      <c r="D136" s="6">
        <f t="shared" si="8"/>
        <v>9.5268159999999984</v>
      </c>
      <c r="E136" s="6">
        <f t="shared" si="9"/>
        <v>8.5268159999999984</v>
      </c>
      <c r="F136" s="28">
        <f t="shared" si="11"/>
        <v>6.3992979487378676</v>
      </c>
      <c r="G136">
        <v>12.25</v>
      </c>
      <c r="H136">
        <f>H135+5</f>
        <v>848</v>
      </c>
      <c r="I136" s="7">
        <f t="shared" si="10"/>
        <v>5.8333333333333334E-2</v>
      </c>
      <c r="J136">
        <v>60</v>
      </c>
      <c r="L136" s="1"/>
      <c r="M136" s="1"/>
    </row>
    <row r="137" spans="1:13" x14ac:dyDescent="0.3">
      <c r="A137" s="6">
        <v>3.5</v>
      </c>
      <c r="B137">
        <v>8.5500000000000007</v>
      </c>
      <c r="D137" s="6">
        <f t="shared" si="8"/>
        <v>9.4774709999999995</v>
      </c>
      <c r="E137" s="6">
        <f t="shared" si="9"/>
        <v>8.4774709999999995</v>
      </c>
      <c r="F137" s="28">
        <f t="shared" si="11"/>
        <v>6.436546481617599</v>
      </c>
      <c r="G137">
        <v>12.3</v>
      </c>
      <c r="H137">
        <f>H136+5</f>
        <v>853</v>
      </c>
      <c r="I137" s="7">
        <f t="shared" si="10"/>
        <v>5.8333333333333334E-2</v>
      </c>
      <c r="J137">
        <v>60</v>
      </c>
      <c r="L137" s="1"/>
      <c r="M137" s="1"/>
    </row>
    <row r="138" spans="1:13" x14ac:dyDescent="0.3">
      <c r="A138" s="6">
        <v>3.5</v>
      </c>
      <c r="B138" s="6">
        <v>8.6</v>
      </c>
      <c r="D138" s="6">
        <f t="shared" si="8"/>
        <v>9.5268159999999984</v>
      </c>
      <c r="E138" s="55">
        <f t="shared" si="9"/>
        <v>8.5268159999999984</v>
      </c>
      <c r="F138" s="28">
        <f t="shared" si="11"/>
        <v>6.3992979487378676</v>
      </c>
      <c r="G138">
        <v>12.35</v>
      </c>
      <c r="H138" s="1">
        <f>H137+5</f>
        <v>858</v>
      </c>
      <c r="I138" s="7">
        <f t="shared" si="10"/>
        <v>5.8333333333333334E-2</v>
      </c>
      <c r="J138">
        <v>60</v>
      </c>
      <c r="L138" s="1"/>
      <c r="M138" s="1"/>
    </row>
    <row r="139" spans="1:13" x14ac:dyDescent="0.3">
      <c r="A139" s="6">
        <v>3</v>
      </c>
      <c r="B139" s="6">
        <v>8</v>
      </c>
      <c r="D139" s="6">
        <f t="shared" si="8"/>
        <v>8.9346759999999996</v>
      </c>
      <c r="E139" s="6">
        <f t="shared" si="9"/>
        <v>7.9346759999999996</v>
      </c>
      <c r="F139" s="28">
        <f t="shared" si="11"/>
        <v>5.8944492832724054</v>
      </c>
      <c r="G139">
        <v>13.01</v>
      </c>
      <c r="H139">
        <v>858</v>
      </c>
      <c r="I139" s="7">
        <f t="shared" si="10"/>
        <v>0.05</v>
      </c>
      <c r="J139">
        <v>60</v>
      </c>
    </row>
    <row r="140" spans="1:13" x14ac:dyDescent="0.3">
      <c r="A140" s="6">
        <v>3</v>
      </c>
      <c r="B140">
        <v>8.01</v>
      </c>
      <c r="D140" s="6">
        <f t="shared" si="8"/>
        <v>8.944544999999998</v>
      </c>
      <c r="E140" s="6">
        <f t="shared" si="9"/>
        <v>7.944544999999998</v>
      </c>
      <c r="F140" s="28">
        <f t="shared" si="11"/>
        <v>5.8871269860261055</v>
      </c>
      <c r="G140">
        <v>13.05</v>
      </c>
      <c r="H140">
        <f>H139+4</f>
        <v>862</v>
      </c>
      <c r="I140" s="7">
        <f t="shared" si="10"/>
        <v>0.05</v>
      </c>
      <c r="J140">
        <v>60</v>
      </c>
    </row>
    <row r="141" spans="1:13" x14ac:dyDescent="0.3">
      <c r="A141" s="6">
        <v>3</v>
      </c>
      <c r="B141">
        <v>8.02</v>
      </c>
      <c r="D141" s="6">
        <f t="shared" si="8"/>
        <v>8.9544139999999999</v>
      </c>
      <c r="E141" s="6">
        <f t="shared" si="9"/>
        <v>7.9544139999999999</v>
      </c>
      <c r="F141" s="28">
        <f t="shared" si="11"/>
        <v>5.8798228582518783</v>
      </c>
      <c r="G141">
        <v>13.13</v>
      </c>
      <c r="H141">
        <f>H140+8</f>
        <v>870</v>
      </c>
      <c r="I141" s="7">
        <f t="shared" si="10"/>
        <v>0.05</v>
      </c>
      <c r="J141">
        <v>60</v>
      </c>
    </row>
    <row r="142" spans="1:13" x14ac:dyDescent="0.3">
      <c r="A142" s="6">
        <v>3</v>
      </c>
      <c r="B142">
        <v>8.07</v>
      </c>
      <c r="D142" s="6">
        <f t="shared" si="8"/>
        <v>9.0037589999999987</v>
      </c>
      <c r="E142" s="6">
        <f t="shared" si="9"/>
        <v>8.0037589999999987</v>
      </c>
      <c r="F142" s="28">
        <f t="shared" si="11"/>
        <v>5.8435724090641363</v>
      </c>
      <c r="G142">
        <v>13.16</v>
      </c>
      <c r="H142">
        <f>873</f>
        <v>873</v>
      </c>
      <c r="I142" s="7">
        <f t="shared" si="10"/>
        <v>0.05</v>
      </c>
      <c r="J142">
        <v>60</v>
      </c>
    </row>
    <row r="143" spans="1:13" x14ac:dyDescent="0.3">
      <c r="A143" s="6">
        <v>3</v>
      </c>
      <c r="B143">
        <v>8.06</v>
      </c>
      <c r="D143" s="6">
        <f t="shared" si="8"/>
        <v>8.9938900000000004</v>
      </c>
      <c r="E143" s="6">
        <f t="shared" si="9"/>
        <v>7.9938900000000004</v>
      </c>
      <c r="F143" s="28">
        <f t="shared" si="11"/>
        <v>5.850786695988905</v>
      </c>
      <c r="G143">
        <v>13.2</v>
      </c>
      <c r="H143">
        <f>H142+4</f>
        <v>877</v>
      </c>
      <c r="I143" s="7">
        <f t="shared" si="10"/>
        <v>0.05</v>
      </c>
      <c r="J143">
        <v>60</v>
      </c>
    </row>
    <row r="144" spans="1:13" x14ac:dyDescent="0.3">
      <c r="A144" s="6">
        <v>3</v>
      </c>
      <c r="B144" s="6">
        <v>8.1999999999999993</v>
      </c>
      <c r="D144" s="6">
        <f t="shared" si="8"/>
        <v>9.1320559999999986</v>
      </c>
      <c r="E144" s="6">
        <f t="shared" si="9"/>
        <v>8.1320559999999986</v>
      </c>
      <c r="F144" s="28">
        <f t="shared" si="11"/>
        <v>5.7513801259114254</v>
      </c>
      <c r="G144">
        <v>13.41</v>
      </c>
      <c r="H144">
        <f>H143+21</f>
        <v>898</v>
      </c>
      <c r="I144" s="7">
        <f t="shared" si="10"/>
        <v>0.05</v>
      </c>
      <c r="J144">
        <v>60</v>
      </c>
    </row>
    <row r="145" spans="1:10" x14ac:dyDescent="0.3">
      <c r="A145" s="6">
        <v>3</v>
      </c>
      <c r="B145">
        <v>8.2899999999999991</v>
      </c>
      <c r="D145" s="6">
        <f t="shared" si="8"/>
        <v>9.220876999999998</v>
      </c>
      <c r="E145" s="6">
        <f t="shared" si="9"/>
        <v>8.220876999999998</v>
      </c>
      <c r="F145" s="28">
        <f t="shared" si="11"/>
        <v>5.6892403646470768</v>
      </c>
      <c r="G145">
        <v>14.03</v>
      </c>
      <c r="H145">
        <f>H144+19+3</f>
        <v>920</v>
      </c>
      <c r="I145" s="7">
        <f t="shared" si="10"/>
        <v>0.05</v>
      </c>
      <c r="J145">
        <v>60</v>
      </c>
    </row>
    <row r="146" spans="1:10" x14ac:dyDescent="0.3">
      <c r="A146" s="6">
        <v>3</v>
      </c>
      <c r="B146" s="6">
        <v>8.3000000000000007</v>
      </c>
      <c r="D146" s="6">
        <f t="shared" si="8"/>
        <v>9.2307459999999999</v>
      </c>
      <c r="E146" s="6">
        <f t="shared" si="9"/>
        <v>8.2307459999999999</v>
      </c>
      <c r="F146" s="28">
        <f t="shared" si="11"/>
        <v>5.682418733514405</v>
      </c>
      <c r="G146">
        <v>14.1</v>
      </c>
      <c r="H146">
        <f>H145+7</f>
        <v>927</v>
      </c>
      <c r="I146" s="7">
        <f t="shared" si="10"/>
        <v>0.05</v>
      </c>
      <c r="J146">
        <v>60</v>
      </c>
    </row>
    <row r="147" spans="1:10" x14ac:dyDescent="0.3">
      <c r="A147" s="6">
        <v>3</v>
      </c>
      <c r="B147">
        <v>8.33</v>
      </c>
      <c r="D147" s="6">
        <f t="shared" si="8"/>
        <v>9.2603529999999985</v>
      </c>
      <c r="E147" s="6">
        <f t="shared" si="9"/>
        <v>8.2603529999999985</v>
      </c>
      <c r="F147" s="28">
        <f t="shared" si="11"/>
        <v>5.6620516412795876</v>
      </c>
      <c r="G147">
        <v>14.16</v>
      </c>
      <c r="H147">
        <f>H146+5</f>
        <v>932</v>
      </c>
      <c r="I147" s="7">
        <f t="shared" si="10"/>
        <v>0.05</v>
      </c>
      <c r="J147">
        <v>60</v>
      </c>
    </row>
    <row r="148" spans="1:10" x14ac:dyDescent="0.3">
      <c r="A148" s="6">
        <v>3</v>
      </c>
      <c r="B148">
        <v>8.35</v>
      </c>
      <c r="D148" s="6">
        <f t="shared" ref="D148:D182" si="12">$O$4*(B148-$C$3)+1</f>
        <v>9.2800909999999988</v>
      </c>
      <c r="E148" s="6">
        <f t="shared" ref="E148:E179" si="13">D148-1</f>
        <v>8.2800909999999988</v>
      </c>
      <c r="F148" s="28">
        <f t="shared" si="11"/>
        <v>5.6485544979153932</v>
      </c>
      <c r="G148">
        <v>14.22</v>
      </c>
      <c r="H148">
        <f>H147+6</f>
        <v>938</v>
      </c>
      <c r="I148" s="7">
        <f t="shared" ref="I148:I182" si="14">A148/60</f>
        <v>0.05</v>
      </c>
      <c r="J148">
        <v>60</v>
      </c>
    </row>
    <row r="149" spans="1:10" x14ac:dyDescent="0.3">
      <c r="A149" s="6">
        <v>3</v>
      </c>
      <c r="B149">
        <v>8.35</v>
      </c>
      <c r="D149" s="6">
        <f t="shared" si="12"/>
        <v>9.2800909999999988</v>
      </c>
      <c r="E149" s="6">
        <f t="shared" si="13"/>
        <v>8.2800909999999988</v>
      </c>
      <c r="F149" s="28">
        <f t="shared" si="11"/>
        <v>5.6485544979153932</v>
      </c>
      <c r="G149">
        <v>14.28</v>
      </c>
      <c r="H149">
        <f>H148+5</f>
        <v>943</v>
      </c>
      <c r="I149" s="7">
        <f t="shared" si="14"/>
        <v>0.05</v>
      </c>
      <c r="J149">
        <v>60</v>
      </c>
    </row>
    <row r="150" spans="1:10" x14ac:dyDescent="0.3">
      <c r="A150" s="6">
        <v>3</v>
      </c>
      <c r="B150">
        <v>8.33</v>
      </c>
      <c r="D150" s="6">
        <f t="shared" si="12"/>
        <v>9.2603529999999985</v>
      </c>
      <c r="E150" s="6">
        <f t="shared" si="13"/>
        <v>8.2603529999999985</v>
      </c>
      <c r="F150" s="28">
        <f t="shared" si="11"/>
        <v>5.6620516412795876</v>
      </c>
      <c r="G150">
        <v>14.36</v>
      </c>
      <c r="H150">
        <f>H149+8</f>
        <v>951</v>
      </c>
      <c r="I150" s="7">
        <f t="shared" si="14"/>
        <v>0.05</v>
      </c>
      <c r="J150">
        <v>60</v>
      </c>
    </row>
    <row r="151" spans="1:10" x14ac:dyDescent="0.3">
      <c r="A151" s="6">
        <v>3</v>
      </c>
      <c r="B151">
        <v>8.34</v>
      </c>
      <c r="D151" s="6">
        <f t="shared" si="12"/>
        <v>9.2702219999999986</v>
      </c>
      <c r="E151" s="6">
        <f t="shared" si="13"/>
        <v>8.2702219999999986</v>
      </c>
      <c r="F151" s="28">
        <f t="shared" si="11"/>
        <v>5.6552950164093252</v>
      </c>
      <c r="G151">
        <v>14.45</v>
      </c>
      <c r="H151">
        <f>H150+9</f>
        <v>960</v>
      </c>
      <c r="I151" s="7">
        <f t="shared" si="14"/>
        <v>0.05</v>
      </c>
      <c r="J151">
        <v>60</v>
      </c>
    </row>
    <row r="152" spans="1:10" x14ac:dyDescent="0.3">
      <c r="A152" s="6">
        <v>3</v>
      </c>
      <c r="B152">
        <v>8.3699999999999992</v>
      </c>
      <c r="D152" s="6">
        <f t="shared" si="12"/>
        <v>9.299828999999999</v>
      </c>
      <c r="E152" s="6">
        <f t="shared" si="13"/>
        <v>8.299828999999999</v>
      </c>
      <c r="F152" s="28">
        <f t="shared" si="11"/>
        <v>5.6351215502390186</v>
      </c>
      <c r="G152">
        <v>14.5</v>
      </c>
      <c r="H152">
        <v>965</v>
      </c>
      <c r="I152" s="7">
        <f t="shared" si="14"/>
        <v>0.05</v>
      </c>
      <c r="J152">
        <v>60</v>
      </c>
    </row>
    <row r="153" spans="1:10" x14ac:dyDescent="0.3">
      <c r="A153" s="6">
        <v>3</v>
      </c>
      <c r="B153">
        <v>8.3800000000000008</v>
      </c>
      <c r="D153" s="6">
        <f t="shared" si="12"/>
        <v>9.3096979999999991</v>
      </c>
      <c r="E153" s="6">
        <f t="shared" si="13"/>
        <v>8.3096979999999991</v>
      </c>
      <c r="F153" s="28">
        <f t="shared" si="11"/>
        <v>5.6284290068301832</v>
      </c>
      <c r="G153">
        <v>15</v>
      </c>
      <c r="H153">
        <f>H152+5</f>
        <v>970</v>
      </c>
      <c r="I153" s="7">
        <f t="shared" si="14"/>
        <v>0.05</v>
      </c>
      <c r="J153">
        <v>60</v>
      </c>
    </row>
    <row r="154" spans="1:10" x14ac:dyDescent="0.3">
      <c r="A154" s="6">
        <v>3</v>
      </c>
      <c r="B154">
        <v>8.41</v>
      </c>
      <c r="D154" s="6">
        <f t="shared" si="12"/>
        <v>9.3393049999999995</v>
      </c>
      <c r="E154" s="6">
        <f t="shared" si="13"/>
        <v>8.3393049999999995</v>
      </c>
      <c r="F154" s="28">
        <f t="shared" si="11"/>
        <v>5.608446418640253</v>
      </c>
      <c r="G154">
        <v>15.1</v>
      </c>
      <c r="H154">
        <v>980</v>
      </c>
      <c r="I154" s="7">
        <f t="shared" si="14"/>
        <v>0.05</v>
      </c>
      <c r="J154">
        <v>60</v>
      </c>
    </row>
    <row r="155" spans="1:10" x14ac:dyDescent="0.3">
      <c r="A155" s="6">
        <v>3</v>
      </c>
      <c r="B155">
        <v>8.4600000000000009</v>
      </c>
      <c r="D155" s="6">
        <f t="shared" si="12"/>
        <v>9.3886500000000002</v>
      </c>
      <c r="E155" s="6">
        <f t="shared" si="13"/>
        <v>8.3886500000000002</v>
      </c>
      <c r="F155" s="28">
        <f t="shared" si="11"/>
        <v>5.5754555573541333</v>
      </c>
      <c r="G155">
        <v>15.16</v>
      </c>
      <c r="H155">
        <v>985</v>
      </c>
      <c r="I155" s="7">
        <f t="shared" si="14"/>
        <v>0.05</v>
      </c>
      <c r="J155">
        <v>60</v>
      </c>
    </row>
    <row r="156" spans="1:10" x14ac:dyDescent="0.3">
      <c r="A156" s="6">
        <v>3</v>
      </c>
      <c r="B156">
        <v>8.73</v>
      </c>
      <c r="D156" s="6">
        <f t="shared" si="12"/>
        <v>9.6551130000000001</v>
      </c>
      <c r="E156" s="6">
        <f t="shared" si="13"/>
        <v>8.6551130000000001</v>
      </c>
      <c r="F156" s="28">
        <f t="shared" si="11"/>
        <v>5.4038052722360472</v>
      </c>
      <c r="G156">
        <v>15.39</v>
      </c>
      <c r="H156">
        <v>985</v>
      </c>
      <c r="I156" s="7">
        <f t="shared" si="14"/>
        <v>0.05</v>
      </c>
      <c r="J156">
        <v>60</v>
      </c>
    </row>
    <row r="157" spans="1:10" x14ac:dyDescent="0.3">
      <c r="A157" s="6">
        <v>3</v>
      </c>
      <c r="B157">
        <v>8.57</v>
      </c>
      <c r="D157" s="6">
        <f t="shared" si="12"/>
        <v>9.4972089999999998</v>
      </c>
      <c r="E157" s="6">
        <f t="shared" si="13"/>
        <v>8.4972089999999998</v>
      </c>
      <c r="F157" s="28">
        <f t="shared" si="11"/>
        <v>5.5042244178292847</v>
      </c>
      <c r="G157">
        <v>15.4</v>
      </c>
      <c r="H157">
        <v>986</v>
      </c>
      <c r="I157" s="7">
        <f t="shared" si="14"/>
        <v>0.05</v>
      </c>
      <c r="J157">
        <v>60</v>
      </c>
    </row>
    <row r="158" spans="1:10" x14ac:dyDescent="0.3">
      <c r="A158" s="6">
        <v>3</v>
      </c>
      <c r="B158">
        <v>8.4700000000000006</v>
      </c>
      <c r="D158" s="6">
        <f t="shared" si="12"/>
        <v>9.3985190000000003</v>
      </c>
      <c r="E158" s="6">
        <f t="shared" si="13"/>
        <v>8.3985190000000003</v>
      </c>
      <c r="F158" s="28">
        <f t="shared" si="11"/>
        <v>5.5689039057003686</v>
      </c>
      <c r="G158">
        <v>15.42</v>
      </c>
      <c r="H158">
        <v>988</v>
      </c>
      <c r="I158" s="7">
        <f t="shared" si="14"/>
        <v>0.05</v>
      </c>
      <c r="J158">
        <v>60</v>
      </c>
    </row>
    <row r="159" spans="1:10" x14ac:dyDescent="0.3">
      <c r="A159" s="6">
        <v>3</v>
      </c>
      <c r="B159">
        <v>8.42</v>
      </c>
      <c r="D159" s="6">
        <f t="shared" si="12"/>
        <v>9.3491739999999997</v>
      </c>
      <c r="E159" s="6">
        <f t="shared" si="13"/>
        <v>8.3491739999999997</v>
      </c>
      <c r="F159" s="28">
        <f t="shared" si="11"/>
        <v>5.6018170493510802</v>
      </c>
      <c r="G159">
        <v>15.47</v>
      </c>
      <c r="H159">
        <f>H158+5</f>
        <v>993</v>
      </c>
      <c r="I159" s="7">
        <f t="shared" si="14"/>
        <v>0.05</v>
      </c>
      <c r="J159">
        <v>60</v>
      </c>
    </row>
    <row r="160" spans="1:10" x14ac:dyDescent="0.3">
      <c r="A160" s="6">
        <v>3</v>
      </c>
      <c r="B160">
        <v>8.4499999999999993</v>
      </c>
      <c r="D160" s="6">
        <f t="shared" si="12"/>
        <v>9.3787809999999983</v>
      </c>
      <c r="E160" s="6">
        <f t="shared" si="13"/>
        <v>8.3787809999999983</v>
      </c>
      <c r="F160" s="28">
        <f t="shared" si="11"/>
        <v>5.5820226428162716</v>
      </c>
      <c r="G160">
        <v>15.51</v>
      </c>
      <c r="H160">
        <f>H159+4</f>
        <v>997</v>
      </c>
      <c r="I160" s="7">
        <f t="shared" si="14"/>
        <v>0.05</v>
      </c>
      <c r="J160">
        <v>60</v>
      </c>
    </row>
    <row r="161" spans="1:10" x14ac:dyDescent="0.3">
      <c r="A161" s="6">
        <v>3</v>
      </c>
      <c r="B161">
        <v>8.4700000000000006</v>
      </c>
      <c r="D161" s="6">
        <f t="shared" si="12"/>
        <v>9.3985190000000003</v>
      </c>
      <c r="E161" s="6">
        <f t="shared" si="13"/>
        <v>8.3985190000000003</v>
      </c>
      <c r="F161" s="28">
        <f t="shared" si="11"/>
        <v>5.5689039057003686</v>
      </c>
      <c r="G161">
        <v>15.58</v>
      </c>
      <c r="H161">
        <f>H160+7</f>
        <v>1004</v>
      </c>
      <c r="I161" s="7">
        <f t="shared" si="14"/>
        <v>0.05</v>
      </c>
      <c r="J161">
        <v>60</v>
      </c>
    </row>
    <row r="162" spans="1:10" x14ac:dyDescent="0.3">
      <c r="A162" s="6">
        <v>3</v>
      </c>
      <c r="B162">
        <v>8.44</v>
      </c>
      <c r="D162" s="6">
        <f t="shared" si="12"/>
        <v>9.3689119999999981</v>
      </c>
      <c r="E162" s="6">
        <f t="shared" si="13"/>
        <v>8.3689119999999981</v>
      </c>
      <c r="F162" s="28">
        <f t="shared" si="11"/>
        <v>5.5886052166875171</v>
      </c>
      <c r="G162">
        <v>16.04</v>
      </c>
      <c r="H162">
        <f>H161+6</f>
        <v>1010</v>
      </c>
      <c r="I162" s="7">
        <f t="shared" si="14"/>
        <v>0.05</v>
      </c>
      <c r="J162">
        <v>60</v>
      </c>
    </row>
    <row r="163" spans="1:10" x14ac:dyDescent="0.3">
      <c r="A163" s="6">
        <v>3</v>
      </c>
      <c r="B163" s="6">
        <v>8.5</v>
      </c>
      <c r="D163" s="6">
        <f t="shared" si="12"/>
        <v>9.4281259999999989</v>
      </c>
      <c r="E163" s="6">
        <f t="shared" si="13"/>
        <v>8.4281259999999989</v>
      </c>
      <c r="F163" s="28">
        <f t="shared" si="11"/>
        <v>5.5493410114180488</v>
      </c>
      <c r="G163">
        <v>16.12</v>
      </c>
      <c r="H163">
        <f>H162+8</f>
        <v>1018</v>
      </c>
      <c r="I163" s="7">
        <f t="shared" si="14"/>
        <v>0.05</v>
      </c>
      <c r="J163">
        <v>60</v>
      </c>
    </row>
    <row r="164" spans="1:10" x14ac:dyDescent="0.3">
      <c r="A164" s="6">
        <v>3</v>
      </c>
      <c r="B164">
        <v>8.5399999999999991</v>
      </c>
      <c r="D164" s="6">
        <f t="shared" si="12"/>
        <v>9.4676019999999976</v>
      </c>
      <c r="E164" s="6">
        <f t="shared" si="13"/>
        <v>8.4676019999999976</v>
      </c>
      <c r="F164" s="28">
        <f t="shared" si="11"/>
        <v>5.5234699577517663</v>
      </c>
      <c r="G164">
        <v>16.23</v>
      </c>
      <c r="H164">
        <f>H163+12</f>
        <v>1030</v>
      </c>
      <c r="I164" s="7">
        <f t="shared" si="14"/>
        <v>0.05</v>
      </c>
      <c r="J164">
        <v>60</v>
      </c>
    </row>
    <row r="165" spans="1:10" x14ac:dyDescent="0.3">
      <c r="A165" s="6">
        <v>3</v>
      </c>
      <c r="B165">
        <v>8.5299999999999994</v>
      </c>
      <c r="D165" s="6">
        <f t="shared" si="12"/>
        <v>9.4577329999999993</v>
      </c>
      <c r="E165" s="6">
        <f t="shared" si="13"/>
        <v>8.4577329999999993</v>
      </c>
      <c r="F165" s="28">
        <f t="shared" si="11"/>
        <v>5.5299150802228878</v>
      </c>
      <c r="G165">
        <v>16.3</v>
      </c>
      <c r="H165">
        <f>H164+7</f>
        <v>1037</v>
      </c>
      <c r="I165" s="7">
        <f t="shared" si="14"/>
        <v>0.05</v>
      </c>
      <c r="J165">
        <v>60</v>
      </c>
    </row>
    <row r="166" spans="1:10" x14ac:dyDescent="0.3">
      <c r="A166" s="6">
        <v>3</v>
      </c>
      <c r="B166">
        <v>8.52</v>
      </c>
      <c r="D166" s="6">
        <f t="shared" si="12"/>
        <v>9.4478639999999992</v>
      </c>
      <c r="E166" s="6">
        <f t="shared" si="13"/>
        <v>8.4478639999999992</v>
      </c>
      <c r="F166" s="28">
        <f t="shared" si="11"/>
        <v>5.5363752613913721</v>
      </c>
      <c r="G166">
        <v>16.350000000000001</v>
      </c>
      <c r="H166">
        <f t="shared" ref="H166:H178" si="15">H165+5</f>
        <v>1042</v>
      </c>
      <c r="I166" s="7">
        <f t="shared" si="14"/>
        <v>0.05</v>
      </c>
      <c r="J166">
        <v>60</v>
      </c>
    </row>
    <row r="167" spans="1:10" x14ac:dyDescent="0.3">
      <c r="A167" s="6">
        <v>3</v>
      </c>
      <c r="B167">
        <v>8.5500000000000007</v>
      </c>
      <c r="D167" s="6">
        <f t="shared" si="12"/>
        <v>9.4774709999999995</v>
      </c>
      <c r="E167" s="6">
        <f t="shared" si="13"/>
        <v>8.4774709999999995</v>
      </c>
      <c r="F167" s="28">
        <f t="shared" si="11"/>
        <v>5.5170398413865129</v>
      </c>
      <c r="G167">
        <v>16.399999999999999</v>
      </c>
      <c r="H167">
        <f t="shared" si="15"/>
        <v>1047</v>
      </c>
      <c r="I167" s="7">
        <f t="shared" si="14"/>
        <v>0.05</v>
      </c>
      <c r="J167">
        <v>60</v>
      </c>
    </row>
    <row r="168" spans="1:10" x14ac:dyDescent="0.3">
      <c r="A168" s="6">
        <v>3</v>
      </c>
      <c r="B168">
        <v>8.57</v>
      </c>
      <c r="D168" s="6">
        <f t="shared" si="12"/>
        <v>9.4972089999999998</v>
      </c>
      <c r="E168" s="6">
        <f t="shared" si="13"/>
        <v>8.4972089999999998</v>
      </c>
      <c r="F168" s="28">
        <f t="shared" si="11"/>
        <v>5.5042244178292847</v>
      </c>
      <c r="G168">
        <v>16.45</v>
      </c>
      <c r="H168">
        <f t="shared" si="15"/>
        <v>1052</v>
      </c>
      <c r="I168" s="7">
        <f t="shared" si="14"/>
        <v>0.05</v>
      </c>
      <c r="J168">
        <v>60</v>
      </c>
    </row>
    <row r="169" spans="1:10" x14ac:dyDescent="0.3">
      <c r="A169" s="6">
        <v>3</v>
      </c>
      <c r="B169">
        <v>8.59</v>
      </c>
      <c r="D169" s="6">
        <f t="shared" si="12"/>
        <v>9.5169469999999983</v>
      </c>
      <c r="E169" s="6">
        <f t="shared" si="13"/>
        <v>8.5169469999999983</v>
      </c>
      <c r="F169" s="28">
        <f t="shared" si="11"/>
        <v>5.491468393685996</v>
      </c>
      <c r="G169">
        <v>16.5</v>
      </c>
      <c r="H169">
        <f t="shared" si="15"/>
        <v>1057</v>
      </c>
      <c r="I169" s="7">
        <f t="shared" si="14"/>
        <v>0.05</v>
      </c>
      <c r="J169">
        <v>60</v>
      </c>
    </row>
    <row r="170" spans="1:10" x14ac:dyDescent="0.3">
      <c r="A170" s="6">
        <v>3</v>
      </c>
      <c r="B170">
        <v>8.6199999999999992</v>
      </c>
      <c r="D170" s="6">
        <f t="shared" si="12"/>
        <v>9.5465539999999987</v>
      </c>
      <c r="E170" s="6">
        <f t="shared" si="13"/>
        <v>8.5465539999999987</v>
      </c>
      <c r="F170" s="28">
        <f t="shared" si="11"/>
        <v>5.4724448311212637</v>
      </c>
      <c r="G170">
        <v>16.55</v>
      </c>
      <c r="H170">
        <f t="shared" si="15"/>
        <v>1062</v>
      </c>
      <c r="I170" s="7">
        <f t="shared" si="14"/>
        <v>0.05</v>
      </c>
      <c r="J170">
        <v>60</v>
      </c>
    </row>
    <row r="171" spans="1:10" x14ac:dyDescent="0.3">
      <c r="A171" s="6">
        <v>3</v>
      </c>
      <c r="B171">
        <v>8.61</v>
      </c>
      <c r="D171" s="6">
        <f t="shared" si="12"/>
        <v>9.5366849999999985</v>
      </c>
      <c r="E171" s="6">
        <f t="shared" si="13"/>
        <v>8.5366849999999985</v>
      </c>
      <c r="F171" s="28">
        <f t="shared" si="11"/>
        <v>5.4787713569375889</v>
      </c>
      <c r="G171">
        <v>17</v>
      </c>
      <c r="H171">
        <f t="shared" si="15"/>
        <v>1067</v>
      </c>
      <c r="I171" s="7">
        <f t="shared" si="14"/>
        <v>0.05</v>
      </c>
      <c r="J171">
        <v>60</v>
      </c>
    </row>
    <row r="172" spans="1:10" x14ac:dyDescent="0.3">
      <c r="A172" s="6">
        <v>3</v>
      </c>
      <c r="B172">
        <v>8.6300000000000008</v>
      </c>
      <c r="D172" s="6">
        <f t="shared" si="12"/>
        <v>9.5564230000000006</v>
      </c>
      <c r="E172" s="6">
        <f t="shared" si="13"/>
        <v>8.5564230000000006</v>
      </c>
      <c r="F172" s="28">
        <f t="shared" si="11"/>
        <v>5.4661328993667979</v>
      </c>
      <c r="G172">
        <v>17.05</v>
      </c>
      <c r="H172">
        <f t="shared" si="15"/>
        <v>1072</v>
      </c>
      <c r="I172" s="7">
        <f t="shared" si="14"/>
        <v>0.05</v>
      </c>
      <c r="J172">
        <v>60</v>
      </c>
    </row>
    <row r="173" spans="1:10" x14ac:dyDescent="0.3">
      <c r="A173" s="6">
        <v>3</v>
      </c>
      <c r="B173">
        <v>8.6300000000000008</v>
      </c>
      <c r="D173" s="6">
        <f t="shared" si="12"/>
        <v>9.5564230000000006</v>
      </c>
      <c r="E173" s="6">
        <f t="shared" si="13"/>
        <v>8.5564230000000006</v>
      </c>
      <c r="F173" s="28">
        <f t="shared" si="11"/>
        <v>5.4661328993667979</v>
      </c>
      <c r="G173">
        <v>17.100000000000001</v>
      </c>
      <c r="H173">
        <f t="shared" si="15"/>
        <v>1077</v>
      </c>
      <c r="I173" s="7">
        <f t="shared" si="14"/>
        <v>0.05</v>
      </c>
      <c r="J173">
        <v>60</v>
      </c>
    </row>
    <row r="174" spans="1:10" x14ac:dyDescent="0.3">
      <c r="A174" s="6">
        <v>3</v>
      </c>
      <c r="B174">
        <v>8.6300000000000008</v>
      </c>
      <c r="D174" s="6">
        <f t="shared" si="12"/>
        <v>9.5564230000000006</v>
      </c>
      <c r="E174" s="6">
        <f t="shared" si="13"/>
        <v>8.5564230000000006</v>
      </c>
      <c r="F174" s="28">
        <f t="shared" si="11"/>
        <v>5.4661328993667979</v>
      </c>
      <c r="G174">
        <v>17.149999999999999</v>
      </c>
      <c r="H174">
        <f t="shared" si="15"/>
        <v>1082</v>
      </c>
      <c r="I174" s="7">
        <f t="shared" si="14"/>
        <v>0.05</v>
      </c>
      <c r="J174">
        <v>60</v>
      </c>
    </row>
    <row r="175" spans="1:10" x14ac:dyDescent="0.3">
      <c r="A175" s="6">
        <v>3</v>
      </c>
      <c r="B175">
        <v>8.64</v>
      </c>
      <c r="D175" s="6">
        <f t="shared" si="12"/>
        <v>9.5662919999999989</v>
      </c>
      <c r="E175" s="58">
        <f t="shared" si="13"/>
        <v>8.5662919999999989</v>
      </c>
      <c r="F175" s="28">
        <f t="shared" si="11"/>
        <v>5.4598355112338872</v>
      </c>
      <c r="G175">
        <v>17.2</v>
      </c>
      <c r="H175">
        <f t="shared" si="15"/>
        <v>1087</v>
      </c>
      <c r="I175" s="7">
        <f t="shared" si="14"/>
        <v>0.05</v>
      </c>
      <c r="J175">
        <v>60</v>
      </c>
    </row>
    <row r="176" spans="1:10" x14ac:dyDescent="0.3">
      <c r="A176" s="6">
        <v>3</v>
      </c>
      <c r="B176">
        <v>8.66</v>
      </c>
      <c r="D176" s="6">
        <f t="shared" si="12"/>
        <v>9.5860299999999992</v>
      </c>
      <c r="E176" s="6">
        <f t="shared" si="13"/>
        <v>8.5860299999999992</v>
      </c>
      <c r="F176" s="28">
        <f t="shared" si="11"/>
        <v>5.4472841652310509</v>
      </c>
      <c r="G176">
        <v>17.25</v>
      </c>
      <c r="H176">
        <f t="shared" si="15"/>
        <v>1092</v>
      </c>
      <c r="I176" s="7">
        <f t="shared" si="14"/>
        <v>0.05</v>
      </c>
      <c r="J176">
        <v>60</v>
      </c>
    </row>
    <row r="177" spans="1:10" x14ac:dyDescent="0.3">
      <c r="A177" s="6">
        <v>3</v>
      </c>
      <c r="B177">
        <v>8.68</v>
      </c>
      <c r="D177" s="6">
        <f t="shared" si="12"/>
        <v>9.6057679999999994</v>
      </c>
      <c r="E177" s="6">
        <f t="shared" si="13"/>
        <v>8.6057679999999994</v>
      </c>
      <c r="F177" s="28">
        <f t="shared" si="11"/>
        <v>5.4347903942098785</v>
      </c>
      <c r="G177">
        <v>17.3</v>
      </c>
      <c r="H177">
        <f t="shared" si="15"/>
        <v>1097</v>
      </c>
      <c r="I177" s="7">
        <f t="shared" si="14"/>
        <v>0.05</v>
      </c>
      <c r="J177">
        <v>60</v>
      </c>
    </row>
    <row r="178" spans="1:10" x14ac:dyDescent="0.3">
      <c r="A178" s="6">
        <v>3</v>
      </c>
      <c r="B178">
        <v>8.66</v>
      </c>
      <c r="D178" s="6">
        <f t="shared" si="12"/>
        <v>9.5860299999999992</v>
      </c>
      <c r="E178" s="6">
        <f t="shared" si="13"/>
        <v>8.5860299999999992</v>
      </c>
      <c r="F178" s="28">
        <f t="shared" si="11"/>
        <v>5.4472841652310509</v>
      </c>
      <c r="G178">
        <v>17.350000000000001</v>
      </c>
      <c r="H178">
        <f t="shared" si="15"/>
        <v>1102</v>
      </c>
      <c r="I178" s="7">
        <f t="shared" si="14"/>
        <v>0.05</v>
      </c>
      <c r="J178">
        <v>60</v>
      </c>
    </row>
    <row r="179" spans="1:10" x14ac:dyDescent="0.3">
      <c r="A179" s="6">
        <v>3</v>
      </c>
      <c r="B179">
        <v>8.73</v>
      </c>
      <c r="D179" s="6">
        <f t="shared" si="12"/>
        <v>9.6551130000000001</v>
      </c>
      <c r="E179" s="6">
        <f t="shared" si="13"/>
        <v>8.6551130000000001</v>
      </c>
      <c r="F179" s="28">
        <f t="shared" si="11"/>
        <v>5.4038052722360472</v>
      </c>
      <c r="G179">
        <v>17.38</v>
      </c>
      <c r="H179">
        <f>H178+3</f>
        <v>1105</v>
      </c>
      <c r="I179" s="7">
        <f t="shared" si="14"/>
        <v>0.05</v>
      </c>
      <c r="J179">
        <v>60</v>
      </c>
    </row>
    <row r="180" spans="1:10" x14ac:dyDescent="0.3">
      <c r="A180" s="6">
        <v>3</v>
      </c>
      <c r="B180">
        <v>8.7100000000000009</v>
      </c>
      <c r="D180" s="6">
        <f t="shared" si="12"/>
        <v>9.6353749999999998</v>
      </c>
      <c r="E180" s="6">
        <f>D180-1</f>
        <v>8.6353749999999998</v>
      </c>
      <c r="F180" s="28">
        <f t="shared" si="11"/>
        <v>5.4161568271440155</v>
      </c>
      <c r="G180">
        <v>17.399999999999999</v>
      </c>
      <c r="H180">
        <f>H179+2</f>
        <v>1107</v>
      </c>
      <c r="I180" s="7">
        <f t="shared" si="14"/>
        <v>0.05</v>
      </c>
      <c r="J180">
        <v>60</v>
      </c>
    </row>
    <row r="181" spans="1:10" x14ac:dyDescent="0.3">
      <c r="A181" s="6">
        <v>3</v>
      </c>
      <c r="B181">
        <v>8.74</v>
      </c>
      <c r="D181" s="6">
        <f t="shared" si="12"/>
        <v>9.6649820000000002</v>
      </c>
      <c r="E181" s="6">
        <f>D181-1</f>
        <v>8.6649820000000002</v>
      </c>
      <c r="F181" s="28">
        <f t="shared" si="11"/>
        <v>5.3976505965273498</v>
      </c>
      <c r="G181">
        <v>17.45</v>
      </c>
      <c r="H181">
        <f>H180+5</f>
        <v>1112</v>
      </c>
      <c r="I181" s="7">
        <f t="shared" si="14"/>
        <v>0.05</v>
      </c>
      <c r="J181">
        <v>60</v>
      </c>
    </row>
    <row r="182" spans="1:10" x14ac:dyDescent="0.3">
      <c r="A182" s="6">
        <v>3</v>
      </c>
      <c r="B182">
        <v>8.7200000000000006</v>
      </c>
      <c r="D182" s="6">
        <f t="shared" si="12"/>
        <v>9.6452439999999999</v>
      </c>
      <c r="E182" s="6">
        <f>D182-1</f>
        <v>8.6452439999999999</v>
      </c>
      <c r="F182" s="28">
        <f t="shared" si="11"/>
        <v>5.4099739997157688</v>
      </c>
      <c r="G182">
        <v>17.5</v>
      </c>
      <c r="H182">
        <f>H181+5</f>
        <v>1117</v>
      </c>
      <c r="I182" s="7">
        <f t="shared" si="14"/>
        <v>0.05</v>
      </c>
      <c r="J182">
        <v>60</v>
      </c>
    </row>
    <row r="186" spans="1:10" x14ac:dyDescent="0.3">
      <c r="F186" s="4"/>
      <c r="I186" s="9"/>
    </row>
    <row r="187" spans="1:10" x14ac:dyDescent="0.3">
      <c r="F187" s="4"/>
      <c r="I187" s="9"/>
    </row>
    <row r="188" spans="1:10" x14ac:dyDescent="0.3">
      <c r="F188" s="4"/>
      <c r="I188" s="9"/>
    </row>
    <row r="189" spans="1:10" x14ac:dyDescent="0.3">
      <c r="B189" s="2"/>
      <c r="F189" s="4"/>
      <c r="I189" s="9"/>
    </row>
    <row r="190" spans="1:10" x14ac:dyDescent="0.3">
      <c r="D190" s="6"/>
      <c r="E190" s="6"/>
      <c r="F190" s="28"/>
      <c r="I190" s="9"/>
    </row>
    <row r="191" spans="1:10" x14ac:dyDescent="0.3">
      <c r="D191" s="29"/>
      <c r="E191" s="6"/>
      <c r="F191" s="28"/>
      <c r="I191" s="9"/>
    </row>
    <row r="192" spans="1:10" x14ac:dyDescent="0.3">
      <c r="C192" s="6"/>
      <c r="D192" s="29"/>
      <c r="E192" s="6"/>
      <c r="F192" s="28"/>
      <c r="I192" s="9"/>
    </row>
    <row r="193" spans="3:9" x14ac:dyDescent="0.3">
      <c r="C193" s="6"/>
      <c r="D193" s="29"/>
      <c r="E193" s="6"/>
      <c r="F193" s="28"/>
      <c r="I193" s="9"/>
    </row>
    <row r="194" spans="3:9" x14ac:dyDescent="0.3">
      <c r="C194" s="6"/>
      <c r="D194" s="29"/>
      <c r="E194" s="6"/>
      <c r="F194" s="28"/>
      <c r="I194" s="9"/>
    </row>
    <row r="195" spans="3:9" x14ac:dyDescent="0.3">
      <c r="C195" s="6"/>
      <c r="D195" s="29"/>
      <c r="E195" s="6"/>
      <c r="F195" s="28"/>
      <c r="I195" s="9"/>
    </row>
    <row r="196" spans="3:9" x14ac:dyDescent="0.3">
      <c r="C196" s="6"/>
      <c r="D196" s="29"/>
      <c r="E196" s="6"/>
      <c r="F196" s="28"/>
      <c r="I196" s="9"/>
    </row>
    <row r="197" spans="3:9" x14ac:dyDescent="0.3">
      <c r="C197" s="6"/>
      <c r="D197" s="29"/>
      <c r="E197" s="6"/>
      <c r="F197" s="28"/>
      <c r="I197" s="9"/>
    </row>
    <row r="198" spans="3:9" x14ac:dyDescent="0.3">
      <c r="C198" s="6"/>
      <c r="D198" s="29"/>
      <c r="E198" s="6"/>
      <c r="F198" s="28"/>
      <c r="I198" s="9"/>
    </row>
    <row r="199" spans="3:9" x14ac:dyDescent="0.3">
      <c r="C199" s="6"/>
      <c r="D199" s="29"/>
      <c r="E199" s="6"/>
      <c r="F199" s="28"/>
      <c r="I199" s="9"/>
    </row>
    <row r="200" spans="3:9" x14ac:dyDescent="0.3">
      <c r="C200" s="6"/>
      <c r="D200" s="29"/>
      <c r="E200" s="6"/>
      <c r="F200" s="28"/>
      <c r="I200" s="9"/>
    </row>
    <row r="201" spans="3:9" x14ac:dyDescent="0.3">
      <c r="C201" s="6"/>
      <c r="D201" s="29"/>
      <c r="E201" s="6"/>
      <c r="F201" s="28"/>
      <c r="I201" s="9"/>
    </row>
    <row r="202" spans="3:9" x14ac:dyDescent="0.3">
      <c r="C202" s="6"/>
      <c r="D202" s="29"/>
      <c r="E202" s="6"/>
      <c r="F202" s="28"/>
      <c r="I202" s="9"/>
    </row>
    <row r="203" spans="3:9" x14ac:dyDescent="0.3">
      <c r="C203" s="6"/>
      <c r="D203" s="29"/>
      <c r="E203" s="6"/>
      <c r="F203" s="28"/>
      <c r="I203" s="9"/>
    </row>
    <row r="204" spans="3:9" x14ac:dyDescent="0.3">
      <c r="C204" s="6"/>
      <c r="D204" s="29"/>
      <c r="E204" s="6"/>
      <c r="F204" s="28"/>
      <c r="I204" s="9"/>
    </row>
    <row r="205" spans="3:9" x14ac:dyDescent="0.3">
      <c r="C205" s="6"/>
      <c r="D205" s="29"/>
      <c r="E205" s="6"/>
      <c r="F205" s="28"/>
      <c r="I205" s="9"/>
    </row>
    <row r="206" spans="3:9" x14ac:dyDescent="0.3">
      <c r="C206" s="6"/>
      <c r="D206" s="29"/>
      <c r="E206" s="6"/>
      <c r="F206" s="28"/>
      <c r="I206" s="9"/>
    </row>
    <row r="207" spans="3:9" x14ac:dyDescent="0.3">
      <c r="C207" s="6"/>
      <c r="D207" s="29"/>
      <c r="E207" s="6"/>
      <c r="F207" s="28"/>
      <c r="I207" s="9"/>
    </row>
    <row r="208" spans="3:9" x14ac:dyDescent="0.3">
      <c r="C208" s="6"/>
      <c r="D208" s="29"/>
      <c r="E208" s="6"/>
      <c r="F208" s="6"/>
    </row>
    <row r="209" spans="3:6" x14ac:dyDescent="0.3">
      <c r="C209" s="6"/>
      <c r="D209" s="29"/>
      <c r="E209" s="6"/>
      <c r="F209" s="6"/>
    </row>
    <row r="210" spans="3:6" x14ac:dyDescent="0.3">
      <c r="C210" s="6"/>
      <c r="D210" s="29"/>
      <c r="E210" s="6"/>
      <c r="F210" s="6"/>
    </row>
    <row r="211" spans="3:6" x14ac:dyDescent="0.3">
      <c r="C211" s="6"/>
      <c r="D211" s="29"/>
      <c r="E211" s="6"/>
      <c r="F211" s="6"/>
    </row>
    <row r="212" spans="3:6" x14ac:dyDescent="0.3">
      <c r="C212" s="6"/>
      <c r="D212" s="29"/>
      <c r="E212" s="6"/>
      <c r="F212" s="6"/>
    </row>
    <row r="213" spans="3:6" x14ac:dyDescent="0.3">
      <c r="C213" s="6"/>
      <c r="D213" s="29"/>
      <c r="E213" s="6"/>
      <c r="F213" s="6"/>
    </row>
    <row r="214" spans="3:6" x14ac:dyDescent="0.3">
      <c r="C214" s="6"/>
      <c r="D214" s="29"/>
      <c r="E214" s="6"/>
      <c r="F214" s="6"/>
    </row>
    <row r="215" spans="3:6" x14ac:dyDescent="0.3">
      <c r="C215" s="6"/>
      <c r="D215" s="29"/>
      <c r="E215" s="6"/>
      <c r="F215" s="6"/>
    </row>
    <row r="216" spans="3:6" x14ac:dyDescent="0.3">
      <c r="C216" s="6"/>
      <c r="D216" s="29"/>
      <c r="E216" s="6"/>
      <c r="F216" s="6"/>
    </row>
    <row r="217" spans="3:6" x14ac:dyDescent="0.3">
      <c r="C217" s="6"/>
      <c r="D217" s="29"/>
      <c r="E217" s="6"/>
      <c r="F217" s="6"/>
    </row>
    <row r="218" spans="3:6" x14ac:dyDescent="0.3">
      <c r="C218" s="6"/>
      <c r="D218" s="29"/>
      <c r="E218" s="6"/>
      <c r="F218" s="6"/>
    </row>
    <row r="219" spans="3:6" x14ac:dyDescent="0.3">
      <c r="C219" s="6"/>
      <c r="D219" s="29"/>
      <c r="E219" s="6"/>
      <c r="F219" s="6"/>
    </row>
    <row r="220" spans="3:6" x14ac:dyDescent="0.3">
      <c r="C220" s="6"/>
      <c r="D220" s="29"/>
      <c r="E220" s="6"/>
      <c r="F220" s="6"/>
    </row>
    <row r="221" spans="3:6" x14ac:dyDescent="0.3">
      <c r="C221" s="6"/>
      <c r="D221" s="29"/>
      <c r="E221" s="6"/>
      <c r="F221" s="6"/>
    </row>
    <row r="222" spans="3:6" x14ac:dyDescent="0.3">
      <c r="C222" s="6"/>
      <c r="D222" s="29"/>
      <c r="E222" s="6"/>
      <c r="F222" s="6"/>
    </row>
    <row r="223" spans="3:6" x14ac:dyDescent="0.3">
      <c r="C223" s="6"/>
      <c r="D223" s="29"/>
      <c r="E223" s="6"/>
      <c r="F223" s="6"/>
    </row>
    <row r="224" spans="3:6" x14ac:dyDescent="0.3">
      <c r="C224" s="6"/>
      <c r="D224" s="29"/>
      <c r="E224" s="6"/>
      <c r="F224" s="6"/>
    </row>
    <row r="225" spans="3:6" x14ac:dyDescent="0.3">
      <c r="C225" s="6"/>
      <c r="D225" s="29"/>
      <c r="E225" s="6"/>
      <c r="F225" s="6"/>
    </row>
    <row r="226" spans="3:6" x14ac:dyDescent="0.3">
      <c r="C226" s="6"/>
      <c r="D226" s="29"/>
      <c r="E226" s="6"/>
      <c r="F226" s="6"/>
    </row>
    <row r="227" spans="3:6" x14ac:dyDescent="0.3">
      <c r="C227" s="6"/>
      <c r="D227" s="29"/>
      <c r="E227" s="6"/>
      <c r="F227" s="6"/>
    </row>
    <row r="228" spans="3:6" x14ac:dyDescent="0.3">
      <c r="C228" s="6"/>
      <c r="D228" s="29"/>
      <c r="E228" s="6"/>
      <c r="F228" s="6"/>
    </row>
    <row r="229" spans="3:6" x14ac:dyDescent="0.3">
      <c r="C229" s="6"/>
      <c r="D229" s="29"/>
      <c r="E229" s="6"/>
      <c r="F229" s="6"/>
    </row>
    <row r="230" spans="3:6" x14ac:dyDescent="0.3">
      <c r="C230" s="6"/>
      <c r="D230" s="29"/>
      <c r="E230" s="6"/>
      <c r="F230" s="6"/>
    </row>
    <row r="231" spans="3:6" x14ac:dyDescent="0.3">
      <c r="C231" s="6"/>
      <c r="D231" s="29"/>
      <c r="E231" s="6"/>
      <c r="F231" s="6"/>
    </row>
    <row r="232" spans="3:6" x14ac:dyDescent="0.3">
      <c r="C232" s="6"/>
      <c r="D232" s="29"/>
      <c r="E232" s="6"/>
      <c r="F232" s="6"/>
    </row>
    <row r="233" spans="3:6" x14ac:dyDescent="0.3">
      <c r="C233" s="6"/>
      <c r="D233" s="29"/>
      <c r="E233" s="6"/>
      <c r="F233" s="6"/>
    </row>
    <row r="234" spans="3:6" x14ac:dyDescent="0.3">
      <c r="C234" s="6"/>
      <c r="D234" s="29"/>
      <c r="E234" s="6"/>
      <c r="F234" s="6"/>
    </row>
    <row r="235" spans="3:6" x14ac:dyDescent="0.3">
      <c r="C235" s="6"/>
      <c r="D235" s="29"/>
      <c r="E235" s="6"/>
      <c r="F235" s="6"/>
    </row>
    <row r="236" spans="3:6" x14ac:dyDescent="0.3">
      <c r="C236" s="6"/>
      <c r="D236" s="29"/>
      <c r="E236" s="6"/>
      <c r="F236" s="6"/>
    </row>
    <row r="237" spans="3:6" x14ac:dyDescent="0.3">
      <c r="C237" s="6"/>
      <c r="D237" s="29"/>
      <c r="E237" s="6"/>
      <c r="F237" s="6"/>
    </row>
    <row r="238" spans="3:6" x14ac:dyDescent="0.3">
      <c r="C238" s="6"/>
      <c r="D238" s="29"/>
      <c r="E238" s="6"/>
      <c r="F238" s="6"/>
    </row>
    <row r="239" spans="3:6" x14ac:dyDescent="0.3">
      <c r="C239" s="6"/>
      <c r="D239" s="29"/>
      <c r="E239" s="6"/>
      <c r="F239" s="6"/>
    </row>
    <row r="240" spans="3:6" x14ac:dyDescent="0.3">
      <c r="C240" s="6"/>
      <c r="D240" s="29"/>
      <c r="E240" s="6"/>
      <c r="F240" s="6"/>
    </row>
    <row r="241" spans="3:6" x14ac:dyDescent="0.3">
      <c r="C241" s="6"/>
      <c r="D241" s="29"/>
      <c r="E241" s="6"/>
      <c r="F241" s="6"/>
    </row>
    <row r="242" spans="3:6" x14ac:dyDescent="0.3">
      <c r="C242" s="6"/>
      <c r="D242" s="29"/>
      <c r="E242" s="6"/>
      <c r="F242" s="6"/>
    </row>
    <row r="243" spans="3:6" x14ac:dyDescent="0.3">
      <c r="C243" s="6"/>
      <c r="D243" s="29"/>
      <c r="E243" s="6"/>
      <c r="F243" s="6"/>
    </row>
    <row r="244" spans="3:6" x14ac:dyDescent="0.3">
      <c r="C244" s="6"/>
      <c r="D244" s="29"/>
      <c r="E244" s="6"/>
      <c r="F244" s="6"/>
    </row>
    <row r="245" spans="3:6" x14ac:dyDescent="0.3">
      <c r="C245" s="6"/>
      <c r="D245" s="29"/>
      <c r="E245" s="6"/>
      <c r="F245" s="6"/>
    </row>
    <row r="246" spans="3:6" x14ac:dyDescent="0.3">
      <c r="C246" s="6"/>
      <c r="D246" s="29"/>
      <c r="E246" s="6"/>
      <c r="F246" s="6"/>
    </row>
    <row r="247" spans="3:6" x14ac:dyDescent="0.3">
      <c r="C247" s="6"/>
      <c r="D247" s="29"/>
      <c r="E247" s="6"/>
      <c r="F247" s="6"/>
    </row>
    <row r="248" spans="3:6" x14ac:dyDescent="0.3">
      <c r="C248" s="6"/>
      <c r="D248" s="29"/>
      <c r="E248" s="6"/>
      <c r="F248" s="6"/>
    </row>
    <row r="249" spans="3:6" x14ac:dyDescent="0.3">
      <c r="C249" s="6"/>
      <c r="D249" s="29"/>
      <c r="E249" s="6"/>
      <c r="F249" s="6"/>
    </row>
    <row r="250" spans="3:6" x14ac:dyDescent="0.3">
      <c r="C250" s="6"/>
      <c r="D250" s="29"/>
      <c r="E250" s="6"/>
      <c r="F250" s="6"/>
    </row>
    <row r="251" spans="3:6" x14ac:dyDescent="0.3">
      <c r="C251" s="6"/>
      <c r="D251" s="29"/>
      <c r="E251" s="6"/>
      <c r="F251" s="6"/>
    </row>
    <row r="252" spans="3:6" x14ac:dyDescent="0.3">
      <c r="C252" s="6"/>
      <c r="D252" s="29"/>
      <c r="E252" s="6"/>
      <c r="F252" s="6"/>
    </row>
    <row r="253" spans="3:6" x14ac:dyDescent="0.3">
      <c r="C253" s="6"/>
      <c r="D253" s="29"/>
      <c r="E253" s="6"/>
      <c r="F253" s="6"/>
    </row>
    <row r="254" spans="3:6" x14ac:dyDescent="0.3">
      <c r="C254" s="6"/>
      <c r="D254" s="29"/>
      <c r="E254" s="6"/>
      <c r="F254" s="6"/>
    </row>
    <row r="255" spans="3:6" x14ac:dyDescent="0.3">
      <c r="C255" s="6"/>
      <c r="D255" s="29"/>
      <c r="E255" s="6"/>
      <c r="F255" s="6"/>
    </row>
    <row r="256" spans="3:6" x14ac:dyDescent="0.3">
      <c r="C256" s="6"/>
      <c r="D256" s="29"/>
      <c r="E256" s="6"/>
      <c r="F256" s="6"/>
    </row>
    <row r="257" spans="3:6" x14ac:dyDescent="0.3">
      <c r="C257" s="6"/>
      <c r="D257" s="29"/>
      <c r="E257" s="6"/>
      <c r="F257" s="6"/>
    </row>
    <row r="258" spans="3:6" x14ac:dyDescent="0.3">
      <c r="C258" s="6"/>
      <c r="D258" s="29"/>
      <c r="E258" s="6"/>
      <c r="F258" s="6"/>
    </row>
    <row r="259" spans="3:6" x14ac:dyDescent="0.3">
      <c r="C259" s="6"/>
      <c r="D259" s="29"/>
      <c r="E259" s="6"/>
      <c r="F259" s="6"/>
    </row>
    <row r="260" spans="3:6" x14ac:dyDescent="0.3">
      <c r="C260" s="6"/>
      <c r="D260" s="29"/>
      <c r="E260" s="6"/>
      <c r="F260" s="6"/>
    </row>
    <row r="261" spans="3:6" x14ac:dyDescent="0.3">
      <c r="C261" s="6"/>
      <c r="D261" s="29"/>
      <c r="E261" s="6"/>
      <c r="F261" s="6"/>
    </row>
    <row r="262" spans="3:6" x14ac:dyDescent="0.3">
      <c r="C262" s="6"/>
      <c r="D262" s="29"/>
      <c r="E262" s="6"/>
      <c r="F262" s="6"/>
    </row>
    <row r="263" spans="3:6" x14ac:dyDescent="0.3">
      <c r="C263" s="6"/>
      <c r="D263" s="29"/>
      <c r="E263" s="6"/>
      <c r="F263" s="6"/>
    </row>
    <row r="264" spans="3:6" x14ac:dyDescent="0.3">
      <c r="C264" s="6"/>
      <c r="D264" s="29"/>
      <c r="E264" s="6"/>
      <c r="F264" s="6"/>
    </row>
    <row r="265" spans="3:6" x14ac:dyDescent="0.3">
      <c r="C265" s="6"/>
      <c r="D265" s="29"/>
      <c r="E265" s="6"/>
      <c r="F265" s="6"/>
    </row>
    <row r="266" spans="3:6" x14ac:dyDescent="0.3">
      <c r="C266" s="6"/>
      <c r="D266" s="29"/>
      <c r="E266" s="6"/>
      <c r="F266" s="6"/>
    </row>
    <row r="267" spans="3:6" x14ac:dyDescent="0.3">
      <c r="C267" s="6"/>
      <c r="D267" s="29"/>
      <c r="E267" s="6"/>
      <c r="F267" s="6"/>
    </row>
    <row r="268" spans="3:6" x14ac:dyDescent="0.3">
      <c r="C268" s="6"/>
      <c r="D268" s="29"/>
      <c r="E268" s="6"/>
      <c r="F268" s="6"/>
    </row>
    <row r="269" spans="3:6" x14ac:dyDescent="0.3">
      <c r="C269" s="6"/>
      <c r="D269" s="29"/>
      <c r="E269" s="6"/>
      <c r="F269" s="6"/>
    </row>
    <row r="270" spans="3:6" x14ac:dyDescent="0.3">
      <c r="C270" s="6"/>
      <c r="D270" s="29"/>
      <c r="E270" s="6"/>
      <c r="F270" s="6"/>
    </row>
    <row r="271" spans="3:6" x14ac:dyDescent="0.3">
      <c r="C271" s="6"/>
      <c r="D271" s="29"/>
      <c r="E271" s="6"/>
      <c r="F271" s="6"/>
    </row>
    <row r="272" spans="3:6" x14ac:dyDescent="0.3">
      <c r="C272" s="6"/>
      <c r="D272" s="29"/>
      <c r="E272" s="6"/>
      <c r="F272" s="6"/>
    </row>
    <row r="273" spans="3:6" x14ac:dyDescent="0.3">
      <c r="C273" s="6"/>
      <c r="D273" s="29"/>
      <c r="E273" s="6"/>
      <c r="F273" s="6"/>
    </row>
    <row r="274" spans="3:6" x14ac:dyDescent="0.3">
      <c r="C274" s="6"/>
      <c r="D274" s="29"/>
      <c r="E274" s="6"/>
      <c r="F274" s="6"/>
    </row>
    <row r="275" spans="3:6" x14ac:dyDescent="0.3">
      <c r="C275" s="6"/>
      <c r="D275" s="29"/>
      <c r="E275" s="6"/>
      <c r="F275" s="6"/>
    </row>
    <row r="276" spans="3:6" x14ac:dyDescent="0.3">
      <c r="C276" s="6"/>
      <c r="D276" s="29"/>
      <c r="E276" s="6"/>
      <c r="F276" s="6"/>
    </row>
    <row r="277" spans="3:6" x14ac:dyDescent="0.3">
      <c r="C277" s="6"/>
      <c r="D277" s="29"/>
      <c r="E277" s="6"/>
      <c r="F277" s="6"/>
    </row>
    <row r="278" spans="3:6" x14ac:dyDescent="0.3">
      <c r="C278" s="6"/>
      <c r="D278" s="29"/>
      <c r="E278" s="6"/>
      <c r="F278" s="6"/>
    </row>
    <row r="279" spans="3:6" x14ac:dyDescent="0.3">
      <c r="C279" s="6"/>
      <c r="D279" s="29"/>
      <c r="E279" s="6"/>
      <c r="F279" s="6"/>
    </row>
    <row r="280" spans="3:6" x14ac:dyDescent="0.3">
      <c r="C280" s="6"/>
      <c r="D280" s="29"/>
      <c r="E280" s="6"/>
      <c r="F280" s="6"/>
    </row>
    <row r="281" spans="3:6" x14ac:dyDescent="0.3">
      <c r="C281" s="6"/>
      <c r="D281" s="29"/>
      <c r="E281" s="6"/>
      <c r="F281" s="6"/>
    </row>
    <row r="282" spans="3:6" x14ac:dyDescent="0.3">
      <c r="C282" s="6"/>
      <c r="D282" s="29"/>
      <c r="E282" s="6"/>
      <c r="F282" s="6"/>
    </row>
    <row r="283" spans="3:6" x14ac:dyDescent="0.3">
      <c r="C283" s="6"/>
      <c r="D283" s="29"/>
      <c r="E283" s="6"/>
      <c r="F283" s="6"/>
    </row>
    <row r="284" spans="3:6" x14ac:dyDescent="0.3">
      <c r="C284" s="6"/>
      <c r="D284" s="29"/>
      <c r="E284" s="6"/>
      <c r="F284" s="6"/>
    </row>
    <row r="285" spans="3:6" x14ac:dyDescent="0.3">
      <c r="C285" s="6"/>
      <c r="D285" s="29"/>
      <c r="E285" s="6"/>
      <c r="F285" s="6"/>
    </row>
    <row r="286" spans="3:6" x14ac:dyDescent="0.3">
      <c r="C286" s="6"/>
      <c r="D286" s="29"/>
      <c r="E286" s="6"/>
      <c r="F286" s="6"/>
    </row>
    <row r="287" spans="3:6" x14ac:dyDescent="0.3">
      <c r="C287" s="6"/>
      <c r="D287" s="29"/>
      <c r="E287" s="6"/>
      <c r="F287" s="6"/>
    </row>
    <row r="288" spans="3:6" x14ac:dyDescent="0.3">
      <c r="C288" s="6"/>
      <c r="D288" s="29"/>
      <c r="E288" s="6"/>
      <c r="F288" s="6"/>
    </row>
    <row r="289" spans="3:6" x14ac:dyDescent="0.3">
      <c r="C289" s="6"/>
      <c r="D289" s="29"/>
      <c r="E289" s="6"/>
      <c r="F289" s="6"/>
    </row>
    <row r="290" spans="3:6" x14ac:dyDescent="0.3">
      <c r="C290" s="6"/>
      <c r="D290" s="29"/>
      <c r="E290" s="6"/>
      <c r="F290" s="6"/>
    </row>
    <row r="291" spans="3:6" x14ac:dyDescent="0.3">
      <c r="C291" s="6"/>
      <c r="D291" s="29"/>
      <c r="E291" s="6"/>
      <c r="F291" s="6"/>
    </row>
    <row r="292" spans="3:6" x14ac:dyDescent="0.3">
      <c r="C292" s="6"/>
      <c r="D292" s="29"/>
      <c r="E292" s="6"/>
      <c r="F292" s="6"/>
    </row>
    <row r="293" spans="3:6" x14ac:dyDescent="0.3">
      <c r="C293" s="6"/>
      <c r="D293" s="29"/>
      <c r="E293" s="6"/>
      <c r="F293" s="6"/>
    </row>
    <row r="294" spans="3:6" x14ac:dyDescent="0.3">
      <c r="C294" s="6"/>
      <c r="D294" s="29"/>
      <c r="E294" s="6"/>
      <c r="F294" s="6"/>
    </row>
    <row r="295" spans="3:6" x14ac:dyDescent="0.3">
      <c r="C295" s="6"/>
      <c r="D295" s="29"/>
      <c r="E295" s="6"/>
      <c r="F295" s="6"/>
    </row>
    <row r="296" spans="3:6" x14ac:dyDescent="0.3">
      <c r="C296" s="6"/>
      <c r="D296" s="29"/>
      <c r="E296" s="6"/>
      <c r="F296" s="6"/>
    </row>
    <row r="297" spans="3:6" x14ac:dyDescent="0.3">
      <c r="C297" s="6"/>
      <c r="D297" s="29"/>
      <c r="E297" s="6"/>
      <c r="F297" s="6"/>
    </row>
    <row r="298" spans="3:6" x14ac:dyDescent="0.3">
      <c r="C298" s="6"/>
      <c r="D298" s="29"/>
      <c r="E298" s="6"/>
      <c r="F298" s="6"/>
    </row>
    <row r="299" spans="3:6" x14ac:dyDescent="0.3">
      <c r="C299" s="6"/>
      <c r="D299" s="29"/>
      <c r="E299" s="6"/>
      <c r="F299" s="6"/>
    </row>
    <row r="300" spans="3:6" x14ac:dyDescent="0.3">
      <c r="C300" s="6"/>
      <c r="D300" s="29"/>
      <c r="E300" s="6"/>
      <c r="F300" s="6"/>
    </row>
    <row r="301" spans="3:6" x14ac:dyDescent="0.3">
      <c r="C301" s="6"/>
      <c r="D301" s="29"/>
      <c r="E301" s="6"/>
      <c r="F301" s="6"/>
    </row>
    <row r="302" spans="3:6" x14ac:dyDescent="0.3">
      <c r="C302" s="6"/>
      <c r="D302" s="29"/>
      <c r="E302" s="6"/>
      <c r="F302" s="6"/>
    </row>
    <row r="303" spans="3:6" x14ac:dyDescent="0.3">
      <c r="C303" s="6"/>
      <c r="D303" s="29"/>
      <c r="E303" s="6"/>
      <c r="F303" s="6"/>
    </row>
    <row r="304" spans="3:6" x14ac:dyDescent="0.3">
      <c r="C304" s="6"/>
      <c r="D304" s="29"/>
      <c r="E304" s="6"/>
      <c r="F304" s="6"/>
    </row>
    <row r="305" spans="3:6" x14ac:dyDescent="0.3">
      <c r="C305" s="6"/>
      <c r="D305" s="29"/>
      <c r="E305" s="6"/>
      <c r="F305" s="6"/>
    </row>
    <row r="306" spans="3:6" x14ac:dyDescent="0.3">
      <c r="C306" s="6"/>
      <c r="D306" s="29"/>
      <c r="E306" s="6"/>
      <c r="F306" s="6"/>
    </row>
    <row r="307" spans="3:6" x14ac:dyDescent="0.3">
      <c r="C307" s="6"/>
      <c r="D307" s="29"/>
      <c r="E307" s="6"/>
      <c r="F307" s="6"/>
    </row>
    <row r="308" spans="3:6" x14ac:dyDescent="0.3">
      <c r="C308" s="6"/>
      <c r="D308" s="29"/>
      <c r="E308" s="6"/>
      <c r="F308" s="6"/>
    </row>
    <row r="309" spans="3:6" x14ac:dyDescent="0.3">
      <c r="C309" s="6"/>
      <c r="D309" s="29"/>
      <c r="E309" s="6"/>
      <c r="F309" s="6"/>
    </row>
    <row r="310" spans="3:6" x14ac:dyDescent="0.3">
      <c r="C310" s="6"/>
      <c r="D310" s="29"/>
      <c r="E310" s="6"/>
      <c r="F310" s="6"/>
    </row>
    <row r="311" spans="3:6" x14ac:dyDescent="0.3">
      <c r="C311" s="6"/>
      <c r="D311" s="29"/>
      <c r="E311" s="6"/>
      <c r="F311" s="6"/>
    </row>
    <row r="312" spans="3:6" x14ac:dyDescent="0.3">
      <c r="C312" s="6"/>
      <c r="D312" s="29"/>
      <c r="E312" s="6"/>
      <c r="F312" s="6"/>
    </row>
    <row r="313" spans="3:6" x14ac:dyDescent="0.3">
      <c r="C313" s="6"/>
      <c r="D313" s="29"/>
      <c r="E313" s="6"/>
      <c r="F313" s="6"/>
    </row>
    <row r="314" spans="3:6" x14ac:dyDescent="0.3">
      <c r="C314" s="6"/>
      <c r="D314" s="29"/>
      <c r="E314" s="6"/>
      <c r="F314" s="6"/>
    </row>
    <row r="315" spans="3:6" x14ac:dyDescent="0.3">
      <c r="C315" s="6"/>
      <c r="D315" s="29"/>
      <c r="E315" s="6"/>
      <c r="F315" s="6"/>
    </row>
    <row r="316" spans="3:6" x14ac:dyDescent="0.3">
      <c r="C316" s="6"/>
      <c r="D316" s="29"/>
      <c r="E316" s="6"/>
      <c r="F316" s="6"/>
    </row>
    <row r="317" spans="3:6" x14ac:dyDescent="0.3">
      <c r="C317" s="6"/>
      <c r="D317" s="29"/>
      <c r="E317" s="6"/>
      <c r="F317" s="6"/>
    </row>
    <row r="318" spans="3:6" x14ac:dyDescent="0.3">
      <c r="C318" s="6"/>
      <c r="D318" s="29"/>
      <c r="E318" s="6"/>
      <c r="F318" s="6"/>
    </row>
    <row r="319" spans="3:6" x14ac:dyDescent="0.3">
      <c r="C319" s="6"/>
      <c r="D319" s="29"/>
      <c r="E319" s="6"/>
      <c r="F319" s="6"/>
    </row>
    <row r="320" spans="3:6" x14ac:dyDescent="0.3">
      <c r="C320" s="6"/>
      <c r="D320" s="29"/>
      <c r="E320" s="6"/>
      <c r="F320" s="6"/>
    </row>
    <row r="321" spans="3:6" x14ac:dyDescent="0.3">
      <c r="C321" s="6"/>
      <c r="D321" s="29"/>
      <c r="E321" s="6"/>
      <c r="F321" s="6"/>
    </row>
    <row r="322" spans="3:6" x14ac:dyDescent="0.3">
      <c r="C322" s="6"/>
      <c r="D322" s="29"/>
      <c r="E322" s="6"/>
      <c r="F322" s="6"/>
    </row>
    <row r="323" spans="3:6" x14ac:dyDescent="0.3">
      <c r="C323" s="6"/>
      <c r="D323" s="29"/>
      <c r="E323" s="6"/>
      <c r="F323" s="6"/>
    </row>
    <row r="324" spans="3:6" x14ac:dyDescent="0.3">
      <c r="C324" s="6"/>
      <c r="D324" s="29"/>
      <c r="E324" s="6"/>
      <c r="F324" s="6"/>
    </row>
    <row r="325" spans="3:6" x14ac:dyDescent="0.3">
      <c r="C325" s="6"/>
      <c r="D325" s="29"/>
      <c r="E325" s="6"/>
      <c r="F325" s="6"/>
    </row>
    <row r="326" spans="3:6" x14ac:dyDescent="0.3">
      <c r="C326" s="6"/>
      <c r="D326" s="29"/>
      <c r="E326" s="6"/>
      <c r="F326" s="6"/>
    </row>
    <row r="327" spans="3:6" x14ac:dyDescent="0.3">
      <c r="C327" s="6"/>
      <c r="D327" s="29"/>
      <c r="E327" s="6"/>
      <c r="F327" s="6"/>
    </row>
    <row r="328" spans="3:6" x14ac:dyDescent="0.3">
      <c r="C328" s="6"/>
      <c r="D328" s="29"/>
      <c r="E328" s="6"/>
      <c r="F328" s="6"/>
    </row>
    <row r="329" spans="3:6" x14ac:dyDescent="0.3">
      <c r="C329" s="6"/>
      <c r="D329" s="29"/>
      <c r="E329" s="6"/>
      <c r="F329" s="6"/>
    </row>
    <row r="330" spans="3:6" x14ac:dyDescent="0.3">
      <c r="C330" s="6"/>
      <c r="D330" s="29"/>
      <c r="E330" s="6"/>
      <c r="F330" s="6"/>
    </row>
    <row r="331" spans="3:6" x14ac:dyDescent="0.3">
      <c r="C331" s="6"/>
      <c r="D331" s="29"/>
      <c r="E331" s="6"/>
      <c r="F331" s="6"/>
    </row>
    <row r="332" spans="3:6" x14ac:dyDescent="0.3">
      <c r="C332" s="6"/>
      <c r="D332" s="29"/>
      <c r="E332" s="6"/>
      <c r="F332" s="6"/>
    </row>
    <row r="333" spans="3:6" x14ac:dyDescent="0.3">
      <c r="C333" s="6"/>
      <c r="D333" s="29"/>
      <c r="E333" s="6"/>
      <c r="F333" s="6"/>
    </row>
    <row r="334" spans="3:6" x14ac:dyDescent="0.3">
      <c r="C334" s="6"/>
      <c r="D334" s="29"/>
      <c r="E334" s="6"/>
      <c r="F334" s="6"/>
    </row>
    <row r="335" spans="3:6" x14ac:dyDescent="0.3">
      <c r="C335" s="6"/>
      <c r="D335" s="29"/>
      <c r="E335" s="6"/>
      <c r="F335" s="6"/>
    </row>
    <row r="336" spans="3:6" x14ac:dyDescent="0.3">
      <c r="C336" s="6"/>
      <c r="D336" s="29"/>
      <c r="E336" s="6"/>
      <c r="F336" s="6"/>
    </row>
    <row r="337" spans="3:6" x14ac:dyDescent="0.3">
      <c r="C337" s="6"/>
      <c r="D337" s="29"/>
      <c r="E337" s="6"/>
      <c r="F337" s="6"/>
    </row>
    <row r="338" spans="3:6" x14ac:dyDescent="0.3">
      <c r="C338" s="6"/>
      <c r="D338" s="29"/>
      <c r="E338" s="6"/>
      <c r="F338" s="6"/>
    </row>
    <row r="339" spans="3:6" x14ac:dyDescent="0.3">
      <c r="C339" s="6"/>
      <c r="D339" s="29"/>
      <c r="E339" s="6"/>
      <c r="F339" s="6"/>
    </row>
    <row r="340" spans="3:6" x14ac:dyDescent="0.3">
      <c r="C340" s="6"/>
      <c r="D340" s="29"/>
      <c r="E340" s="6"/>
      <c r="F340" s="6"/>
    </row>
    <row r="341" spans="3:6" x14ac:dyDescent="0.3">
      <c r="C341" s="6"/>
      <c r="D341" s="29"/>
      <c r="E341" s="6"/>
      <c r="F341" s="6"/>
    </row>
    <row r="342" spans="3:6" x14ac:dyDescent="0.3">
      <c r="C342" s="6"/>
      <c r="D342" s="29"/>
      <c r="E342" s="6"/>
      <c r="F342" s="6"/>
    </row>
    <row r="343" spans="3:6" x14ac:dyDescent="0.3">
      <c r="C343" s="6"/>
      <c r="D343" s="29"/>
      <c r="E343" s="6"/>
      <c r="F343" s="6"/>
    </row>
    <row r="344" spans="3:6" x14ac:dyDescent="0.3">
      <c r="C344" s="6"/>
      <c r="D344" s="29"/>
      <c r="E344" s="6"/>
      <c r="F344" s="6"/>
    </row>
    <row r="345" spans="3:6" x14ac:dyDescent="0.3">
      <c r="C345" s="6"/>
      <c r="D345" s="29"/>
      <c r="E345" s="6"/>
      <c r="F345" s="6"/>
    </row>
    <row r="346" spans="3:6" x14ac:dyDescent="0.3">
      <c r="C346" s="6"/>
      <c r="D346" s="29"/>
      <c r="E346" s="6"/>
      <c r="F346" s="6"/>
    </row>
    <row r="347" spans="3:6" x14ac:dyDescent="0.3">
      <c r="C347" s="6"/>
      <c r="D347" s="29"/>
      <c r="E347" s="6"/>
      <c r="F347" s="6"/>
    </row>
    <row r="348" spans="3:6" x14ac:dyDescent="0.3">
      <c r="C348" s="6"/>
      <c r="D348" s="29"/>
      <c r="E348" s="6"/>
      <c r="F348" s="6"/>
    </row>
    <row r="349" spans="3:6" x14ac:dyDescent="0.3">
      <c r="C349" s="6"/>
      <c r="D349" s="29"/>
      <c r="E349" s="6"/>
      <c r="F349" s="6"/>
    </row>
    <row r="350" spans="3:6" x14ac:dyDescent="0.3">
      <c r="C350" s="6"/>
      <c r="D350" s="29"/>
      <c r="E350" s="6"/>
      <c r="F350" s="6"/>
    </row>
    <row r="351" spans="3:6" x14ac:dyDescent="0.3">
      <c r="C351" s="6"/>
      <c r="D351" s="29"/>
      <c r="E351" s="6"/>
      <c r="F351" s="6"/>
    </row>
    <row r="352" spans="3:6" x14ac:dyDescent="0.3">
      <c r="C352" s="6"/>
      <c r="D352" s="29"/>
      <c r="E352" s="6"/>
      <c r="F352" s="6"/>
    </row>
    <row r="353" spans="3:6" x14ac:dyDescent="0.3">
      <c r="C353" s="6"/>
      <c r="D353" s="29"/>
      <c r="E353" s="6"/>
      <c r="F353" s="6"/>
    </row>
    <row r="354" spans="3:6" x14ac:dyDescent="0.3">
      <c r="C354" s="6"/>
      <c r="D354" s="29"/>
      <c r="E354" s="6"/>
      <c r="F354" s="6"/>
    </row>
    <row r="355" spans="3:6" x14ac:dyDescent="0.3">
      <c r="C355" s="6"/>
      <c r="D355" s="29"/>
      <c r="E355" s="6"/>
      <c r="F355" s="6"/>
    </row>
    <row r="356" spans="3:6" x14ac:dyDescent="0.3">
      <c r="C356" s="6"/>
      <c r="D356" s="29"/>
      <c r="E356" s="6"/>
      <c r="F356" s="6"/>
    </row>
    <row r="357" spans="3:6" x14ac:dyDescent="0.3">
      <c r="C357" s="6"/>
      <c r="D357" s="29"/>
      <c r="E357" s="6"/>
      <c r="F357" s="6"/>
    </row>
    <row r="358" spans="3:6" x14ac:dyDescent="0.3">
      <c r="C358" s="6"/>
      <c r="D358" s="29"/>
      <c r="E358" s="6"/>
      <c r="F358" s="6"/>
    </row>
    <row r="359" spans="3:6" x14ac:dyDescent="0.3">
      <c r="C359" s="6"/>
      <c r="D359" s="29"/>
      <c r="E359" s="6"/>
      <c r="F359" s="6"/>
    </row>
    <row r="360" spans="3:6" x14ac:dyDescent="0.3">
      <c r="C360" s="6"/>
      <c r="D360" s="29"/>
      <c r="E360" s="6"/>
      <c r="F360" s="6"/>
    </row>
    <row r="361" spans="3:6" x14ac:dyDescent="0.3">
      <c r="C361" s="6"/>
      <c r="D361" s="29"/>
      <c r="E361" s="6"/>
      <c r="F361" s="6"/>
    </row>
    <row r="362" spans="3:6" x14ac:dyDescent="0.3">
      <c r="C362" s="6"/>
      <c r="D362" s="29"/>
      <c r="E362" s="6"/>
      <c r="F362" s="6"/>
    </row>
    <row r="363" spans="3:6" x14ac:dyDescent="0.3">
      <c r="C363" s="6"/>
      <c r="D363" s="29"/>
      <c r="E363" s="6"/>
      <c r="F363" s="6"/>
    </row>
    <row r="364" spans="3:6" x14ac:dyDescent="0.3">
      <c r="C364" s="6"/>
      <c r="D364" s="29"/>
      <c r="E364" s="6"/>
      <c r="F364" s="6"/>
    </row>
    <row r="365" spans="3:6" x14ac:dyDescent="0.3">
      <c r="C365" s="6"/>
      <c r="D365" s="29"/>
      <c r="E365" s="6"/>
      <c r="F365" s="6"/>
    </row>
    <row r="366" spans="3:6" x14ac:dyDescent="0.3">
      <c r="C366" s="6"/>
      <c r="D366" s="29"/>
      <c r="E366" s="6"/>
      <c r="F366" s="6"/>
    </row>
    <row r="367" spans="3:6" x14ac:dyDescent="0.3">
      <c r="C367" s="6"/>
      <c r="D367" s="29"/>
      <c r="E367" s="6"/>
      <c r="F367" s="6"/>
    </row>
    <row r="368" spans="3:6" x14ac:dyDescent="0.3">
      <c r="C368" s="6"/>
      <c r="D368" s="29"/>
      <c r="E368" s="6"/>
      <c r="F368" s="6"/>
    </row>
    <row r="369" spans="3:6" x14ac:dyDescent="0.3">
      <c r="C369" s="6"/>
      <c r="D369" s="29"/>
      <c r="E369" s="6"/>
      <c r="F369" s="6"/>
    </row>
    <row r="370" spans="3:6" x14ac:dyDescent="0.3">
      <c r="C370" s="6"/>
      <c r="D370" s="29"/>
    </row>
    <row r="371" spans="3:6" x14ac:dyDescent="0.3">
      <c r="C371" s="6"/>
      <c r="D371" s="2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92"/>
  <sheetViews>
    <sheetView zoomScale="90" zoomScaleNormal="90" workbookViewId="0">
      <selection activeCell="E50" sqref="E50"/>
    </sheetView>
  </sheetViews>
  <sheetFormatPr defaultRowHeight="14.4" x14ac:dyDescent="0.3"/>
  <cols>
    <col min="1" max="1" width="11.6640625" customWidth="1"/>
    <col min="2" max="2" width="12.5546875" bestFit="1" customWidth="1"/>
    <col min="3" max="3" width="13" customWidth="1"/>
    <col min="4" max="4" width="11.88671875" customWidth="1"/>
    <col min="5" max="5" width="17.33203125" customWidth="1"/>
    <col min="6" max="6" width="22.33203125" customWidth="1"/>
    <col min="7" max="7" width="9.33203125" customWidth="1"/>
    <col min="8" max="8" width="10" bestFit="1" customWidth="1"/>
    <col min="9" max="9" width="10.88671875" customWidth="1"/>
    <col min="10" max="10" width="11.5546875" customWidth="1"/>
    <col min="11" max="11" width="9.33203125" customWidth="1"/>
    <col min="12" max="12" width="9.88671875" customWidth="1"/>
    <col min="13" max="13" width="9.33203125" customWidth="1"/>
    <col min="14" max="14" width="10.44140625" customWidth="1"/>
    <col min="18" max="18" width="10.5546875" customWidth="1"/>
    <col min="21" max="21" width="18" customWidth="1"/>
    <col min="22" max="22" width="12.44140625" customWidth="1"/>
    <col min="23" max="23" width="9.88671875" customWidth="1"/>
    <col min="28" max="28" width="10.44140625" customWidth="1"/>
    <col min="32" max="32" width="10" customWidth="1"/>
    <col min="37" max="37" width="11.5546875" customWidth="1"/>
    <col min="38" max="38" width="10.5546875" customWidth="1"/>
  </cols>
  <sheetData>
    <row r="1" spans="1:40" x14ac:dyDescent="0.3">
      <c r="A1" s="2" t="s">
        <v>0</v>
      </c>
      <c r="B1" s="2" t="s">
        <v>11</v>
      </c>
      <c r="C1" s="2" t="s">
        <v>17</v>
      </c>
      <c r="D1" s="2" t="s">
        <v>0</v>
      </c>
      <c r="E1" s="2" t="s">
        <v>11</v>
      </c>
      <c r="F1" s="2" t="s">
        <v>17</v>
      </c>
      <c r="I1" s="2"/>
      <c r="U1" s="2" t="s">
        <v>88</v>
      </c>
      <c r="V1" s="2" t="s">
        <v>81</v>
      </c>
      <c r="W1" s="2" t="s">
        <v>82</v>
      </c>
      <c r="X1" s="2" t="s">
        <v>93</v>
      </c>
      <c r="Y1" s="2" t="s">
        <v>80</v>
      </c>
      <c r="Z1" s="2" t="s">
        <v>83</v>
      </c>
      <c r="AA1" s="2" t="s">
        <v>84</v>
      </c>
      <c r="AB1" s="2" t="s">
        <v>85</v>
      </c>
      <c r="AC1" s="2" t="s">
        <v>95</v>
      </c>
      <c r="AD1" s="2" t="s">
        <v>86</v>
      </c>
      <c r="AE1" s="2" t="s">
        <v>87</v>
      </c>
      <c r="AF1" s="2" t="s">
        <v>89</v>
      </c>
      <c r="AG1" s="2" t="s">
        <v>90</v>
      </c>
      <c r="AH1" s="2" t="s">
        <v>91</v>
      </c>
      <c r="AI1" s="2" t="s">
        <v>92</v>
      </c>
      <c r="AJ1" s="2" t="s">
        <v>94</v>
      </c>
      <c r="AK1" s="2" t="s">
        <v>96</v>
      </c>
      <c r="AL1" s="2" t="s">
        <v>97</v>
      </c>
      <c r="AM1" s="2" t="s">
        <v>98</v>
      </c>
      <c r="AN1" s="2" t="s">
        <v>99</v>
      </c>
    </row>
    <row r="2" spans="1:40" x14ac:dyDescent="0.3">
      <c r="A2" s="6">
        <v>4</v>
      </c>
      <c r="B2" s="6">
        <v>9.1386939999999992</v>
      </c>
      <c r="C2" s="6">
        <v>6.8238116972656808</v>
      </c>
      <c r="D2" s="6">
        <v>3.5</v>
      </c>
      <c r="E2" s="6">
        <v>8.5662919999999989</v>
      </c>
      <c r="F2" s="6">
        <v>6.3698080964395363</v>
      </c>
      <c r="U2" s="34">
        <f>(C2-$C$22)^2</f>
        <v>1.6312147053373844E-3</v>
      </c>
      <c r="V2">
        <f>SUM(U2:U17)/(16-1)</f>
        <v>6.0040687256379644E-4</v>
      </c>
      <c r="W2" s="6">
        <f>SQRT(V2)</f>
        <v>2.4503201271748074E-2</v>
      </c>
      <c r="X2">
        <v>2.9470000000000001</v>
      </c>
      <c r="Y2" s="6">
        <f>X2*SQRT(V2)/SQRT(16)</f>
        <v>1.8052733536960394E-2</v>
      </c>
      <c r="Z2" s="6">
        <f>C22+Y2</f>
        <v>6.8822527299168321</v>
      </c>
      <c r="AA2" s="6">
        <f>C22-Y2</f>
        <v>6.8461472628429121</v>
      </c>
      <c r="AB2">
        <f>(B2-$B$22)^2</f>
        <v>2.8796840297225759E-3</v>
      </c>
      <c r="AC2" s="6">
        <v>9.0850313125</v>
      </c>
      <c r="AD2" s="6">
        <f>SQRT(SUM(AB2:AB17)/15)</f>
        <v>3.2426586581011635E-2</v>
      </c>
      <c r="AE2" s="6">
        <f>X2*AD2/SQRT(16)</f>
        <v>2.3890287663560321E-2</v>
      </c>
      <c r="AF2">
        <f>(F2-$C$23)^2</f>
        <v>1.6760937659378672E-3</v>
      </c>
      <c r="AG2" s="6">
        <f>C23</f>
        <v>6.4107482205958926</v>
      </c>
      <c r="AH2" s="6">
        <f>SQRT(SUM(AF2:AF16)/14)</f>
        <v>2.2425298175269146E-2</v>
      </c>
      <c r="AI2">
        <v>2.9769999999999999</v>
      </c>
      <c r="AJ2" s="6">
        <f>AI2*AH2/SQRT(15)</f>
        <v>1.7237386970215214E-2</v>
      </c>
      <c r="AK2">
        <f>B23</f>
        <v>8.5116835333333309</v>
      </c>
      <c r="AL2" s="52">
        <f>(E2-$B$23)^2</f>
        <v>2.9820846316845864E-3</v>
      </c>
      <c r="AM2" s="6">
        <f>SQRT(SUM(AL2:AL16)/14)</f>
        <v>2.9809950438130506E-2</v>
      </c>
      <c r="AN2" s="6">
        <f>AI2*AM2/SQRT(15)</f>
        <v>2.2913659709179093E-2</v>
      </c>
    </row>
    <row r="3" spans="1:40" x14ac:dyDescent="0.3">
      <c r="A3" s="6">
        <v>4</v>
      </c>
      <c r="B3" s="6">
        <v>9.0893489999999986</v>
      </c>
      <c r="C3" s="6">
        <v>6.860857363374615</v>
      </c>
      <c r="D3" s="6">
        <v>3.5</v>
      </c>
      <c r="E3" s="6">
        <v>8.5268159999999984</v>
      </c>
      <c r="F3" s="6">
        <v>6.3992979487378676</v>
      </c>
      <c r="U3" s="34">
        <f>(C3-$C$22)^2</f>
        <v>1.1173195407833819E-5</v>
      </c>
      <c r="AB3">
        <f t="shared" ref="AB3:AB17" si="0">(B3-$B$22)^2</f>
        <v>1.8642425347644268E-5</v>
      </c>
      <c r="AF3">
        <f t="shared" ref="AF3:AF15" si="1">(F3-$C$23)^2</f>
        <v>1.3110872562267792E-4</v>
      </c>
      <c r="AL3">
        <f t="shared" ref="AL3:AL16" si="2">(E3-$B$23)^2</f>
        <v>2.2899154741780163E-4</v>
      </c>
    </row>
    <row r="4" spans="1:40" x14ac:dyDescent="0.3">
      <c r="A4" s="6">
        <v>4</v>
      </c>
      <c r="B4" s="6">
        <v>9.1288250000000009</v>
      </c>
      <c r="C4" s="6">
        <v>6.831188790992452</v>
      </c>
      <c r="D4" s="6">
        <v>3.5</v>
      </c>
      <c r="E4" s="6">
        <v>8.5564230000000006</v>
      </c>
      <c r="F4" s="6">
        <v>6.3771550492612645</v>
      </c>
      <c r="U4" s="34">
        <f>(C4-$C$22)^2</f>
        <v>1.0897396811304328E-3</v>
      </c>
      <c r="AB4">
        <f t="shared" si="0"/>
        <v>1.9178870648477351E-3</v>
      </c>
      <c r="AF4">
        <f t="shared" si="1"/>
        <v>1.1285011603176739E-3</v>
      </c>
      <c r="AL4">
        <f t="shared" si="2"/>
        <v>2.0016198776180417E-3</v>
      </c>
    </row>
    <row r="5" spans="1:40" x14ac:dyDescent="0.3">
      <c r="A5" s="6">
        <v>4</v>
      </c>
      <c r="B5" s="6">
        <v>9.0893489999999986</v>
      </c>
      <c r="C5" s="6">
        <v>6.860857363374615</v>
      </c>
      <c r="D5" s="6">
        <v>3.5</v>
      </c>
      <c r="E5" s="6">
        <v>8.5465539999999987</v>
      </c>
      <c r="F5" s="6">
        <v>6.3845189696414755</v>
      </c>
      <c r="U5">
        <f>(C5-$C$22)^2</f>
        <v>1.1173195407833819E-5</v>
      </c>
      <c r="AB5">
        <f t="shared" si="0"/>
        <v>1.8642425347644268E-5</v>
      </c>
      <c r="AF5">
        <f t="shared" si="1"/>
        <v>6.8797360562978941E-4</v>
      </c>
      <c r="AL5">
        <f t="shared" si="2"/>
        <v>1.2159494455511839E-3</v>
      </c>
    </row>
    <row r="6" spans="1:40" x14ac:dyDescent="0.3">
      <c r="A6" s="6">
        <v>4</v>
      </c>
      <c r="B6" s="6">
        <v>9.0992179999999987</v>
      </c>
      <c r="C6" s="6">
        <v>6.8534160864078313</v>
      </c>
      <c r="D6" s="6">
        <v>3.5</v>
      </c>
      <c r="E6" s="6">
        <v>8.5169469999999983</v>
      </c>
      <c r="F6" s="6">
        <v>6.4067131259669958</v>
      </c>
      <c r="U6">
        <f t="shared" ref="U6:U17" si="3">(C6-$C$22)^2</f>
        <v>1.1629271428508138E-4</v>
      </c>
      <c r="AB6" s="6">
        <f>(B6-$B$22)^2</f>
        <v>2.0126210222262052E-4</v>
      </c>
      <c r="AF6">
        <f t="shared" si="1"/>
        <v>1.6281988664151234E-5</v>
      </c>
      <c r="AL6">
        <f t="shared" si="2"/>
        <v>2.770408135111806E-5</v>
      </c>
    </row>
    <row r="7" spans="1:40" x14ac:dyDescent="0.3">
      <c r="A7" s="6">
        <v>4</v>
      </c>
      <c r="B7" s="6">
        <v>9.0893489999999986</v>
      </c>
      <c r="C7" s="6">
        <v>6.860857363374615</v>
      </c>
      <c r="D7" s="6">
        <v>3.5</v>
      </c>
      <c r="E7" s="6">
        <v>8.4774709999999995</v>
      </c>
      <c r="F7" s="6">
        <v>6.436546481617599</v>
      </c>
      <c r="U7">
        <f t="shared" si="3"/>
        <v>1.1173195407833819E-5</v>
      </c>
      <c r="AB7">
        <f t="shared" si="0"/>
        <v>1.8642425347644268E-5</v>
      </c>
      <c r="AF7">
        <f>(F7-$C$23)^2</f>
        <v>6.6555027174409879E-4</v>
      </c>
      <c r="AL7">
        <f t="shared" si="2"/>
        <v>1.1704974370843127E-3</v>
      </c>
    </row>
    <row r="8" spans="1:40" x14ac:dyDescent="0.3">
      <c r="A8" s="6">
        <v>4</v>
      </c>
      <c r="B8" s="6">
        <v>9.0400039999999979</v>
      </c>
      <c r="C8" s="6">
        <v>6.8983074581528605</v>
      </c>
      <c r="D8" s="6">
        <v>3.5</v>
      </c>
      <c r="E8" s="6">
        <v>8.5070779999999999</v>
      </c>
      <c r="F8" s="6">
        <v>6.4141455077836627</v>
      </c>
      <c r="U8">
        <f t="shared" si="3"/>
        <v>1.163318948595865E-3</v>
      </c>
      <c r="AB8">
        <f t="shared" si="0"/>
        <v>2.0274588709728388E-3</v>
      </c>
      <c r="AF8">
        <f t="shared" si="1"/>
        <v>1.1541560236186901E-5</v>
      </c>
      <c r="AL8">
        <f>(E8-$B$23)^2</f>
        <v>2.1210937284423176E-5</v>
      </c>
    </row>
    <row r="9" spans="1:40" x14ac:dyDescent="0.3">
      <c r="A9" s="6">
        <v>4</v>
      </c>
      <c r="B9" s="6">
        <v>9.0794799999999984</v>
      </c>
      <c r="C9" s="6">
        <v>6.8683148170304573</v>
      </c>
      <c r="D9" s="6">
        <v>3.5</v>
      </c>
      <c r="E9" s="6">
        <v>8.5070779999999999</v>
      </c>
      <c r="F9" s="6">
        <v>6.4141455077836627</v>
      </c>
      <c r="U9">
        <f>(C9-$C$22)^2</f>
        <v>1.693174898648254E-5</v>
      </c>
      <c r="AB9">
        <f>(B9-$B$22)^2</f>
        <v>3.0817070472673073E-5</v>
      </c>
      <c r="AF9">
        <f t="shared" si="1"/>
        <v>1.1541560236186901E-5</v>
      </c>
      <c r="AL9">
        <f t="shared" si="2"/>
        <v>2.1210937284423176E-5</v>
      </c>
    </row>
    <row r="10" spans="1:40" x14ac:dyDescent="0.3">
      <c r="A10" s="6">
        <v>4</v>
      </c>
      <c r="B10" s="6">
        <v>9.0794799999999984</v>
      </c>
      <c r="C10" s="6">
        <v>6.8683148170304573</v>
      </c>
      <c r="D10" s="6">
        <v>3.5</v>
      </c>
      <c r="E10" s="6">
        <v>8.4774709999999995</v>
      </c>
      <c r="F10" s="6">
        <v>6.436546481617599</v>
      </c>
      <c r="U10">
        <f t="shared" si="3"/>
        <v>1.693174898648254E-5</v>
      </c>
      <c r="AB10">
        <f t="shared" si="0"/>
        <v>3.0817070472673073E-5</v>
      </c>
      <c r="AF10">
        <f t="shared" si="1"/>
        <v>6.6555027174409879E-4</v>
      </c>
      <c r="AL10">
        <f t="shared" si="2"/>
        <v>1.1704974370843127E-3</v>
      </c>
    </row>
    <row r="11" spans="1:40" x14ac:dyDescent="0.3">
      <c r="A11" s="6">
        <v>4</v>
      </c>
      <c r="B11" s="6">
        <v>9.0498729999999998</v>
      </c>
      <c r="C11" s="6">
        <v>6.8907847673587996</v>
      </c>
      <c r="D11" s="6">
        <v>3.5</v>
      </c>
      <c r="E11" s="6">
        <v>8.4873399999999997</v>
      </c>
      <c r="F11" s="6">
        <v>6.4290621252436244</v>
      </c>
      <c r="U11">
        <f t="shared" si="3"/>
        <v>7.067500480020274E-4</v>
      </c>
      <c r="AB11">
        <f t="shared" si="0"/>
        <v>1.2361069378476648E-3</v>
      </c>
      <c r="AF11">
        <f t="shared" si="1"/>
        <v>3.3539910344621465E-4</v>
      </c>
      <c r="AL11">
        <f t="shared" si="2"/>
        <v>5.9260761515101117E-4</v>
      </c>
    </row>
    <row r="12" spans="1:40" x14ac:dyDescent="0.3">
      <c r="A12" s="6">
        <v>4</v>
      </c>
      <c r="B12" s="6">
        <v>9.0202659999999995</v>
      </c>
      <c r="C12" s="6">
        <v>6.9134022228315315</v>
      </c>
      <c r="D12" s="6">
        <v>3.5</v>
      </c>
      <c r="E12" s="6">
        <v>8.4972089999999998</v>
      </c>
      <c r="F12" s="6">
        <v>6.4215951541341658</v>
      </c>
      <c r="U12">
        <f t="shared" si="3"/>
        <v>2.4208590878003712E-3</v>
      </c>
      <c r="AB12">
        <f t="shared" si="0"/>
        <v>4.1945457032227214E-3</v>
      </c>
      <c r="AF12">
        <f t="shared" si="1"/>
        <v>1.1765596718371731E-4</v>
      </c>
      <c r="AL12">
        <f t="shared" si="2"/>
        <v>2.0951211521771462E-4</v>
      </c>
    </row>
    <row r="13" spans="1:40" x14ac:dyDescent="0.3">
      <c r="A13" s="6">
        <v>4</v>
      </c>
      <c r="B13" s="6">
        <v>9.0794799999999984</v>
      </c>
      <c r="C13" s="6">
        <v>6.8683148170304573</v>
      </c>
      <c r="D13" s="6">
        <v>3.5</v>
      </c>
      <c r="E13" s="6">
        <v>8.4774709999999995</v>
      </c>
      <c r="F13" s="6">
        <v>6.436546481617599</v>
      </c>
      <c r="U13">
        <f t="shared" si="3"/>
        <v>1.693174898648254E-5</v>
      </c>
      <c r="AB13">
        <f t="shared" si="0"/>
        <v>3.0817070472673073E-5</v>
      </c>
      <c r="AF13">
        <f t="shared" si="1"/>
        <v>6.6555027174409879E-4</v>
      </c>
      <c r="AL13">
        <f t="shared" si="2"/>
        <v>1.1704974370843127E-3</v>
      </c>
    </row>
    <row r="14" spans="1:40" x14ac:dyDescent="0.3">
      <c r="A14" s="6">
        <v>4</v>
      </c>
      <c r="B14" s="6">
        <v>9.0696110000000001</v>
      </c>
      <c r="C14" s="6">
        <v>6.8757885001828285</v>
      </c>
      <c r="D14" s="6">
        <v>3.5</v>
      </c>
      <c r="E14" s="6">
        <v>8.5268159999999984</v>
      </c>
      <c r="F14" s="6">
        <v>6.3992979487378676</v>
      </c>
      <c r="U14">
        <f t="shared" si="3"/>
        <v>1.3429342039113484E-4</v>
      </c>
      <c r="AB14">
        <f t="shared" si="0"/>
        <v>2.3778603759765213E-4</v>
      </c>
      <c r="AF14">
        <f t="shared" si="1"/>
        <v>1.3110872562267792E-4</v>
      </c>
      <c r="AL14">
        <f t="shared" si="2"/>
        <v>2.2899154741780163E-4</v>
      </c>
    </row>
    <row r="15" spans="1:40" x14ac:dyDescent="0.3">
      <c r="A15" s="6">
        <v>4</v>
      </c>
      <c r="B15" s="6">
        <v>9.0794799999999984</v>
      </c>
      <c r="C15" s="6">
        <v>6.8683148170304573</v>
      </c>
      <c r="D15" s="6">
        <v>3.5</v>
      </c>
      <c r="E15" s="6">
        <v>8.4774709999999995</v>
      </c>
      <c r="F15" s="6">
        <v>6.436546481617599</v>
      </c>
      <c r="U15">
        <f t="shared" si="3"/>
        <v>1.693174898648254E-5</v>
      </c>
      <c r="AB15">
        <f t="shared" si="0"/>
        <v>3.0817070472673073E-5</v>
      </c>
      <c r="AF15">
        <f t="shared" si="1"/>
        <v>6.6555027174409879E-4</v>
      </c>
      <c r="AL15">
        <f t="shared" si="2"/>
        <v>1.1704974370843127E-3</v>
      </c>
    </row>
    <row r="16" spans="1:40" x14ac:dyDescent="0.3">
      <c r="A16" s="6">
        <v>4</v>
      </c>
      <c r="B16" s="6">
        <v>9.1386939999999992</v>
      </c>
      <c r="C16" s="6">
        <v>6.8238116972656808</v>
      </c>
      <c r="D16" s="6">
        <v>3.5</v>
      </c>
      <c r="E16" s="6">
        <v>8.5268159999999984</v>
      </c>
      <c r="F16" s="6">
        <v>6.3992979487378676</v>
      </c>
      <c r="I16" s="2" t="s">
        <v>26</v>
      </c>
      <c r="U16">
        <f t="shared" si="3"/>
        <v>1.6312147053373844E-3</v>
      </c>
      <c r="AB16">
        <f t="shared" si="0"/>
        <v>2.8796840297225759E-3</v>
      </c>
      <c r="AF16">
        <f>(F16-$C$23)^2</f>
        <v>1.3110872562267792E-4</v>
      </c>
      <c r="AL16">
        <f t="shared" si="2"/>
        <v>2.2899154741780163E-4</v>
      </c>
    </row>
    <row r="17" spans="1:28" x14ac:dyDescent="0.3">
      <c r="A17" s="6">
        <v>4</v>
      </c>
      <c r="B17" s="6">
        <v>9.0893489999999986</v>
      </c>
      <c r="C17" s="6">
        <v>6.860857363374615</v>
      </c>
      <c r="I17" s="15">
        <f>9.86923266716*10^(-16)</f>
        <v>9.8692326671599993E-16</v>
      </c>
      <c r="U17">
        <f t="shared" si="3"/>
        <v>1.1173195407833819E-5</v>
      </c>
      <c r="AB17">
        <f t="shared" si="0"/>
        <v>1.8642425347644268E-5</v>
      </c>
    </row>
    <row r="19" spans="1:28" x14ac:dyDescent="0.3">
      <c r="I19" s="2" t="s">
        <v>31</v>
      </c>
    </row>
    <row r="20" spans="1:28" x14ac:dyDescent="0.3">
      <c r="I20">
        <f>101325</f>
        <v>101325</v>
      </c>
      <c r="W20" s="2" t="s">
        <v>163</v>
      </c>
    </row>
    <row r="21" spans="1:28" x14ac:dyDescent="0.3">
      <c r="A21" s="2" t="s">
        <v>10</v>
      </c>
      <c r="B21" s="2" t="s">
        <v>11</v>
      </c>
      <c r="C21" s="2" t="s">
        <v>17</v>
      </c>
      <c r="D21" s="2" t="s">
        <v>27</v>
      </c>
      <c r="E21" s="2" t="s">
        <v>28</v>
      </c>
      <c r="F21" s="2" t="s">
        <v>30</v>
      </c>
      <c r="G21" s="2" t="s">
        <v>29</v>
      </c>
      <c r="H21" s="2" t="s">
        <v>12</v>
      </c>
      <c r="U21" t="s">
        <v>77</v>
      </c>
      <c r="W21" s="7">
        <f t="array" ref="W21:X25">LINEST(A22:A23,B22:B23,TRUE,TRUE)</f>
        <v>1.4534517506015969E-2</v>
      </c>
      <c r="X21" s="7">
        <v>-6.5379879987567835E-2</v>
      </c>
    </row>
    <row r="22" spans="1:28" x14ac:dyDescent="0.3">
      <c r="A22" s="9">
        <f>A2/60</f>
        <v>6.6666666666666666E-2</v>
      </c>
      <c r="B22" s="6">
        <f>SUM(B2:B17)/16</f>
        <v>9.0850313125</v>
      </c>
      <c r="C22" s="6">
        <f>AVERAGE(C2:C17)</f>
        <v>6.8641999963798721</v>
      </c>
      <c r="D22" s="15">
        <f>C22*$I$17</f>
        <v>6.7744386838191785E-15</v>
      </c>
      <c r="E22">
        <f>A22*10^(-6)</f>
        <v>6.6666666666666668E-8</v>
      </c>
      <c r="F22" s="15">
        <f>B22*I20</f>
        <v>920540.79773906246</v>
      </c>
      <c r="G22">
        <f>4.751*0.01</f>
        <v>4.7510000000000004E-2</v>
      </c>
      <c r="H22">
        <v>0.14034447052746193</v>
      </c>
      <c r="U22" s="2" t="s">
        <v>103</v>
      </c>
      <c r="W22">
        <v>0</v>
      </c>
      <c r="X22">
        <v>0</v>
      </c>
    </row>
    <row r="23" spans="1:28" x14ac:dyDescent="0.3">
      <c r="A23" s="9">
        <f>D2/60</f>
        <v>5.8333333333333334E-2</v>
      </c>
      <c r="B23" s="6">
        <f>SUM(E2:E16)/15</f>
        <v>8.5116835333333309</v>
      </c>
      <c r="C23" s="6">
        <f>AVERAGE(F2:F16)</f>
        <v>6.4107482205958926</v>
      </c>
      <c r="D23" s="15">
        <f>C23*$I$17</f>
        <v>6.326916575964282E-15</v>
      </c>
      <c r="E23">
        <f>A23*10^(-6)</f>
        <v>5.8333333333333333E-8</v>
      </c>
      <c r="F23" s="15">
        <f>B23*I20</f>
        <v>862446.3340149998</v>
      </c>
      <c r="N23" s="2"/>
      <c r="U23" s="6">
        <f>-X21/W21</f>
        <v>4.4982490791666461</v>
      </c>
      <c r="W23">
        <v>1</v>
      </c>
      <c r="X23">
        <v>0</v>
      </c>
    </row>
    <row r="24" spans="1:28" x14ac:dyDescent="0.3">
      <c r="W24" t="e">
        <v>#NUM!</v>
      </c>
      <c r="X24">
        <v>0</v>
      </c>
    </row>
    <row r="25" spans="1:28" x14ac:dyDescent="0.3">
      <c r="A25" s="2" t="s">
        <v>32</v>
      </c>
      <c r="B25" t="s">
        <v>33</v>
      </c>
      <c r="C25" t="s">
        <v>34</v>
      </c>
      <c r="W25">
        <v>3.4722222222222209E-5</v>
      </c>
      <c r="X25">
        <v>0</v>
      </c>
    </row>
    <row r="26" spans="1:28" x14ac:dyDescent="0.3">
      <c r="A26" s="15">
        <f>(16/3*G22^4*(D23/F22^4-D22/F23^4))*10^(16)</f>
        <v>-9.3304681950783839E-28</v>
      </c>
      <c r="B26" s="15">
        <f>(8/3*G22*(D22/F23-D23/F22))*10^(16)</f>
        <v>1.2439604221335937E-6</v>
      </c>
      <c r="C26" s="6">
        <f>(D23-D22)*10^(16)</f>
        <v>-4.475221078548965</v>
      </c>
      <c r="F26" t="s">
        <v>37</v>
      </c>
      <c r="G26" t="s">
        <v>38</v>
      </c>
      <c r="H26" t="s">
        <v>39</v>
      </c>
      <c r="I26" t="s">
        <v>40</v>
      </c>
      <c r="J26" t="s">
        <v>42</v>
      </c>
      <c r="K26" t="s">
        <v>43</v>
      </c>
      <c r="L26" t="s">
        <v>45</v>
      </c>
      <c r="M26" t="s">
        <v>46</v>
      </c>
      <c r="N26" s="13" t="s">
        <v>48</v>
      </c>
      <c r="O26" t="s">
        <v>49</v>
      </c>
      <c r="P26" t="s">
        <v>51</v>
      </c>
      <c r="Q26" t="s">
        <v>52</v>
      </c>
      <c r="R26" s="4" t="s">
        <v>54</v>
      </c>
      <c r="S26" t="s">
        <v>57</v>
      </c>
    </row>
    <row r="27" spans="1:28" x14ac:dyDescent="0.3">
      <c r="C27" t="s">
        <v>35</v>
      </c>
      <c r="F27" s="9">
        <f>A26*C28^4+B26*C28+C26</f>
        <v>0.73999330962777421</v>
      </c>
      <c r="G27" s="15">
        <f>4*A26*C28^3+B26</f>
        <v>9.0386485642298658E-7</v>
      </c>
      <c r="H27" s="15">
        <f>A26*C31^4+B26*C31+C26</f>
        <v>-6.7188120809213103E-2</v>
      </c>
      <c r="I27" s="15">
        <f>4*A26*C31^3+B26</f>
        <v>1.0577656886471735E-6</v>
      </c>
      <c r="J27" s="15">
        <f>A26*D31^4+B26*D31+C26</f>
        <v>-3.0963627887725664E-4</v>
      </c>
      <c r="K27" s="15">
        <f>4*A26*D31^3+B26</f>
        <v>1.0479603562893367E-6</v>
      </c>
      <c r="L27" s="15">
        <f>A26*E31^4+B26*E31+C26</f>
        <v>-6.8541465836347015E-9</v>
      </c>
      <c r="M27" s="15">
        <f>4*A26*E31^3+B26</f>
        <v>1.0479139595144284E-6</v>
      </c>
      <c r="N27" s="20">
        <f>A26*F31^4+B26*F31+C26</f>
        <v>0</v>
      </c>
      <c r="O27" s="15">
        <f>4*A26*F31^3+B26</f>
        <v>1.0479139584872572E-6</v>
      </c>
      <c r="P27" s="15">
        <f>A26*G31^4+B26*G31+C26</f>
        <v>0</v>
      </c>
      <c r="Q27" s="15">
        <f>4*A26*G31^3+B26</f>
        <v>1.0479139584872572E-6</v>
      </c>
      <c r="R27" s="17">
        <f>A26*H31^4+B26*H31+C26</f>
        <v>0</v>
      </c>
      <c r="S27" s="15">
        <f>4*A26*H31^3+B26</f>
        <v>1.0479139584872572E-6</v>
      </c>
    </row>
    <row r="28" spans="1:28" x14ac:dyDescent="0.3">
      <c r="C28" s="15">
        <f>10000000*0.45</f>
        <v>4500000</v>
      </c>
      <c r="F28" t="s">
        <v>59</v>
      </c>
      <c r="G28" t="s">
        <v>60</v>
      </c>
      <c r="H28" t="s">
        <v>62</v>
      </c>
      <c r="I28" t="s">
        <v>63</v>
      </c>
      <c r="J28" t="s">
        <v>65</v>
      </c>
      <c r="K28" t="s">
        <v>66</v>
      </c>
      <c r="L28" t="s">
        <v>68</v>
      </c>
      <c r="M28" t="s">
        <v>69</v>
      </c>
      <c r="N28" t="s">
        <v>71</v>
      </c>
    </row>
    <row r="29" spans="1:28" x14ac:dyDescent="0.3">
      <c r="F29" s="15">
        <f>A26*I31^4+B26*I31+C26</f>
        <v>0</v>
      </c>
      <c r="G29" s="15">
        <f>4*A26*I31^3+B26</f>
        <v>1.0479139584872572E-6</v>
      </c>
      <c r="H29" s="15">
        <f>A26*J31^4+B26*J31+C26</f>
        <v>0</v>
      </c>
      <c r="I29" s="15">
        <f>4*A26*J31^3+B26</f>
        <v>1.0479139584872572E-6</v>
      </c>
      <c r="J29" s="15">
        <f>A26*K31^4+B26*K31+C26</f>
        <v>0</v>
      </c>
      <c r="K29" s="15">
        <f>4*A26*K31^3+B26</f>
        <v>1.0479139584872572E-6</v>
      </c>
      <c r="L29" s="15">
        <f>A26*L31^4+B26*L31+C26</f>
        <v>0</v>
      </c>
      <c r="M29" s="15">
        <f>4*A26*L31^3+B26</f>
        <v>1.0479139584872572E-6</v>
      </c>
      <c r="N29" s="15">
        <f>A26*M31^4+B26*M31+C26</f>
        <v>0</v>
      </c>
    </row>
    <row r="30" spans="1:28" x14ac:dyDescent="0.3">
      <c r="C30" t="s">
        <v>36</v>
      </c>
      <c r="D30" t="s">
        <v>41</v>
      </c>
      <c r="E30" t="s">
        <v>44</v>
      </c>
      <c r="F30" s="13" t="s">
        <v>47</v>
      </c>
      <c r="G30" t="s">
        <v>50</v>
      </c>
      <c r="H30" s="4" t="s">
        <v>53</v>
      </c>
      <c r="I30" t="s">
        <v>58</v>
      </c>
      <c r="J30" t="s">
        <v>61</v>
      </c>
      <c r="K30" t="s">
        <v>64</v>
      </c>
      <c r="L30" t="s">
        <v>67</v>
      </c>
      <c r="M30" t="s">
        <v>70</v>
      </c>
    </row>
    <row r="31" spans="1:28" x14ac:dyDescent="0.3">
      <c r="C31" s="6">
        <f>C28-(F27/G27)</f>
        <v>3681300.9385537216</v>
      </c>
      <c r="D31" s="6">
        <f>C31-H27/I27</f>
        <v>3744819.8459358877</v>
      </c>
      <c r="E31" s="6">
        <f>D31-J27/K27</f>
        <v>3745115.3115773299</v>
      </c>
      <c r="F31" s="59">
        <f>E31-L27/M27</f>
        <v>3745115.3181180833</v>
      </c>
      <c r="G31" s="15">
        <f>F31-N27/O27</f>
        <v>3745115.3181180833</v>
      </c>
      <c r="H31" s="17">
        <f>G31-P27/Q27</f>
        <v>3745115.3181180833</v>
      </c>
      <c r="I31" s="15">
        <f>H31-R27/S27</f>
        <v>3745115.3181180833</v>
      </c>
      <c r="J31" s="15">
        <f>I31-F29/G29</f>
        <v>3745115.3181180833</v>
      </c>
      <c r="K31" s="15">
        <f>J31-H29/I29</f>
        <v>3745115.3181180833</v>
      </c>
      <c r="L31" s="15">
        <f>K31-J29/K29</f>
        <v>3745115.3181180833</v>
      </c>
      <c r="M31" s="15">
        <f>L31-L29/M29</f>
        <v>3745115.3181180833</v>
      </c>
    </row>
    <row r="34" spans="1:12" x14ac:dyDescent="0.3">
      <c r="A34" t="s">
        <v>55</v>
      </c>
      <c r="B34" t="s">
        <v>56</v>
      </c>
      <c r="C34" s="2" t="s">
        <v>72</v>
      </c>
      <c r="E34" s="2" t="s">
        <v>73</v>
      </c>
      <c r="F34" t="s">
        <v>74</v>
      </c>
      <c r="I34" t="s">
        <v>27</v>
      </c>
      <c r="J34" t="s">
        <v>30</v>
      </c>
      <c r="K34" t="s">
        <v>11</v>
      </c>
      <c r="L34" t="s">
        <v>75</v>
      </c>
    </row>
    <row r="35" spans="1:12" x14ac:dyDescent="0.3">
      <c r="A35" s="15">
        <f>1-4/3*(2*G22*F31/F23)+1/3*(2*G22*F31/F23)^4</f>
        <v>0.45950479873510092</v>
      </c>
      <c r="B35" s="15">
        <f>SQRT(8*D23/(A44*Kw60bar2!A35))</f>
        <v>7.7551074227542762E-7</v>
      </c>
      <c r="C35" s="14">
        <f>B35*10^6</f>
        <v>0.7755107422754276</v>
      </c>
      <c r="E35" s="35">
        <f>F31*B35</f>
        <v>2.9043771602608288</v>
      </c>
      <c r="F35">
        <f>E35*10^-6</f>
        <v>2.9043771602608288E-6</v>
      </c>
      <c r="I35" s="15">
        <f>$A$44*($B$35^2)/8*(1-4/3*(2*$G$22*$E$35/($B$35*J35))+1/3*(2*$G$22*$E$35/($B$35*J35))^4)</f>
        <v>1.9908640948564366E-15</v>
      </c>
      <c r="J35">
        <f>K35*$I$20</f>
        <v>506625</v>
      </c>
      <c r="K35" s="29">
        <v>5</v>
      </c>
      <c r="L35" s="6">
        <f>I35/$I$17</f>
        <v>2.0172430441133109</v>
      </c>
    </row>
    <row r="36" spans="1:12" x14ac:dyDescent="0.3">
      <c r="F36" s="15"/>
      <c r="G36" s="15"/>
      <c r="H36" s="15"/>
      <c r="I36" s="15">
        <f t="shared" ref="I36:I53" si="4">$A$44*($B$35^2)/8*(1-4/3*(2*$G$22*$E$35/($B$35*J36))+1/3*(2*$G$22*$E$35/($B$35*J36))^4)</f>
        <v>2.8090148746094635E-15</v>
      </c>
      <c r="J36">
        <f t="shared" ref="J36:J44" si="5">K36*$I$20</f>
        <v>557287.5</v>
      </c>
      <c r="K36" s="36">
        <v>5.5</v>
      </c>
      <c r="L36" s="6">
        <f t="shared" ref="L36:L44" si="6">I36/$I$17</f>
        <v>2.8462343216980761</v>
      </c>
    </row>
    <row r="37" spans="1:12" x14ac:dyDescent="0.3">
      <c r="D37" t="s">
        <v>101</v>
      </c>
      <c r="E37" s="18"/>
      <c r="I37" s="15">
        <f t="shared" si="4"/>
        <v>3.5616361415908231E-15</v>
      </c>
      <c r="J37">
        <f t="shared" si="5"/>
        <v>607950</v>
      </c>
      <c r="K37" s="29">
        <v>6</v>
      </c>
      <c r="L37" s="6">
        <f t="shared" si="6"/>
        <v>3.6088278204669488</v>
      </c>
    </row>
    <row r="38" spans="1:12" x14ac:dyDescent="0.3">
      <c r="A38" t="s">
        <v>100</v>
      </c>
      <c r="B38" s="2" t="s">
        <v>102</v>
      </c>
      <c r="D38" s="15">
        <f>1.01325*10^15</f>
        <v>1013250000000000</v>
      </c>
      <c r="I38" s="15">
        <f t="shared" si="4"/>
        <v>4.2406449162861148E-15</v>
      </c>
      <c r="J38">
        <f t="shared" si="5"/>
        <v>658612.5</v>
      </c>
      <c r="K38" s="36">
        <v>6.5</v>
      </c>
      <c r="L38" s="6">
        <f>I38/$I$17</f>
        <v>4.2968334614269619</v>
      </c>
    </row>
    <row r="39" spans="1:12" x14ac:dyDescent="0.3">
      <c r="A39" s="15">
        <f>(A44*B35^2)/8</f>
        <v>1.3768989123466529E-14</v>
      </c>
      <c r="B39" s="60">
        <f>A39*D38</f>
        <v>13.951428229352461</v>
      </c>
      <c r="I39" s="15">
        <f t="shared" si="4"/>
        <v>4.848830631274846E-15</v>
      </c>
      <c r="J39">
        <f t="shared" si="5"/>
        <v>709275</v>
      </c>
      <c r="K39" s="29">
        <v>7</v>
      </c>
      <c r="L39" s="6">
        <f>I39/$I$17</f>
        <v>4.9130776371393017</v>
      </c>
    </row>
    <row r="40" spans="1:12" x14ac:dyDescent="0.3">
      <c r="I40" s="15">
        <f t="shared" si="4"/>
        <v>5.3927579355624042E-15</v>
      </c>
      <c r="J40">
        <f>K40*$I$20</f>
        <v>759937.5</v>
      </c>
      <c r="K40" s="36">
        <v>7.5</v>
      </c>
      <c r="L40" s="6">
        <f t="shared" si="6"/>
        <v>5.4642119782086773</v>
      </c>
    </row>
    <row r="41" spans="1:12" x14ac:dyDescent="0.3">
      <c r="B41" t="s">
        <v>56</v>
      </c>
      <c r="C41" t="s">
        <v>72</v>
      </c>
      <c r="I41" s="15">
        <f>$A$44*($B$35^2)/8*(1-4/3*(2*$G$22*$E$35/($B$35*J41))+1/3*(2*$G$22*$E$35/($B$35*J41))^4)</f>
        <v>5.8798526502714082E-15</v>
      </c>
      <c r="J41">
        <f t="shared" si="5"/>
        <v>810600</v>
      </c>
      <c r="K41" s="29">
        <v>8</v>
      </c>
      <c r="L41" s="6">
        <f t="shared" si="6"/>
        <v>5.9577606978875819</v>
      </c>
    </row>
    <row r="42" spans="1:12" x14ac:dyDescent="0.3">
      <c r="B42" s="15">
        <f>SQRT(8*A39/0.1812)*H22^(-1/4)</f>
        <v>1.2738494346136724E-6</v>
      </c>
      <c r="C42" s="15">
        <f>B42*10^6</f>
        <v>1.2738494346136724</v>
      </c>
      <c r="I42" s="15">
        <f t="shared" si="4"/>
        <v>6.3172373012152731E-15</v>
      </c>
      <c r="J42">
        <f t="shared" si="5"/>
        <v>861262.5</v>
      </c>
      <c r="K42" s="36">
        <v>8.5</v>
      </c>
      <c r="L42" s="6">
        <f t="shared" si="6"/>
        <v>6.4009406954564589</v>
      </c>
    </row>
    <row r="43" spans="1:12" x14ac:dyDescent="0.3">
      <c r="A43" t="s">
        <v>234</v>
      </c>
      <c r="I43" s="15">
        <f t="shared" si="4"/>
        <v>6.7113152241405396E-15</v>
      </c>
      <c r="J43">
        <f>K43*$I$20</f>
        <v>911925</v>
      </c>
      <c r="K43" s="29">
        <v>9</v>
      </c>
      <c r="L43" s="6">
        <f t="shared" si="6"/>
        <v>6.8002401508604908</v>
      </c>
    </row>
    <row r="44" spans="1:12" x14ac:dyDescent="0.3">
      <c r="A44">
        <f>18.3154/100</f>
        <v>0.18315400000000001</v>
      </c>
      <c r="E44" t="s">
        <v>78</v>
      </c>
      <c r="I44" s="15">
        <f t="shared" si="4"/>
        <v>7.0676746377987285E-15</v>
      </c>
      <c r="J44">
        <f t="shared" si="5"/>
        <v>962587.5</v>
      </c>
      <c r="K44" s="36">
        <v>9.5</v>
      </c>
      <c r="L44" s="6">
        <f t="shared" si="6"/>
        <v>7.1613213267496549</v>
      </c>
    </row>
    <row r="45" spans="1:12" x14ac:dyDescent="0.3">
      <c r="E45">
        <f>PI()*2.543^2/4</f>
        <v>5.0790513275686253</v>
      </c>
      <c r="I45" s="15">
        <f t="shared" si="4"/>
        <v>7.3911242691499299E-15</v>
      </c>
      <c r="J45">
        <f>K45*$I$20</f>
        <v>1013250</v>
      </c>
      <c r="K45" s="29">
        <v>10</v>
      </c>
      <c r="L45" s="6">
        <f>I45/$I$17</f>
        <v>7.489056665716264</v>
      </c>
    </row>
    <row r="46" spans="1:12" x14ac:dyDescent="0.3">
      <c r="I46" s="15">
        <f t="shared" si="4"/>
        <v>1.0549506550057508E-14</v>
      </c>
      <c r="J46">
        <f>K46*$I$20</f>
        <v>2026500</v>
      </c>
      <c r="K46" s="6">
        <v>20</v>
      </c>
      <c r="L46" s="6">
        <f>I46/$I$17</f>
        <v>10.68928751184591</v>
      </c>
    </row>
    <row r="47" spans="1:12" x14ac:dyDescent="0.3">
      <c r="I47" s="15">
        <f t="shared" si="4"/>
        <v>1.1620619955378103E-14</v>
      </c>
      <c r="J47">
        <f t="shared" ref="J47:J53" si="7">K47*$I$20</f>
        <v>3039750</v>
      </c>
      <c r="K47">
        <v>30</v>
      </c>
      <c r="L47" s="6">
        <f t="shared" ref="L47:L63" si="8">I47/$I$17</f>
        <v>11.774593169787016</v>
      </c>
    </row>
    <row r="48" spans="1:12" x14ac:dyDescent="0.3">
      <c r="C48" t="s">
        <v>11</v>
      </c>
      <c r="D48" t="s">
        <v>17</v>
      </c>
      <c r="E48" t="s">
        <v>79</v>
      </c>
      <c r="I48" s="15">
        <f t="shared" si="4"/>
        <v>1.2157338452621348E-14</v>
      </c>
      <c r="J48">
        <f t="shared" si="7"/>
        <v>4053000</v>
      </c>
      <c r="K48">
        <v>40</v>
      </c>
      <c r="L48" s="6">
        <f t="shared" si="8"/>
        <v>12.318423187118743</v>
      </c>
    </row>
    <row r="49" spans="3:18" x14ac:dyDescent="0.3">
      <c r="C49">
        <v>5</v>
      </c>
      <c r="D49">
        <v>2.03899631623361</v>
      </c>
      <c r="E49">
        <f>(D49*$E$45*C49)/(1*4.751*1000)</f>
        <v>1.0898933852740322E-2</v>
      </c>
      <c r="I49" s="15">
        <f t="shared" si="4"/>
        <v>1.2479562097709168E-14</v>
      </c>
      <c r="J49">
        <f t="shared" si="7"/>
        <v>5066250</v>
      </c>
      <c r="K49">
        <v>50</v>
      </c>
      <c r="L49" s="6">
        <f t="shared" si="8"/>
        <v>12.644916295503979</v>
      </c>
    </row>
    <row r="50" spans="3:18" x14ac:dyDescent="0.3">
      <c r="C50">
        <v>5.5</v>
      </c>
      <c r="D50">
        <v>2.8769271575954147</v>
      </c>
      <c r="E50">
        <f t="shared" ref="E50:E58" si="9">(D50*$E$45*C50)/(1*4.751*1000)</f>
        <v>1.6915666984859551E-2</v>
      </c>
      <c r="I50" s="15">
        <f t="shared" si="4"/>
        <v>1.2694427377122924E-14</v>
      </c>
      <c r="J50">
        <f t="shared" si="7"/>
        <v>6079500</v>
      </c>
      <c r="K50">
        <v>60</v>
      </c>
      <c r="L50" s="6">
        <f t="shared" si="8"/>
        <v>12.86262853986997</v>
      </c>
    </row>
    <row r="51" spans="3:18" x14ac:dyDescent="0.3">
      <c r="C51">
        <v>6</v>
      </c>
      <c r="D51">
        <v>3.6477442087737502</v>
      </c>
      <c r="E51">
        <f>(D51*$E$45*C51)/(1*4.751*1000)</f>
        <v>2.3397701620125968E-2</v>
      </c>
      <c r="I51" s="15">
        <f t="shared" si="4"/>
        <v>1.2847919098149808E-14</v>
      </c>
      <c r="J51">
        <f t="shared" si="7"/>
        <v>7092750</v>
      </c>
      <c r="K51">
        <v>70</v>
      </c>
      <c r="L51" s="6">
        <f t="shared" si="8"/>
        <v>13.018154026200463</v>
      </c>
    </row>
    <row r="52" spans="3:18" x14ac:dyDescent="0.3">
      <c r="C52">
        <v>6.5</v>
      </c>
      <c r="D52">
        <v>4.3431690717118858</v>
      </c>
      <c r="E52">
        <f t="shared" si="9"/>
        <v>3.0179890792878573E-2</v>
      </c>
      <c r="I52" s="15">
        <f t="shared" si="4"/>
        <v>1.2963044451535146E-14</v>
      </c>
      <c r="J52">
        <f t="shared" si="7"/>
        <v>8106000</v>
      </c>
      <c r="K52">
        <v>80</v>
      </c>
      <c r="L52" s="6">
        <f t="shared" si="8"/>
        <v>13.134804790518158</v>
      </c>
    </row>
    <row r="53" spans="3:18" x14ac:dyDescent="0.3">
      <c r="C53">
        <v>7</v>
      </c>
      <c r="D53">
        <v>4.9660586178400186</v>
      </c>
      <c r="E53">
        <f t="shared" si="9"/>
        <v>3.7162716546004573E-2</v>
      </c>
      <c r="I53" s="15">
        <f t="shared" si="4"/>
        <v>1.3052589348712986E-14</v>
      </c>
      <c r="J53">
        <f t="shared" si="7"/>
        <v>9119250</v>
      </c>
      <c r="K53">
        <v>90</v>
      </c>
      <c r="L53" s="6">
        <f t="shared" si="8"/>
        <v>13.225536157583605</v>
      </c>
    </row>
    <row r="54" spans="3:18" x14ac:dyDescent="0.3">
      <c r="C54">
        <v>7.5</v>
      </c>
      <c r="D54">
        <v>5.5231362067154093</v>
      </c>
      <c r="E54">
        <f t="shared" si="9"/>
        <v>4.4283770179531001E-2</v>
      </c>
      <c r="I54" s="15">
        <f t="shared" ref="I54:I63" si="10">$A$44*($B$35^2)/8*(1-4/3*(2*$G$22*$E$35/($B$35*J54))+1/3*(2*$G$22*$E$35/($B$35*J54))^4)</f>
        <v>1.3124226730353848E-14</v>
      </c>
      <c r="J54">
        <f t="shared" ref="J54:J63" si="11">K54*$I$20</f>
        <v>10132500</v>
      </c>
      <c r="K54">
        <v>100</v>
      </c>
      <c r="L54" s="6">
        <f t="shared" si="8"/>
        <v>13.29812273453121</v>
      </c>
      <c r="R54" s="6"/>
    </row>
    <row r="55" spans="3:18" x14ac:dyDescent="0.3">
      <c r="C55">
        <v>8</v>
      </c>
      <c r="D55">
        <v>6.0220071901815793</v>
      </c>
      <c r="E55">
        <f t="shared" si="9"/>
        <v>5.1502561336846234E-2</v>
      </c>
      <c r="I55" s="15">
        <f t="shared" si="10"/>
        <v>1.3446604871895563E-14</v>
      </c>
      <c r="J55">
        <f t="shared" si="11"/>
        <v>20265000</v>
      </c>
      <c r="K55">
        <v>200</v>
      </c>
      <c r="L55" s="6">
        <f t="shared" si="8"/>
        <v>13.624772386448358</v>
      </c>
      <c r="R55" s="6"/>
    </row>
    <row r="56" spans="3:18" x14ac:dyDescent="0.3">
      <c r="C56">
        <v>8.5</v>
      </c>
      <c r="D56">
        <v>6.4699662921392509</v>
      </c>
      <c r="E56">
        <f>(D56*$E$45*C56)/(1*4.751*1000)</f>
        <v>5.8792037997478425E-2</v>
      </c>
      <c r="I56" s="15">
        <f t="shared" si="10"/>
        <v>1.3554066084340636E-14</v>
      </c>
      <c r="J56">
        <f t="shared" si="11"/>
        <v>30397500</v>
      </c>
      <c r="K56">
        <v>300</v>
      </c>
      <c r="L56" s="6">
        <f t="shared" si="8"/>
        <v>13.733657459958328</v>
      </c>
      <c r="R56" s="6"/>
    </row>
    <row r="57" spans="3:18" x14ac:dyDescent="0.3">
      <c r="C57">
        <v>9</v>
      </c>
      <c r="D57">
        <v>6.8735716588890901</v>
      </c>
      <c r="E57">
        <f t="shared" si="9"/>
        <v>6.6133658036827705E-2</v>
      </c>
      <c r="I57" s="15">
        <f t="shared" si="10"/>
        <v>1.3607796806742631E-14</v>
      </c>
      <c r="J57">
        <f t="shared" si="11"/>
        <v>40530000</v>
      </c>
      <c r="K57">
        <v>400</v>
      </c>
      <c r="L57" s="6">
        <f t="shared" si="8"/>
        <v>13.788100114432151</v>
      </c>
      <c r="R57" s="6"/>
    </row>
    <row r="58" spans="3:18" x14ac:dyDescent="0.3">
      <c r="C58">
        <v>9.5</v>
      </c>
      <c r="D58">
        <v>7.2385466130215601</v>
      </c>
      <c r="E58">
        <f t="shared" si="9"/>
        <v>7.3514422848469374E-2</v>
      </c>
      <c r="I58" s="15">
        <f t="shared" si="10"/>
        <v>1.3640035259438502E-14</v>
      </c>
      <c r="J58">
        <f t="shared" si="11"/>
        <v>50662500</v>
      </c>
      <c r="K58">
        <v>500</v>
      </c>
      <c r="L58" s="6">
        <f t="shared" si="8"/>
        <v>13.820765726626243</v>
      </c>
      <c r="R58" s="6"/>
    </row>
    <row r="59" spans="3:18" x14ac:dyDescent="0.3">
      <c r="C59">
        <v>10</v>
      </c>
      <c r="D59">
        <v>7.5698161399149955</v>
      </c>
      <c r="E59">
        <f>(D59*$E$45*C59)/(1*4.751*1000)</f>
        <v>8.0925036234236289E-2</v>
      </c>
      <c r="I59" s="15">
        <f t="shared" si="10"/>
        <v>1.3661527566187353E-14</v>
      </c>
      <c r="J59">
        <f t="shared" si="11"/>
        <v>60795000</v>
      </c>
      <c r="K59">
        <v>600</v>
      </c>
      <c r="L59" s="6">
        <f t="shared" si="8"/>
        <v>13.842542806439516</v>
      </c>
      <c r="R59" s="6"/>
    </row>
    <row r="60" spans="3:18" x14ac:dyDescent="0.3">
      <c r="I60" s="15">
        <f t="shared" si="10"/>
        <v>1.3676879215517247E-14</v>
      </c>
      <c r="J60">
        <f t="shared" si="11"/>
        <v>70927500</v>
      </c>
      <c r="K60">
        <v>700</v>
      </c>
      <c r="L60" s="6">
        <f t="shared" si="8"/>
        <v>13.858097865123032</v>
      </c>
      <c r="R60" s="6"/>
    </row>
    <row r="61" spans="3:18" x14ac:dyDescent="0.3">
      <c r="I61" s="15">
        <f t="shared" si="10"/>
        <v>1.3688392953170929E-14</v>
      </c>
      <c r="J61">
        <f t="shared" si="11"/>
        <v>81060000</v>
      </c>
      <c r="K61">
        <v>800</v>
      </c>
      <c r="L61" s="6">
        <f t="shared" si="8"/>
        <v>13.869764159800626</v>
      </c>
      <c r="R61" s="6"/>
    </row>
    <row r="62" spans="3:18" x14ac:dyDescent="0.3">
      <c r="I62" s="15">
        <f t="shared" si="10"/>
        <v>1.3697348082752693E-14</v>
      </c>
      <c r="J62">
        <f t="shared" si="11"/>
        <v>91192500</v>
      </c>
      <c r="K62">
        <v>900</v>
      </c>
      <c r="L62" s="6">
        <f t="shared" si="8"/>
        <v>13.878837944849348</v>
      </c>
      <c r="R62" s="6"/>
    </row>
    <row r="63" spans="3:18" x14ac:dyDescent="0.3">
      <c r="I63" s="15">
        <f t="shared" si="10"/>
        <v>1.3704512186564493E-14</v>
      </c>
      <c r="J63">
        <f t="shared" si="11"/>
        <v>101325000</v>
      </c>
      <c r="K63">
        <v>1000</v>
      </c>
      <c r="L63" s="6">
        <f t="shared" si="8"/>
        <v>13.886096973036654</v>
      </c>
      <c r="R63" s="6"/>
    </row>
    <row r="64" spans="3:18" x14ac:dyDescent="0.3">
      <c r="I64" s="15"/>
      <c r="L64" s="16"/>
      <c r="R64" s="6"/>
    </row>
    <row r="65" spans="9:12" x14ac:dyDescent="0.3">
      <c r="I65" s="15"/>
      <c r="L65" s="16"/>
    </row>
    <row r="66" spans="9:12" x14ac:dyDescent="0.3">
      <c r="I66" s="15"/>
      <c r="L66" s="16"/>
    </row>
    <row r="67" spans="9:12" x14ac:dyDescent="0.3">
      <c r="I67" s="15"/>
      <c r="L67" s="16"/>
    </row>
    <row r="68" spans="9:12" x14ac:dyDescent="0.3">
      <c r="I68" s="15"/>
      <c r="L68" s="16"/>
    </row>
    <row r="69" spans="9:12" x14ac:dyDescent="0.3">
      <c r="I69" s="15"/>
      <c r="L69" s="16"/>
    </row>
    <row r="70" spans="9:12" x14ac:dyDescent="0.3">
      <c r="I70" s="15"/>
      <c r="L70" s="16"/>
    </row>
    <row r="71" spans="9:12" x14ac:dyDescent="0.3">
      <c r="I71" s="15"/>
      <c r="L71" s="16"/>
    </row>
    <row r="72" spans="9:12" x14ac:dyDescent="0.3">
      <c r="I72" s="15"/>
      <c r="L72" s="16"/>
    </row>
    <row r="73" spans="9:12" x14ac:dyDescent="0.3">
      <c r="I73" s="15"/>
      <c r="L73" s="16"/>
    </row>
    <row r="74" spans="9:12" x14ac:dyDescent="0.3">
      <c r="I74" s="15"/>
      <c r="L74" s="16"/>
    </row>
    <row r="75" spans="9:12" x14ac:dyDescent="0.3">
      <c r="I75" s="15"/>
      <c r="L75" s="16"/>
    </row>
    <row r="76" spans="9:12" x14ac:dyDescent="0.3">
      <c r="I76" s="15"/>
      <c r="L76" s="16"/>
    </row>
    <row r="77" spans="9:12" x14ac:dyDescent="0.3">
      <c r="I77" s="15"/>
      <c r="L77" s="16"/>
    </row>
    <row r="78" spans="9:12" x14ac:dyDescent="0.3">
      <c r="I78" s="15"/>
      <c r="L78" s="16"/>
    </row>
    <row r="79" spans="9:12" x14ac:dyDescent="0.3">
      <c r="I79" s="15"/>
      <c r="L79" s="16"/>
    </row>
    <row r="80" spans="9:12" x14ac:dyDescent="0.3">
      <c r="I80" s="15"/>
      <c r="L80" s="16"/>
    </row>
    <row r="81" spans="9:12" x14ac:dyDescent="0.3">
      <c r="I81" s="15"/>
      <c r="L81" s="16"/>
    </row>
    <row r="82" spans="9:12" x14ac:dyDescent="0.3">
      <c r="I82" s="15"/>
      <c r="L82" s="16"/>
    </row>
    <row r="83" spans="9:12" x14ac:dyDescent="0.3">
      <c r="I83" s="15"/>
      <c r="L83" s="16"/>
    </row>
    <row r="84" spans="9:12" x14ac:dyDescent="0.3">
      <c r="I84" s="15"/>
      <c r="L84" s="16"/>
    </row>
    <row r="85" spans="9:12" x14ac:dyDescent="0.3">
      <c r="I85" s="15"/>
      <c r="L85" s="16"/>
    </row>
    <row r="86" spans="9:12" x14ac:dyDescent="0.3">
      <c r="I86" s="15"/>
      <c r="L86" s="16"/>
    </row>
    <row r="87" spans="9:12" x14ac:dyDescent="0.3">
      <c r="I87" s="15"/>
      <c r="L87" s="16"/>
    </row>
    <row r="88" spans="9:12" x14ac:dyDescent="0.3">
      <c r="I88" s="15"/>
      <c r="L88" s="16"/>
    </row>
    <row r="89" spans="9:12" x14ac:dyDescent="0.3">
      <c r="I89" s="15"/>
      <c r="L89" s="16"/>
    </row>
    <row r="90" spans="9:12" x14ac:dyDescent="0.3">
      <c r="I90" s="15"/>
      <c r="L90" s="16"/>
    </row>
    <row r="91" spans="9:12" x14ac:dyDescent="0.3">
      <c r="I91" s="15"/>
      <c r="L91" s="16"/>
    </row>
    <row r="92" spans="9:12" x14ac:dyDescent="0.3">
      <c r="I92" s="15"/>
      <c r="L92" s="16"/>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O122"/>
  <sheetViews>
    <sheetView topLeftCell="A16" zoomScaleNormal="100" workbookViewId="0">
      <selection activeCell="C12" sqref="C12"/>
    </sheetView>
  </sheetViews>
  <sheetFormatPr defaultRowHeight="14.4" x14ac:dyDescent="0.3"/>
  <cols>
    <col min="1" max="2" width="10.88671875" customWidth="1"/>
    <col min="5" max="5" width="11.109375" customWidth="1"/>
    <col min="6" max="6" width="9.88671875" customWidth="1"/>
    <col min="8" max="8" width="9.88671875" customWidth="1"/>
    <col min="9" max="9" width="17.5546875" customWidth="1"/>
    <col min="15" max="15" width="10.109375" customWidth="1"/>
  </cols>
  <sheetData>
    <row r="2" spans="1:15" x14ac:dyDescent="0.3">
      <c r="A2" s="2" t="s">
        <v>0</v>
      </c>
      <c r="B2" s="2" t="s">
        <v>164</v>
      </c>
      <c r="C2" s="2" t="s">
        <v>7</v>
      </c>
      <c r="D2" s="2" t="s">
        <v>11</v>
      </c>
      <c r="E2" s="2" t="s">
        <v>8</v>
      </c>
      <c r="F2" s="2" t="s">
        <v>9</v>
      </c>
      <c r="G2" s="8" t="s">
        <v>13</v>
      </c>
      <c r="H2" s="5" t="s">
        <v>10</v>
      </c>
      <c r="I2" s="5" t="s">
        <v>162</v>
      </c>
      <c r="J2" s="2" t="s">
        <v>4</v>
      </c>
      <c r="K2" s="2" t="s">
        <v>5</v>
      </c>
      <c r="L2" s="2" t="s">
        <v>1</v>
      </c>
    </row>
    <row r="3" spans="1:15" x14ac:dyDescent="0.3">
      <c r="A3">
        <v>1</v>
      </c>
      <c r="B3">
        <v>7.15</v>
      </c>
      <c r="C3">
        <f>$O$4*B3+1</f>
        <v>8.0563350000000007</v>
      </c>
      <c r="D3">
        <f>C3-1</f>
        <v>7.0563350000000007</v>
      </c>
      <c r="E3" s="4">
        <f>(1000*H3*1*8)/(PI()*(2.54^2)/4*D3)</f>
        <v>3.7290845580885543</v>
      </c>
      <c r="F3" s="3">
        <v>15.13</v>
      </c>
      <c r="G3">
        <v>0</v>
      </c>
      <c r="H3" s="9">
        <f>A3/60</f>
        <v>1.6666666666666666E-2</v>
      </c>
      <c r="I3">
        <v>220</v>
      </c>
      <c r="J3">
        <v>87.638900000000007</v>
      </c>
      <c r="K3">
        <f>95.8829-0.5595</f>
        <v>95.323400000000007</v>
      </c>
      <c r="L3">
        <f>(K3-J3)/1</f>
        <v>7.6844999999999999</v>
      </c>
      <c r="O3" s="2" t="s">
        <v>15</v>
      </c>
    </row>
    <row r="4" spans="1:15" x14ac:dyDescent="0.3">
      <c r="A4">
        <v>1</v>
      </c>
      <c r="B4">
        <v>6.13</v>
      </c>
      <c r="C4">
        <f t="shared" ref="C4:C109" si="0">$O$4*B4+1</f>
        <v>7.0496970000000001</v>
      </c>
      <c r="D4">
        <f t="shared" ref="D4:D109" si="1">C4-1</f>
        <v>6.0496970000000001</v>
      </c>
      <c r="E4" s="4">
        <f t="shared" ref="E4:E22" si="2">(1000*H4*1*8)/(PI()*(2.54^2)/4*D4)</f>
        <v>4.3495847618814301</v>
      </c>
      <c r="F4" s="3">
        <v>15.15</v>
      </c>
      <c r="G4">
        <v>2</v>
      </c>
      <c r="H4">
        <f t="shared" ref="H4:H23" si="3">A4/60</f>
        <v>1.6666666666666666E-2</v>
      </c>
      <c r="I4">
        <v>220</v>
      </c>
      <c r="O4">
        <v>0.9869</v>
      </c>
    </row>
    <row r="5" spans="1:15" x14ac:dyDescent="0.3">
      <c r="A5">
        <v>1</v>
      </c>
      <c r="B5">
        <v>6.02</v>
      </c>
      <c r="C5">
        <f t="shared" si="0"/>
        <v>6.9411379999999996</v>
      </c>
      <c r="D5">
        <f t="shared" si="1"/>
        <v>5.9411379999999996</v>
      </c>
      <c r="E5" s="4">
        <f t="shared" si="2"/>
        <v>4.4290622243078355</v>
      </c>
      <c r="F5" s="3">
        <v>15.18</v>
      </c>
      <c r="G5">
        <v>5</v>
      </c>
      <c r="H5">
        <f t="shared" si="3"/>
        <v>1.6666666666666666E-2</v>
      </c>
      <c r="I5">
        <v>220</v>
      </c>
      <c r="J5" s="2" t="s">
        <v>2</v>
      </c>
      <c r="K5" s="2" t="s">
        <v>3</v>
      </c>
    </row>
    <row r="6" spans="1:15" x14ac:dyDescent="0.3">
      <c r="A6">
        <v>1</v>
      </c>
      <c r="B6">
        <v>6.02</v>
      </c>
      <c r="C6">
        <f t="shared" si="0"/>
        <v>6.9411379999999996</v>
      </c>
      <c r="D6">
        <f t="shared" si="1"/>
        <v>5.9411379999999996</v>
      </c>
      <c r="E6" s="4">
        <f t="shared" si="2"/>
        <v>4.4290622243078355</v>
      </c>
      <c r="F6" s="3">
        <v>15.2</v>
      </c>
      <c r="G6">
        <v>7</v>
      </c>
      <c r="H6">
        <f t="shared" si="3"/>
        <v>1.6666666666666666E-2</v>
      </c>
      <c r="I6">
        <v>220</v>
      </c>
      <c r="J6">
        <f>PI()*((2.54^2)/4)*8</f>
        <v>40.536598327799815</v>
      </c>
      <c r="K6" s="4">
        <f>L3/J6*100</f>
        <v>18.956943396826674</v>
      </c>
    </row>
    <row r="7" spans="1:15" x14ac:dyDescent="0.3">
      <c r="A7">
        <v>1</v>
      </c>
      <c r="B7">
        <v>6.06</v>
      </c>
      <c r="C7">
        <f t="shared" si="0"/>
        <v>6.9806139999999992</v>
      </c>
      <c r="D7">
        <f t="shared" si="1"/>
        <v>5.9806139999999992</v>
      </c>
      <c r="E7" s="4">
        <f t="shared" si="2"/>
        <v>4.3998274901539887</v>
      </c>
      <c r="F7" s="3">
        <v>15.25</v>
      </c>
      <c r="G7">
        <v>12</v>
      </c>
      <c r="H7">
        <f t="shared" si="3"/>
        <v>1.6666666666666666E-2</v>
      </c>
      <c r="I7">
        <v>220</v>
      </c>
    </row>
    <row r="8" spans="1:15" x14ac:dyDescent="0.3">
      <c r="A8">
        <v>1</v>
      </c>
      <c r="B8">
        <v>6.11</v>
      </c>
      <c r="C8">
        <f t="shared" si="0"/>
        <v>7.0299590000000007</v>
      </c>
      <c r="D8">
        <f t="shared" si="1"/>
        <v>6.0299590000000007</v>
      </c>
      <c r="E8" s="4">
        <f t="shared" si="2"/>
        <v>4.3638223552100106</v>
      </c>
      <c r="F8" s="3">
        <v>15.3</v>
      </c>
      <c r="G8">
        <v>17</v>
      </c>
      <c r="H8">
        <f t="shared" si="3"/>
        <v>1.6666666666666666E-2</v>
      </c>
      <c r="I8">
        <v>220</v>
      </c>
    </row>
    <row r="9" spans="1:15" x14ac:dyDescent="0.3">
      <c r="A9">
        <v>1</v>
      </c>
      <c r="B9">
        <v>6.22</v>
      </c>
      <c r="C9">
        <f t="shared" si="0"/>
        <v>7.1385179999999995</v>
      </c>
      <c r="D9">
        <f t="shared" si="1"/>
        <v>6.1385179999999995</v>
      </c>
      <c r="E9" s="4">
        <f t="shared" si="2"/>
        <v>4.2866486479635322</v>
      </c>
      <c r="F9" s="3">
        <v>15.36</v>
      </c>
      <c r="G9">
        <v>23</v>
      </c>
      <c r="H9">
        <f t="shared" si="3"/>
        <v>1.6666666666666666E-2</v>
      </c>
      <c r="I9">
        <v>220</v>
      </c>
    </row>
    <row r="10" spans="1:15" x14ac:dyDescent="0.3">
      <c r="A10">
        <v>1</v>
      </c>
      <c r="B10">
        <v>6.24</v>
      </c>
      <c r="C10">
        <f t="shared" si="0"/>
        <v>7.1582560000000006</v>
      </c>
      <c r="D10">
        <f t="shared" si="1"/>
        <v>6.1582560000000006</v>
      </c>
      <c r="E10" s="4">
        <f t="shared" si="2"/>
        <v>4.2729093894764691</v>
      </c>
      <c r="F10" s="3">
        <v>15.4</v>
      </c>
      <c r="G10">
        <v>27</v>
      </c>
      <c r="H10">
        <f t="shared" si="3"/>
        <v>1.6666666666666666E-2</v>
      </c>
      <c r="I10">
        <v>220</v>
      </c>
    </row>
    <row r="11" spans="1:15" x14ac:dyDescent="0.3">
      <c r="A11">
        <v>1</v>
      </c>
      <c r="B11">
        <v>6.29</v>
      </c>
      <c r="C11">
        <f t="shared" si="0"/>
        <v>7.2076010000000004</v>
      </c>
      <c r="D11">
        <f t="shared" si="1"/>
        <v>6.2076010000000004</v>
      </c>
      <c r="E11" s="4">
        <f t="shared" si="2"/>
        <v>4.2389434960784049</v>
      </c>
      <c r="F11" s="3">
        <v>15.46</v>
      </c>
      <c r="G11">
        <v>33</v>
      </c>
      <c r="H11">
        <f t="shared" si="3"/>
        <v>1.6666666666666666E-2</v>
      </c>
      <c r="I11">
        <v>220</v>
      </c>
    </row>
    <row r="12" spans="1:15" x14ac:dyDescent="0.3">
      <c r="A12">
        <v>1</v>
      </c>
      <c r="B12">
        <v>6.39</v>
      </c>
      <c r="C12">
        <f t="shared" si="0"/>
        <v>7.3062909999999999</v>
      </c>
      <c r="D12">
        <f t="shared" si="1"/>
        <v>6.3062909999999999</v>
      </c>
      <c r="E12" s="4">
        <f t="shared" si="2"/>
        <v>4.1726063521648147</v>
      </c>
      <c r="F12" s="3">
        <v>15.58</v>
      </c>
      <c r="G12">
        <v>45</v>
      </c>
      <c r="H12">
        <f t="shared" si="3"/>
        <v>1.6666666666666666E-2</v>
      </c>
      <c r="I12">
        <v>220</v>
      </c>
    </row>
    <row r="13" spans="1:15" x14ac:dyDescent="0.3">
      <c r="A13">
        <v>1</v>
      </c>
      <c r="B13">
        <v>6.47</v>
      </c>
      <c r="C13">
        <f t="shared" si="0"/>
        <v>7.385243</v>
      </c>
      <c r="D13">
        <f t="shared" si="1"/>
        <v>6.385243</v>
      </c>
      <c r="E13" s="4">
        <f t="shared" si="2"/>
        <v>4.1210130742400564</v>
      </c>
      <c r="F13" s="3">
        <v>16.05</v>
      </c>
      <c r="G13">
        <v>52</v>
      </c>
      <c r="H13">
        <f t="shared" si="3"/>
        <v>1.6666666666666666E-2</v>
      </c>
      <c r="I13">
        <v>220</v>
      </c>
    </row>
    <row r="14" spans="1:15" x14ac:dyDescent="0.3">
      <c r="A14">
        <v>1</v>
      </c>
      <c r="B14">
        <v>6.48</v>
      </c>
      <c r="C14">
        <f t="shared" si="0"/>
        <v>7.3951120000000001</v>
      </c>
      <c r="D14">
        <f t="shared" si="1"/>
        <v>6.3951120000000001</v>
      </c>
      <c r="E14" s="4">
        <f t="shared" si="2"/>
        <v>4.1146534861625259</v>
      </c>
      <c r="F14" s="3">
        <v>16.100000000000001</v>
      </c>
      <c r="G14">
        <v>57</v>
      </c>
      <c r="H14">
        <f t="shared" si="3"/>
        <v>1.6666666666666666E-2</v>
      </c>
      <c r="I14">
        <v>220</v>
      </c>
    </row>
    <row r="15" spans="1:15" x14ac:dyDescent="0.3">
      <c r="A15">
        <v>1</v>
      </c>
      <c r="B15">
        <v>6.51</v>
      </c>
      <c r="C15">
        <f t="shared" si="0"/>
        <v>7.4247189999999996</v>
      </c>
      <c r="D15">
        <f t="shared" si="1"/>
        <v>6.4247189999999996</v>
      </c>
      <c r="E15" s="4">
        <f t="shared" si="2"/>
        <v>4.0956919493599342</v>
      </c>
      <c r="F15" s="3">
        <v>16.170000000000002</v>
      </c>
      <c r="G15">
        <v>63</v>
      </c>
      <c r="H15">
        <f t="shared" si="3"/>
        <v>1.6666666666666666E-2</v>
      </c>
      <c r="I15">
        <v>220</v>
      </c>
    </row>
    <row r="16" spans="1:15" x14ac:dyDescent="0.3">
      <c r="A16">
        <v>1</v>
      </c>
      <c r="B16">
        <v>6.55</v>
      </c>
      <c r="C16">
        <f t="shared" si="0"/>
        <v>7.4641950000000001</v>
      </c>
      <c r="D16">
        <f t="shared" si="1"/>
        <v>6.4641950000000001</v>
      </c>
      <c r="E16" s="4">
        <f t="shared" si="2"/>
        <v>4.0706800901272011</v>
      </c>
      <c r="F16" s="3">
        <v>16.260000000000002</v>
      </c>
      <c r="G16">
        <v>72</v>
      </c>
      <c r="H16">
        <f t="shared" si="3"/>
        <v>1.6666666666666666E-2</v>
      </c>
      <c r="I16">
        <v>220</v>
      </c>
    </row>
    <row r="17" spans="1:9" x14ac:dyDescent="0.3">
      <c r="A17">
        <v>1</v>
      </c>
      <c r="B17">
        <v>6.57</v>
      </c>
      <c r="C17">
        <f t="shared" si="0"/>
        <v>7.4839330000000004</v>
      </c>
      <c r="D17">
        <f t="shared" si="1"/>
        <v>6.4839330000000004</v>
      </c>
      <c r="E17" s="4">
        <f t="shared" si="2"/>
        <v>4.0582883699137238</v>
      </c>
      <c r="F17" s="3">
        <v>16.3</v>
      </c>
      <c r="G17">
        <v>76</v>
      </c>
      <c r="H17">
        <f t="shared" si="3"/>
        <v>1.6666666666666666E-2</v>
      </c>
      <c r="I17">
        <v>220</v>
      </c>
    </row>
    <row r="18" spans="1:9" x14ac:dyDescent="0.3">
      <c r="A18">
        <v>1</v>
      </c>
      <c r="B18">
        <v>6.61</v>
      </c>
      <c r="C18">
        <f t="shared" si="0"/>
        <v>7.523409</v>
      </c>
      <c r="D18">
        <f t="shared" si="1"/>
        <v>6.523409</v>
      </c>
      <c r="E18" s="4">
        <f t="shared" si="2"/>
        <v>4.0337298926373935</v>
      </c>
      <c r="F18" s="3">
        <v>16.350000000000001</v>
      </c>
      <c r="G18">
        <v>81</v>
      </c>
      <c r="H18">
        <f t="shared" si="3"/>
        <v>1.6666666666666666E-2</v>
      </c>
      <c r="I18">
        <v>220</v>
      </c>
    </row>
    <row r="19" spans="1:9" x14ac:dyDescent="0.3">
      <c r="A19">
        <v>1</v>
      </c>
      <c r="B19">
        <v>6.61</v>
      </c>
      <c r="C19">
        <f t="shared" si="0"/>
        <v>7.523409</v>
      </c>
      <c r="D19">
        <f t="shared" si="1"/>
        <v>6.523409</v>
      </c>
      <c r="E19" s="4">
        <f t="shared" si="2"/>
        <v>4.0337298926373935</v>
      </c>
      <c r="F19" s="3">
        <v>16.440000000000001</v>
      </c>
      <c r="G19">
        <v>90</v>
      </c>
      <c r="H19">
        <f t="shared" si="3"/>
        <v>1.6666666666666666E-2</v>
      </c>
      <c r="I19">
        <v>220</v>
      </c>
    </row>
    <row r="20" spans="1:9" x14ac:dyDescent="0.3">
      <c r="A20" s="2">
        <v>1</v>
      </c>
      <c r="B20" s="2">
        <v>6.66</v>
      </c>
      <c r="C20" s="2">
        <f t="shared" si="0"/>
        <v>7.5727539999999998</v>
      </c>
      <c r="D20" s="2">
        <f t="shared" si="1"/>
        <v>6.5727539999999998</v>
      </c>
      <c r="E20" s="2">
        <f t="shared" si="2"/>
        <v>4.0034466351851608</v>
      </c>
      <c r="F20" s="11">
        <v>16.52</v>
      </c>
      <c r="G20" s="2">
        <v>98</v>
      </c>
      <c r="H20" s="2">
        <f t="shared" si="3"/>
        <v>1.6666666666666666E-2</v>
      </c>
      <c r="I20">
        <v>220</v>
      </c>
    </row>
    <row r="21" spans="1:9" x14ac:dyDescent="0.3">
      <c r="A21" s="2">
        <v>1</v>
      </c>
      <c r="B21" s="2">
        <v>6.7</v>
      </c>
      <c r="C21" s="2">
        <f t="shared" si="0"/>
        <v>7.6122300000000003</v>
      </c>
      <c r="D21" s="2">
        <f t="shared" si="1"/>
        <v>6.6122300000000003</v>
      </c>
      <c r="E21" s="2">
        <f t="shared" si="2"/>
        <v>3.9795454612437569</v>
      </c>
      <c r="F21" s="11">
        <v>16.57</v>
      </c>
      <c r="G21" s="2">
        <v>103</v>
      </c>
      <c r="H21" s="2">
        <f t="shared" si="3"/>
        <v>1.6666666666666666E-2</v>
      </c>
      <c r="I21">
        <v>220</v>
      </c>
    </row>
    <row r="22" spans="1:9" x14ac:dyDescent="0.3">
      <c r="A22" s="2">
        <v>1</v>
      </c>
      <c r="B22" s="2">
        <v>6.7</v>
      </c>
      <c r="C22" s="2">
        <f t="shared" si="0"/>
        <v>7.6122300000000003</v>
      </c>
      <c r="D22" s="2">
        <f t="shared" si="1"/>
        <v>6.6122300000000003</v>
      </c>
      <c r="E22" s="2">
        <f t="shared" si="2"/>
        <v>3.9795454612437569</v>
      </c>
      <c r="F22" s="11">
        <v>17.04</v>
      </c>
      <c r="G22" s="2">
        <v>110</v>
      </c>
      <c r="H22" s="2">
        <f t="shared" si="3"/>
        <v>1.6666666666666666E-2</v>
      </c>
      <c r="I22">
        <v>220</v>
      </c>
    </row>
    <row r="23" spans="1:9" x14ac:dyDescent="0.3">
      <c r="A23" s="2">
        <v>1</v>
      </c>
      <c r="B23" s="2">
        <v>6.73</v>
      </c>
      <c r="C23" s="2">
        <f t="shared" si="0"/>
        <v>7.6418370000000007</v>
      </c>
      <c r="D23" s="2">
        <f t="shared" si="1"/>
        <v>6.6418370000000007</v>
      </c>
      <c r="E23" s="2">
        <f t="shared" ref="E23:E66" si="4">(1000*H23*1*8)/(PI()*(2.54^2)/4*D23)</f>
        <v>3.9618060312530705</v>
      </c>
      <c r="F23" s="11">
        <v>17.079999999999998</v>
      </c>
      <c r="G23" s="2">
        <v>114</v>
      </c>
      <c r="H23" s="2">
        <f t="shared" si="3"/>
        <v>1.6666666666666666E-2</v>
      </c>
      <c r="I23">
        <v>220</v>
      </c>
    </row>
    <row r="24" spans="1:9" x14ac:dyDescent="0.3">
      <c r="A24" s="2">
        <v>1</v>
      </c>
      <c r="B24" s="2">
        <v>6.74</v>
      </c>
      <c r="C24" s="2">
        <f t="shared" si="0"/>
        <v>7.6517059999999999</v>
      </c>
      <c r="D24" s="2">
        <f t="shared" si="1"/>
        <v>6.6517059999999999</v>
      </c>
      <c r="E24" s="2">
        <f t="shared" si="4"/>
        <v>3.9559279807615981</v>
      </c>
      <c r="F24" s="11">
        <v>17.16</v>
      </c>
      <c r="G24" s="2">
        <v>122</v>
      </c>
      <c r="H24" s="2">
        <f t="shared" ref="H24:H90" si="5">A24/60</f>
        <v>1.6666666666666666E-2</v>
      </c>
      <c r="I24">
        <v>220</v>
      </c>
    </row>
    <row r="25" spans="1:9" x14ac:dyDescent="0.3">
      <c r="A25" s="2">
        <v>1</v>
      </c>
      <c r="B25" s="2">
        <v>6.76</v>
      </c>
      <c r="C25" s="2">
        <f t="shared" si="0"/>
        <v>7.6714440000000002</v>
      </c>
      <c r="D25" s="2">
        <f t="shared" si="1"/>
        <v>6.6714440000000002</v>
      </c>
      <c r="E25" s="2">
        <f t="shared" si="4"/>
        <v>3.9442240518244334</v>
      </c>
      <c r="F25" s="11">
        <v>17.190000000000001</v>
      </c>
      <c r="G25" s="2">
        <v>125</v>
      </c>
      <c r="H25" s="2">
        <f t="shared" si="5"/>
        <v>1.6666666666666666E-2</v>
      </c>
      <c r="I25">
        <v>220</v>
      </c>
    </row>
    <row r="26" spans="1:9" x14ac:dyDescent="0.3">
      <c r="A26" s="2">
        <v>1</v>
      </c>
      <c r="B26" s="2">
        <v>6.71</v>
      </c>
      <c r="C26" s="2">
        <f t="shared" si="0"/>
        <v>7.6220990000000004</v>
      </c>
      <c r="D26" s="2">
        <f t="shared" si="1"/>
        <v>6.6220990000000004</v>
      </c>
      <c r="E26" s="2">
        <f t="shared" si="4"/>
        <v>3.9736146930451817</v>
      </c>
      <c r="F26" s="11">
        <v>10.3</v>
      </c>
      <c r="G26" s="2">
        <v>155</v>
      </c>
      <c r="H26" s="2">
        <f t="shared" si="5"/>
        <v>1.6666666666666666E-2</v>
      </c>
      <c r="I26">
        <v>220</v>
      </c>
    </row>
    <row r="27" spans="1:9" x14ac:dyDescent="0.3">
      <c r="A27" s="2">
        <v>1</v>
      </c>
      <c r="B27" s="2">
        <v>6.73</v>
      </c>
      <c r="C27" s="2">
        <f t="shared" si="0"/>
        <v>7.6418370000000007</v>
      </c>
      <c r="D27" s="2">
        <f t="shared" si="1"/>
        <v>6.6418370000000007</v>
      </c>
      <c r="E27" s="2">
        <f t="shared" si="4"/>
        <v>3.9618060312530705</v>
      </c>
      <c r="F27" s="11">
        <v>11</v>
      </c>
      <c r="G27" s="2">
        <v>185</v>
      </c>
      <c r="H27" s="2">
        <f t="shared" si="5"/>
        <v>1.6666666666666666E-2</v>
      </c>
      <c r="I27">
        <v>220</v>
      </c>
    </row>
    <row r="28" spans="1:9" x14ac:dyDescent="0.3">
      <c r="A28" s="2">
        <v>1</v>
      </c>
      <c r="B28" s="2">
        <v>6.71</v>
      </c>
      <c r="C28" s="2">
        <f t="shared" si="0"/>
        <v>7.6220990000000004</v>
      </c>
      <c r="D28" s="2">
        <f t="shared" si="1"/>
        <v>6.6220990000000004</v>
      </c>
      <c r="E28" s="2">
        <f t="shared" si="4"/>
        <v>3.9736146930451817</v>
      </c>
      <c r="F28" s="11">
        <v>12</v>
      </c>
      <c r="G28" s="2">
        <f>G27+30</f>
        <v>215</v>
      </c>
      <c r="H28" s="2">
        <f t="shared" si="5"/>
        <v>1.6666666666666666E-2</v>
      </c>
      <c r="I28">
        <v>220</v>
      </c>
    </row>
    <row r="29" spans="1:9" x14ac:dyDescent="0.3">
      <c r="A29" s="2">
        <v>1</v>
      </c>
      <c r="B29" s="2">
        <v>6.68</v>
      </c>
      <c r="C29" s="2">
        <f t="shared" si="0"/>
        <v>7.592492</v>
      </c>
      <c r="D29" s="2">
        <f t="shared" si="1"/>
        <v>6.592492</v>
      </c>
      <c r="E29" s="2">
        <f t="shared" si="4"/>
        <v>3.9914602680139475</v>
      </c>
      <c r="F29" s="11">
        <v>12.1</v>
      </c>
      <c r="G29" s="2">
        <v>245</v>
      </c>
      <c r="H29" s="2">
        <f t="shared" si="5"/>
        <v>1.6666666666666666E-2</v>
      </c>
      <c r="I29">
        <v>220</v>
      </c>
    </row>
    <row r="30" spans="1:9" x14ac:dyDescent="0.3">
      <c r="A30" s="2">
        <v>1</v>
      </c>
      <c r="B30" s="2">
        <v>6.7</v>
      </c>
      <c r="C30" s="2">
        <f t="shared" si="0"/>
        <v>7.6122300000000003</v>
      </c>
      <c r="D30" s="2">
        <f t="shared" si="1"/>
        <v>6.6122300000000003</v>
      </c>
      <c r="E30" s="2">
        <f t="shared" si="4"/>
        <v>3.9795454612437569</v>
      </c>
      <c r="F30" s="2">
        <v>12.15</v>
      </c>
      <c r="G30" s="2">
        <v>250</v>
      </c>
      <c r="H30" s="2">
        <f t="shared" si="5"/>
        <v>1.6666666666666666E-2</v>
      </c>
      <c r="I30">
        <v>220</v>
      </c>
    </row>
    <row r="31" spans="1:9" x14ac:dyDescent="0.3">
      <c r="A31" s="2">
        <v>1</v>
      </c>
      <c r="B31" s="2">
        <v>6.73</v>
      </c>
      <c r="C31" s="2">
        <f t="shared" si="0"/>
        <v>7.6418370000000007</v>
      </c>
      <c r="D31" s="2">
        <f t="shared" si="1"/>
        <v>6.6418370000000007</v>
      </c>
      <c r="E31" s="2">
        <f t="shared" si="4"/>
        <v>3.9618060312530705</v>
      </c>
      <c r="F31" s="11">
        <v>12.25</v>
      </c>
      <c r="G31" s="2">
        <v>260</v>
      </c>
      <c r="H31" s="2">
        <f t="shared" si="5"/>
        <v>1.6666666666666666E-2</v>
      </c>
      <c r="I31">
        <v>220</v>
      </c>
    </row>
    <row r="32" spans="1:9" x14ac:dyDescent="0.3">
      <c r="A32" s="2">
        <v>1</v>
      </c>
      <c r="B32" s="2">
        <v>6.75</v>
      </c>
      <c r="C32" s="2">
        <f t="shared" si="0"/>
        <v>7.661575</v>
      </c>
      <c r="D32" s="2">
        <f t="shared" si="1"/>
        <v>6.661575</v>
      </c>
      <c r="E32" s="2">
        <f t="shared" si="4"/>
        <v>3.9500673467160254</v>
      </c>
      <c r="F32" s="11">
        <v>12.26</v>
      </c>
      <c r="G32" s="2">
        <v>261</v>
      </c>
      <c r="H32" s="2">
        <f t="shared" si="5"/>
        <v>1.6666666666666666E-2</v>
      </c>
      <c r="I32">
        <v>220</v>
      </c>
    </row>
    <row r="33" spans="1:13" x14ac:dyDescent="0.3">
      <c r="A33" s="2">
        <v>1</v>
      </c>
      <c r="B33" s="2">
        <v>6.66</v>
      </c>
      <c r="C33" s="2">
        <f t="shared" si="0"/>
        <v>7.5727539999999998</v>
      </c>
      <c r="D33" s="2">
        <f t="shared" si="1"/>
        <v>6.5727539999999998</v>
      </c>
      <c r="E33" s="2">
        <f t="shared" si="4"/>
        <v>4.0034466351851608</v>
      </c>
      <c r="F33" s="11">
        <v>12.51</v>
      </c>
      <c r="G33" s="2">
        <f>G32+(51-26)</f>
        <v>286</v>
      </c>
      <c r="H33" s="2">
        <f t="shared" si="5"/>
        <v>1.6666666666666666E-2</v>
      </c>
      <c r="I33">
        <v>220</v>
      </c>
    </row>
    <row r="34" spans="1:13" x14ac:dyDescent="0.3">
      <c r="A34" s="2">
        <v>1</v>
      </c>
      <c r="B34" s="2">
        <v>6.71</v>
      </c>
      <c r="C34" s="2">
        <f t="shared" si="0"/>
        <v>7.6220990000000004</v>
      </c>
      <c r="D34" s="2">
        <f t="shared" si="1"/>
        <v>6.6220990000000004</v>
      </c>
      <c r="E34" s="2">
        <f t="shared" si="4"/>
        <v>3.9736146930451817</v>
      </c>
      <c r="F34" s="11">
        <v>13.04</v>
      </c>
      <c r="G34" s="2">
        <f>G33+13</f>
        <v>299</v>
      </c>
      <c r="H34" s="2">
        <f t="shared" si="5"/>
        <v>1.6666666666666666E-2</v>
      </c>
      <c r="I34">
        <v>220</v>
      </c>
    </row>
    <row r="35" spans="1:13" x14ac:dyDescent="0.3">
      <c r="A35" s="2">
        <v>1</v>
      </c>
      <c r="B35" s="2">
        <v>6.75</v>
      </c>
      <c r="C35" s="2">
        <f t="shared" si="0"/>
        <v>7.661575</v>
      </c>
      <c r="D35" s="2">
        <f t="shared" si="1"/>
        <v>6.661575</v>
      </c>
      <c r="E35" s="2">
        <f t="shared" si="4"/>
        <v>3.9500673467160254</v>
      </c>
      <c r="F35" s="11">
        <v>13.07</v>
      </c>
      <c r="G35" s="2">
        <f>G34+3</f>
        <v>302</v>
      </c>
      <c r="H35" s="2">
        <f t="shared" si="5"/>
        <v>1.6666666666666666E-2</v>
      </c>
      <c r="I35">
        <v>220</v>
      </c>
    </row>
    <row r="36" spans="1:13" x14ac:dyDescent="0.3">
      <c r="A36" s="2">
        <v>1</v>
      </c>
      <c r="B36" s="2">
        <v>6.7</v>
      </c>
      <c r="C36" s="2">
        <f t="shared" si="0"/>
        <v>7.6122300000000003</v>
      </c>
      <c r="D36" s="2">
        <f t="shared" si="1"/>
        <v>6.6122300000000003</v>
      </c>
      <c r="E36" s="2">
        <f t="shared" si="4"/>
        <v>3.9795454612437569</v>
      </c>
      <c r="F36" s="11">
        <v>13.09</v>
      </c>
      <c r="G36" s="2">
        <v>304</v>
      </c>
      <c r="H36" s="2">
        <f t="shared" si="5"/>
        <v>1.6666666666666666E-2</v>
      </c>
      <c r="I36">
        <v>220</v>
      </c>
    </row>
    <row r="37" spans="1:13" x14ac:dyDescent="0.3">
      <c r="A37" s="2">
        <v>1</v>
      </c>
      <c r="B37" s="2">
        <v>6.79</v>
      </c>
      <c r="C37" s="2">
        <f t="shared" si="0"/>
        <v>7.7010509999999996</v>
      </c>
      <c r="D37" s="2">
        <f t="shared" si="1"/>
        <v>6.7010509999999996</v>
      </c>
      <c r="E37" s="2">
        <f t="shared" si="4"/>
        <v>3.9267974359842666</v>
      </c>
      <c r="F37" s="11">
        <v>13.18</v>
      </c>
      <c r="G37" s="2">
        <f>G36+9</f>
        <v>313</v>
      </c>
      <c r="H37" s="2">
        <f t="shared" si="5"/>
        <v>1.6666666666666666E-2</v>
      </c>
      <c r="I37">
        <v>220</v>
      </c>
    </row>
    <row r="38" spans="1:13" x14ac:dyDescent="0.3">
      <c r="A38" s="2">
        <v>1</v>
      </c>
      <c r="B38" s="2">
        <v>6.78</v>
      </c>
      <c r="C38" s="2">
        <f t="shared" si="0"/>
        <v>7.6911820000000004</v>
      </c>
      <c r="D38" s="2">
        <f t="shared" si="1"/>
        <v>6.6911820000000004</v>
      </c>
      <c r="E38" s="2">
        <f t="shared" si="4"/>
        <v>3.9325891726155109</v>
      </c>
      <c r="F38" s="11">
        <v>13.24</v>
      </c>
      <c r="G38" s="2">
        <f>G37+6</f>
        <v>319</v>
      </c>
      <c r="H38" s="2">
        <f t="shared" si="5"/>
        <v>1.6666666666666666E-2</v>
      </c>
      <c r="I38">
        <v>220</v>
      </c>
      <c r="M38">
        <f>340/60</f>
        <v>5.666666666666667</v>
      </c>
    </row>
    <row r="39" spans="1:13" x14ac:dyDescent="0.3">
      <c r="A39" s="2">
        <v>1</v>
      </c>
      <c r="B39" s="2">
        <v>6.8</v>
      </c>
      <c r="C39" s="2">
        <f t="shared" si="0"/>
        <v>7.7109199999999998</v>
      </c>
      <c r="D39" s="2">
        <f t="shared" si="1"/>
        <v>6.7109199999999998</v>
      </c>
      <c r="E39" s="2">
        <f t="shared" si="4"/>
        <v>3.9210227338725252</v>
      </c>
      <c r="F39" s="11">
        <v>13.28</v>
      </c>
      <c r="G39" s="2">
        <f>G38+4</f>
        <v>323</v>
      </c>
      <c r="H39" s="2">
        <f t="shared" si="5"/>
        <v>1.6666666666666666E-2</v>
      </c>
      <c r="I39">
        <v>220</v>
      </c>
    </row>
    <row r="40" spans="1:13" x14ac:dyDescent="0.3">
      <c r="A40" s="2">
        <v>1</v>
      </c>
      <c r="B40" s="2">
        <v>6.73</v>
      </c>
      <c r="C40" s="2">
        <f t="shared" si="0"/>
        <v>7.6418370000000007</v>
      </c>
      <c r="D40" s="2">
        <f t="shared" si="1"/>
        <v>6.6418370000000007</v>
      </c>
      <c r="E40" s="2">
        <f t="shared" si="4"/>
        <v>3.9618060312530705</v>
      </c>
      <c r="F40" s="11">
        <v>13.3</v>
      </c>
      <c r="G40" s="2">
        <f>G39+5</f>
        <v>328</v>
      </c>
      <c r="H40" s="2">
        <f t="shared" si="5"/>
        <v>1.6666666666666666E-2</v>
      </c>
      <c r="I40">
        <v>220</v>
      </c>
    </row>
    <row r="41" spans="1:13" x14ac:dyDescent="0.3">
      <c r="A41" s="2">
        <v>1</v>
      </c>
      <c r="B41" s="2">
        <v>6.78</v>
      </c>
      <c r="C41" s="2">
        <f t="shared" si="0"/>
        <v>7.6911820000000004</v>
      </c>
      <c r="D41" s="2">
        <f t="shared" si="1"/>
        <v>6.6911820000000004</v>
      </c>
      <c r="E41" s="2">
        <f t="shared" si="4"/>
        <v>3.9325891726155109</v>
      </c>
      <c r="F41" s="11">
        <v>13.34</v>
      </c>
      <c r="G41" s="2">
        <f>G40+4</f>
        <v>332</v>
      </c>
      <c r="H41" s="2">
        <f t="shared" si="5"/>
        <v>1.6666666666666666E-2</v>
      </c>
      <c r="I41">
        <v>220</v>
      </c>
    </row>
    <row r="42" spans="1:13" x14ac:dyDescent="0.3">
      <c r="A42" s="2">
        <v>1</v>
      </c>
      <c r="B42" s="2">
        <v>6.8</v>
      </c>
      <c r="C42" s="2">
        <f t="shared" si="0"/>
        <v>7.7109199999999998</v>
      </c>
      <c r="D42" s="2">
        <f t="shared" si="1"/>
        <v>6.7109199999999998</v>
      </c>
      <c r="E42" s="2">
        <f t="shared" si="4"/>
        <v>3.9210227338725252</v>
      </c>
      <c r="F42" s="11">
        <v>13.39</v>
      </c>
      <c r="G42" s="2">
        <v>337</v>
      </c>
      <c r="H42" s="2">
        <f t="shared" si="5"/>
        <v>1.6666666666666666E-2</v>
      </c>
      <c r="I42">
        <v>220</v>
      </c>
    </row>
    <row r="43" spans="1:13" x14ac:dyDescent="0.3">
      <c r="A43" s="2">
        <v>1</v>
      </c>
      <c r="B43" s="2">
        <v>6.76</v>
      </c>
      <c r="C43" s="2">
        <f t="shared" si="0"/>
        <v>7.6714440000000002</v>
      </c>
      <c r="D43" s="2">
        <f t="shared" si="1"/>
        <v>6.6714440000000002</v>
      </c>
      <c r="E43" s="2">
        <f t="shared" si="4"/>
        <v>3.9442240518244334</v>
      </c>
      <c r="F43" s="11">
        <v>13.42</v>
      </c>
      <c r="G43" s="2">
        <v>340</v>
      </c>
      <c r="H43" s="2">
        <f t="shared" si="5"/>
        <v>1.6666666666666666E-2</v>
      </c>
      <c r="I43">
        <v>220</v>
      </c>
    </row>
    <row r="44" spans="1:13" x14ac:dyDescent="0.3">
      <c r="A44" s="4">
        <v>1.5</v>
      </c>
      <c r="B44" s="4">
        <v>9.1</v>
      </c>
      <c r="C44" s="4">
        <f t="shared" si="0"/>
        <v>9.9807899999999989</v>
      </c>
      <c r="D44" s="4">
        <f t="shared" si="1"/>
        <v>8.9807899999999989</v>
      </c>
      <c r="E44" s="4">
        <f t="shared" si="4"/>
        <v>4.3949925148900828</v>
      </c>
      <c r="F44" s="3">
        <v>13.43</v>
      </c>
      <c r="G44" s="4">
        <v>0</v>
      </c>
      <c r="H44" s="4">
        <f t="shared" si="5"/>
        <v>2.5000000000000001E-2</v>
      </c>
      <c r="I44">
        <v>220</v>
      </c>
    </row>
    <row r="45" spans="1:13" x14ac:dyDescent="0.3">
      <c r="A45" s="4">
        <v>1.5</v>
      </c>
      <c r="B45" s="4">
        <v>9.1999999999999993</v>
      </c>
      <c r="C45" s="4">
        <f t="shared" si="0"/>
        <v>10.079479999999998</v>
      </c>
      <c r="D45" s="4">
        <f t="shared" si="1"/>
        <v>9.0794799999999984</v>
      </c>
      <c r="E45" s="4">
        <f t="shared" si="4"/>
        <v>4.347220857119539</v>
      </c>
      <c r="F45" s="3">
        <v>13.45</v>
      </c>
      <c r="G45">
        <v>2</v>
      </c>
      <c r="H45" s="4">
        <f t="shared" si="5"/>
        <v>2.5000000000000001E-2</v>
      </c>
      <c r="I45">
        <v>220</v>
      </c>
    </row>
    <row r="46" spans="1:13" x14ac:dyDescent="0.3">
      <c r="A46" s="4">
        <v>1.5</v>
      </c>
      <c r="B46" s="4">
        <v>9.5</v>
      </c>
      <c r="C46" s="4">
        <f t="shared" si="0"/>
        <v>10.37555</v>
      </c>
      <c r="D46" s="4">
        <f t="shared" si="1"/>
        <v>9.3755500000000005</v>
      </c>
      <c r="E46" s="4">
        <f t="shared" si="4"/>
        <v>4.2099401984736575</v>
      </c>
      <c r="F46" s="3">
        <v>13.51</v>
      </c>
      <c r="G46" s="4">
        <v>8</v>
      </c>
      <c r="H46" s="4">
        <f t="shared" si="5"/>
        <v>2.5000000000000001E-2</v>
      </c>
      <c r="I46">
        <v>220</v>
      </c>
    </row>
    <row r="47" spans="1:13" x14ac:dyDescent="0.3">
      <c r="A47" s="4">
        <v>1.5</v>
      </c>
      <c r="B47" s="4">
        <v>9.48</v>
      </c>
      <c r="C47" s="4">
        <f t="shared" si="0"/>
        <v>10.355812</v>
      </c>
      <c r="D47" s="4">
        <f t="shared" si="1"/>
        <v>9.3558120000000002</v>
      </c>
      <c r="E47" s="4">
        <f t="shared" si="4"/>
        <v>4.2188219288501845</v>
      </c>
      <c r="F47" s="3">
        <v>13.55</v>
      </c>
      <c r="G47" s="4">
        <v>12</v>
      </c>
      <c r="H47" s="4">
        <f t="shared" si="5"/>
        <v>2.5000000000000001E-2</v>
      </c>
      <c r="I47">
        <v>220</v>
      </c>
    </row>
    <row r="48" spans="1:13" x14ac:dyDescent="0.3">
      <c r="A48" s="4">
        <v>1.5</v>
      </c>
      <c r="B48" s="4">
        <v>9.43</v>
      </c>
      <c r="C48" s="4">
        <f t="shared" si="0"/>
        <v>10.306467</v>
      </c>
      <c r="D48" s="4">
        <f t="shared" si="1"/>
        <v>9.3064669999999996</v>
      </c>
      <c r="E48" s="4">
        <f t="shared" si="4"/>
        <v>4.2411910801166233</v>
      </c>
      <c r="F48" s="3">
        <v>14.27</v>
      </c>
      <c r="G48">
        <f>G47+55-27</f>
        <v>40</v>
      </c>
      <c r="H48" s="4">
        <f t="shared" si="5"/>
        <v>2.5000000000000001E-2</v>
      </c>
      <c r="I48">
        <v>220</v>
      </c>
    </row>
    <row r="49" spans="1:9" x14ac:dyDescent="0.3">
      <c r="A49" s="4">
        <v>1.5</v>
      </c>
      <c r="B49" s="4">
        <v>9.44</v>
      </c>
      <c r="C49" s="4">
        <f t="shared" si="0"/>
        <v>10.316336</v>
      </c>
      <c r="D49" s="4">
        <f t="shared" si="1"/>
        <v>9.3163359999999997</v>
      </c>
      <c r="E49" s="4">
        <f t="shared" si="4"/>
        <v>4.2366982929554817</v>
      </c>
      <c r="F49" s="3">
        <v>14.32</v>
      </c>
      <c r="G49">
        <v>45</v>
      </c>
      <c r="H49" s="4">
        <f t="shared" si="5"/>
        <v>2.5000000000000001E-2</v>
      </c>
      <c r="I49">
        <v>220</v>
      </c>
    </row>
    <row r="50" spans="1:9" x14ac:dyDescent="0.3">
      <c r="A50" s="4">
        <v>1.5</v>
      </c>
      <c r="B50" s="4">
        <v>9.51</v>
      </c>
      <c r="C50" s="4">
        <f t="shared" si="0"/>
        <v>10.385419000000001</v>
      </c>
      <c r="D50" s="4">
        <f t="shared" si="1"/>
        <v>9.3854190000000006</v>
      </c>
      <c r="E50" s="4">
        <f t="shared" si="4"/>
        <v>4.2055133423238429</v>
      </c>
      <c r="F50" s="3">
        <v>14.37</v>
      </c>
      <c r="G50">
        <v>50</v>
      </c>
      <c r="H50" s="4">
        <f t="shared" si="5"/>
        <v>2.5000000000000001E-2</v>
      </c>
      <c r="I50">
        <v>220</v>
      </c>
    </row>
    <row r="51" spans="1:9" x14ac:dyDescent="0.3">
      <c r="A51" s="4">
        <v>1.5</v>
      </c>
      <c r="B51" s="4">
        <v>9.5399999999999991</v>
      </c>
      <c r="C51" s="4">
        <f t="shared" si="0"/>
        <v>10.415025999999999</v>
      </c>
      <c r="D51" s="4">
        <f t="shared" si="1"/>
        <v>9.4150259999999992</v>
      </c>
      <c r="E51" s="4">
        <f t="shared" si="4"/>
        <v>4.1922884575995552</v>
      </c>
      <c r="F51" s="3">
        <v>14.42</v>
      </c>
      <c r="G51">
        <v>55</v>
      </c>
      <c r="H51" s="4">
        <f t="shared" si="5"/>
        <v>2.5000000000000001E-2</v>
      </c>
      <c r="I51">
        <v>220</v>
      </c>
    </row>
    <row r="52" spans="1:9" x14ac:dyDescent="0.3">
      <c r="A52" s="4">
        <v>1.5</v>
      </c>
      <c r="B52" s="4">
        <v>9.57</v>
      </c>
      <c r="C52" s="4">
        <f t="shared" si="0"/>
        <v>10.444633</v>
      </c>
      <c r="D52" s="4">
        <f t="shared" si="1"/>
        <v>9.4446329999999996</v>
      </c>
      <c r="E52" s="4">
        <f t="shared" si="4"/>
        <v>4.1791464875130355</v>
      </c>
      <c r="F52" s="3">
        <v>14.46</v>
      </c>
      <c r="G52">
        <v>59</v>
      </c>
      <c r="H52" s="4">
        <f t="shared" si="5"/>
        <v>2.5000000000000001E-2</v>
      </c>
      <c r="I52">
        <v>220</v>
      </c>
    </row>
    <row r="53" spans="1:9" x14ac:dyDescent="0.3">
      <c r="A53" s="4">
        <v>1.5</v>
      </c>
      <c r="B53" s="4">
        <v>9.6</v>
      </c>
      <c r="C53" s="4">
        <f t="shared" si="0"/>
        <v>10.47424</v>
      </c>
      <c r="D53" s="4">
        <f t="shared" si="1"/>
        <v>9.47424</v>
      </c>
      <c r="E53" s="4">
        <f t="shared" si="4"/>
        <v>4.1660866547395576</v>
      </c>
      <c r="F53" s="3">
        <v>14.51</v>
      </c>
      <c r="G53">
        <v>64</v>
      </c>
      <c r="H53" s="4">
        <f t="shared" si="5"/>
        <v>2.5000000000000001E-2</v>
      </c>
      <c r="I53">
        <v>220</v>
      </c>
    </row>
    <row r="54" spans="1:9" x14ac:dyDescent="0.3">
      <c r="A54" s="4">
        <v>1.5</v>
      </c>
      <c r="B54" s="4">
        <v>9.59</v>
      </c>
      <c r="C54" s="4">
        <f t="shared" si="0"/>
        <v>10.464371</v>
      </c>
      <c r="D54" s="4">
        <f t="shared" si="1"/>
        <v>9.4643709999999999</v>
      </c>
      <c r="E54" s="4">
        <f t="shared" si="4"/>
        <v>4.1704308535453336</v>
      </c>
      <c r="F54" s="3">
        <v>14.55</v>
      </c>
      <c r="G54">
        <v>68</v>
      </c>
      <c r="H54" s="4">
        <f t="shared" si="5"/>
        <v>2.5000000000000001E-2</v>
      </c>
      <c r="I54">
        <v>220</v>
      </c>
    </row>
    <row r="55" spans="1:9" x14ac:dyDescent="0.3">
      <c r="A55" s="4">
        <v>1.5</v>
      </c>
      <c r="B55" s="4">
        <v>9.6199999999999992</v>
      </c>
      <c r="C55" s="4">
        <f t="shared" si="0"/>
        <v>10.493977999999998</v>
      </c>
      <c r="D55" s="4">
        <f t="shared" si="1"/>
        <v>9.4939779999999985</v>
      </c>
      <c r="E55" s="4">
        <f t="shared" si="4"/>
        <v>4.1574253519230515</v>
      </c>
      <c r="F55" s="3">
        <v>14.58</v>
      </c>
      <c r="G55">
        <v>71</v>
      </c>
      <c r="H55" s="4">
        <f t="shared" si="5"/>
        <v>2.5000000000000001E-2</v>
      </c>
      <c r="I55">
        <v>220</v>
      </c>
    </row>
    <row r="56" spans="1:9" x14ac:dyDescent="0.3">
      <c r="A56" s="4">
        <v>1.5</v>
      </c>
      <c r="B56" s="4">
        <v>9.64</v>
      </c>
      <c r="C56" s="4">
        <f t="shared" si="0"/>
        <v>10.513716000000001</v>
      </c>
      <c r="D56" s="4">
        <f t="shared" si="1"/>
        <v>9.5137160000000005</v>
      </c>
      <c r="E56" s="4">
        <f t="shared" si="4"/>
        <v>4.1487999881223807</v>
      </c>
      <c r="F56" s="3">
        <v>15</v>
      </c>
      <c r="G56">
        <v>73</v>
      </c>
      <c r="H56" s="4">
        <f t="shared" si="5"/>
        <v>2.5000000000000001E-2</v>
      </c>
      <c r="I56">
        <v>220</v>
      </c>
    </row>
    <row r="57" spans="1:9" x14ac:dyDescent="0.3">
      <c r="A57" s="4">
        <v>1.5</v>
      </c>
      <c r="B57" s="4">
        <v>9.68</v>
      </c>
      <c r="C57" s="4">
        <f t="shared" si="0"/>
        <v>10.553191999999999</v>
      </c>
      <c r="D57" s="4">
        <f t="shared" si="1"/>
        <v>9.5531919999999992</v>
      </c>
      <c r="E57" s="4">
        <f t="shared" si="4"/>
        <v>4.131656186518569</v>
      </c>
      <c r="F57" s="3">
        <v>15.05</v>
      </c>
      <c r="G57">
        <v>78</v>
      </c>
      <c r="H57" s="4">
        <f t="shared" si="5"/>
        <v>2.5000000000000001E-2</v>
      </c>
      <c r="I57">
        <v>220</v>
      </c>
    </row>
    <row r="58" spans="1:9" x14ac:dyDescent="0.3">
      <c r="A58" s="4">
        <v>1.5</v>
      </c>
      <c r="B58" s="4">
        <v>9.67</v>
      </c>
      <c r="C58" s="4">
        <f t="shared" si="0"/>
        <v>10.543322999999999</v>
      </c>
      <c r="D58" s="4">
        <f t="shared" si="1"/>
        <v>9.5433229999999991</v>
      </c>
      <c r="E58" s="4">
        <f t="shared" si="4"/>
        <v>4.1359288402791883</v>
      </c>
      <c r="F58" s="3">
        <v>15.1</v>
      </c>
      <c r="G58">
        <v>83</v>
      </c>
      <c r="H58" s="4">
        <f t="shared" si="5"/>
        <v>2.5000000000000001E-2</v>
      </c>
      <c r="I58">
        <v>220</v>
      </c>
    </row>
    <row r="59" spans="1:9" x14ac:dyDescent="0.3">
      <c r="A59" s="4">
        <v>1.5</v>
      </c>
      <c r="B59" s="4">
        <v>9.74</v>
      </c>
      <c r="C59" s="4">
        <f t="shared" si="0"/>
        <v>10.612406</v>
      </c>
      <c r="D59" s="4">
        <f t="shared" si="1"/>
        <v>9.612406</v>
      </c>
      <c r="E59" s="4">
        <f t="shared" si="4"/>
        <v>4.106204505698126</v>
      </c>
      <c r="F59" s="3">
        <v>15.12</v>
      </c>
      <c r="G59">
        <v>85</v>
      </c>
      <c r="H59" s="4">
        <f t="shared" si="5"/>
        <v>2.5000000000000001E-2</v>
      </c>
      <c r="I59">
        <v>220</v>
      </c>
    </row>
    <row r="60" spans="1:9" x14ac:dyDescent="0.3">
      <c r="A60" s="4">
        <v>1.5</v>
      </c>
      <c r="B60" s="4">
        <v>9.7100000000000009</v>
      </c>
      <c r="C60" s="4">
        <f t="shared" si="0"/>
        <v>10.582799000000001</v>
      </c>
      <c r="D60" s="4">
        <f t="shared" si="1"/>
        <v>9.5827990000000014</v>
      </c>
      <c r="E60" s="4">
        <f t="shared" si="4"/>
        <v>4.1188910283727855</v>
      </c>
      <c r="F60" s="3">
        <v>15.14</v>
      </c>
      <c r="G60">
        <v>87</v>
      </c>
      <c r="H60" s="4">
        <f t="shared" si="5"/>
        <v>2.5000000000000001E-2</v>
      </c>
      <c r="I60">
        <v>220</v>
      </c>
    </row>
    <row r="61" spans="1:9" x14ac:dyDescent="0.3">
      <c r="A61" s="4">
        <v>1.5</v>
      </c>
      <c r="B61" s="4">
        <v>9.69</v>
      </c>
      <c r="C61" s="4">
        <f t="shared" si="0"/>
        <v>10.563060999999999</v>
      </c>
      <c r="D61" s="4">
        <f t="shared" si="1"/>
        <v>9.5630609999999994</v>
      </c>
      <c r="E61" s="4">
        <f t="shared" si="4"/>
        <v>4.1273923514447626</v>
      </c>
      <c r="F61" s="3">
        <v>15.16</v>
      </c>
      <c r="G61">
        <v>89</v>
      </c>
      <c r="H61" s="4">
        <f t="shared" si="5"/>
        <v>2.5000000000000001E-2</v>
      </c>
      <c r="I61">
        <v>220</v>
      </c>
    </row>
    <row r="62" spans="1:9" x14ac:dyDescent="0.3">
      <c r="A62" s="4">
        <v>1.5</v>
      </c>
      <c r="B62" s="4">
        <v>9.84</v>
      </c>
      <c r="C62" s="4">
        <f t="shared" si="0"/>
        <v>10.711096</v>
      </c>
      <c r="D62" s="4">
        <f t="shared" si="1"/>
        <v>9.7110959999999995</v>
      </c>
      <c r="E62" s="4">
        <f t="shared" si="4"/>
        <v>4.0644747851117637</v>
      </c>
      <c r="F62" s="3">
        <v>16.22</v>
      </c>
      <c r="G62">
        <v>90</v>
      </c>
      <c r="H62" s="4">
        <f t="shared" si="5"/>
        <v>2.5000000000000001E-2</v>
      </c>
      <c r="I62">
        <v>220</v>
      </c>
    </row>
    <row r="63" spans="1:9" x14ac:dyDescent="0.3">
      <c r="A63" s="4">
        <v>1.5</v>
      </c>
      <c r="B63" s="4">
        <v>9.9700000000000006</v>
      </c>
      <c r="C63" s="4">
        <f t="shared" si="0"/>
        <v>10.839393000000001</v>
      </c>
      <c r="D63" s="4">
        <f t="shared" si="1"/>
        <v>9.8393930000000012</v>
      </c>
      <c r="E63" s="4">
        <f t="shared" si="4"/>
        <v>4.0114776214142172</v>
      </c>
      <c r="F63" s="3">
        <v>16.25</v>
      </c>
      <c r="G63">
        <v>93</v>
      </c>
      <c r="H63" s="4">
        <f t="shared" si="5"/>
        <v>2.5000000000000001E-2</v>
      </c>
      <c r="I63">
        <v>220</v>
      </c>
    </row>
    <row r="64" spans="1:9" x14ac:dyDescent="0.3">
      <c r="A64" s="4">
        <v>1.5</v>
      </c>
      <c r="B64" s="4">
        <v>9.98</v>
      </c>
      <c r="C64" s="4">
        <f t="shared" si="0"/>
        <v>10.849262000000001</v>
      </c>
      <c r="D64" s="4">
        <f t="shared" si="1"/>
        <v>9.8492620000000013</v>
      </c>
      <c r="E64" s="4">
        <f t="shared" si="4"/>
        <v>4.0074581047594933</v>
      </c>
      <c r="F64" s="3">
        <v>16.3</v>
      </c>
      <c r="G64">
        <v>98</v>
      </c>
      <c r="H64" s="4">
        <f t="shared" si="5"/>
        <v>2.5000000000000001E-2</v>
      </c>
      <c r="I64">
        <v>220</v>
      </c>
    </row>
    <row r="65" spans="1:9" x14ac:dyDescent="0.3">
      <c r="A65" s="4">
        <v>1.5</v>
      </c>
      <c r="B65" s="4">
        <v>10.039999999999999</v>
      </c>
      <c r="C65" s="4">
        <f t="shared" si="0"/>
        <v>10.908475999999999</v>
      </c>
      <c r="D65" s="4">
        <f t="shared" si="1"/>
        <v>9.9084759999999985</v>
      </c>
      <c r="E65" s="4">
        <f t="shared" si="4"/>
        <v>3.983509151942207</v>
      </c>
      <c r="F65" s="3">
        <v>16.329999999999998</v>
      </c>
      <c r="G65">
        <v>101</v>
      </c>
      <c r="H65" s="4">
        <f t="shared" si="5"/>
        <v>2.5000000000000001E-2</v>
      </c>
      <c r="I65">
        <v>220</v>
      </c>
    </row>
    <row r="66" spans="1:9" x14ac:dyDescent="0.3">
      <c r="A66" s="4">
        <v>1.5</v>
      </c>
      <c r="B66" s="4">
        <v>10.11</v>
      </c>
      <c r="C66" s="4">
        <f t="shared" si="0"/>
        <v>10.977558999999999</v>
      </c>
      <c r="D66" s="4">
        <f t="shared" si="1"/>
        <v>9.9775589999999994</v>
      </c>
      <c r="E66" s="4">
        <f t="shared" si="4"/>
        <v>3.9559279807615977</v>
      </c>
      <c r="F66" s="3">
        <v>16.350000000000001</v>
      </c>
      <c r="G66">
        <v>103</v>
      </c>
      <c r="H66" s="4">
        <f t="shared" si="5"/>
        <v>2.5000000000000001E-2</v>
      </c>
      <c r="I66">
        <v>220</v>
      </c>
    </row>
    <row r="67" spans="1:9" x14ac:dyDescent="0.3">
      <c r="A67" s="4">
        <v>0.5</v>
      </c>
      <c r="B67" s="4">
        <v>5.55</v>
      </c>
      <c r="C67" s="4">
        <f t="shared" si="0"/>
        <v>6.4772949999999998</v>
      </c>
      <c r="D67" s="4">
        <f t="shared" si="1"/>
        <v>5.4772949999999998</v>
      </c>
      <c r="E67" s="4">
        <f t="shared" ref="E67:E79" si="6">(1000*H67*1*8)/(PI()*(2.54^2)/4*D67)</f>
        <v>2.4020679811110961</v>
      </c>
      <c r="F67" s="3">
        <v>11.7</v>
      </c>
      <c r="G67">
        <v>0</v>
      </c>
      <c r="H67" s="4">
        <f t="shared" si="5"/>
        <v>8.3333333333333332E-3</v>
      </c>
      <c r="I67">
        <v>220</v>
      </c>
    </row>
    <row r="68" spans="1:9" x14ac:dyDescent="0.3">
      <c r="A68" s="4">
        <v>0.5</v>
      </c>
      <c r="B68" s="4">
        <v>4.33</v>
      </c>
      <c r="C68" s="4">
        <f t="shared" si="0"/>
        <v>5.2732770000000002</v>
      </c>
      <c r="D68" s="4">
        <f t="shared" si="1"/>
        <v>4.2732770000000002</v>
      </c>
      <c r="E68" s="12">
        <f t="shared" si="6"/>
        <v>3.0788631166666476</v>
      </c>
      <c r="F68" s="3">
        <v>11.1</v>
      </c>
      <c r="G68">
        <v>3</v>
      </c>
      <c r="H68" s="4">
        <f>A68/60</f>
        <v>8.3333333333333332E-3</v>
      </c>
      <c r="I68">
        <v>220</v>
      </c>
    </row>
    <row r="69" spans="1:9" x14ac:dyDescent="0.3">
      <c r="A69" s="4">
        <v>0.5</v>
      </c>
      <c r="B69" s="4">
        <v>4.17</v>
      </c>
      <c r="C69" s="4">
        <f t="shared" si="0"/>
        <v>5.1153729999999999</v>
      </c>
      <c r="D69" s="4">
        <f t="shared" si="1"/>
        <v>4.1153729999999999</v>
      </c>
      <c r="E69" s="4">
        <f t="shared" si="6"/>
        <v>3.1969969532773583</v>
      </c>
      <c r="F69" s="3">
        <v>11.13</v>
      </c>
      <c r="G69">
        <v>6</v>
      </c>
      <c r="H69" s="4">
        <f t="shared" si="5"/>
        <v>8.3333333333333332E-3</v>
      </c>
      <c r="I69">
        <v>220</v>
      </c>
    </row>
    <row r="70" spans="1:9" x14ac:dyDescent="0.3">
      <c r="A70" s="4">
        <v>0.5</v>
      </c>
      <c r="B70" s="4">
        <v>4.24</v>
      </c>
      <c r="C70" s="4">
        <f t="shared" si="0"/>
        <v>5.184456</v>
      </c>
      <c r="D70" s="4">
        <f t="shared" si="1"/>
        <v>4.184456</v>
      </c>
      <c r="E70" s="4">
        <f t="shared" si="6"/>
        <v>3.1442163431996666</v>
      </c>
      <c r="F70" s="3">
        <v>11.19</v>
      </c>
      <c r="G70">
        <v>12</v>
      </c>
      <c r="H70" s="4">
        <f t="shared" si="5"/>
        <v>8.3333333333333332E-3</v>
      </c>
      <c r="I70">
        <v>220</v>
      </c>
    </row>
    <row r="71" spans="1:9" x14ac:dyDescent="0.3">
      <c r="A71" s="4">
        <v>0.5</v>
      </c>
      <c r="B71" s="4">
        <v>4.3099999999999996</v>
      </c>
      <c r="C71" s="4">
        <f t="shared" si="0"/>
        <v>5.253539</v>
      </c>
      <c r="D71" s="4">
        <f t="shared" si="1"/>
        <v>4.253539</v>
      </c>
      <c r="E71" s="4">
        <f t="shared" si="6"/>
        <v>3.0931501844934068</v>
      </c>
      <c r="F71" s="3">
        <v>11.21</v>
      </c>
      <c r="G71">
        <v>14</v>
      </c>
      <c r="H71" s="4">
        <f t="shared" si="5"/>
        <v>8.3333333333333332E-3</v>
      </c>
      <c r="I71">
        <v>220</v>
      </c>
    </row>
    <row r="72" spans="1:9" x14ac:dyDescent="0.3">
      <c r="A72" s="4">
        <v>0.5</v>
      </c>
      <c r="B72" s="4">
        <v>4.3499999999999996</v>
      </c>
      <c r="C72" s="4">
        <f t="shared" si="0"/>
        <v>5.2930149999999996</v>
      </c>
      <c r="D72" s="4">
        <f t="shared" si="1"/>
        <v>4.2930149999999996</v>
      </c>
      <c r="E72" s="4">
        <f t="shared" si="6"/>
        <v>3.0647074241762269</v>
      </c>
      <c r="F72" s="3">
        <v>11.36</v>
      </c>
      <c r="G72">
        <v>29</v>
      </c>
      <c r="H72" s="4">
        <f t="shared" si="5"/>
        <v>8.3333333333333332E-3</v>
      </c>
      <c r="I72">
        <v>220</v>
      </c>
    </row>
    <row r="73" spans="1:9" x14ac:dyDescent="0.3">
      <c r="A73" s="4">
        <v>0.5</v>
      </c>
      <c r="B73" s="4">
        <v>4.41</v>
      </c>
      <c r="C73" s="4">
        <f t="shared" si="0"/>
        <v>5.3522290000000003</v>
      </c>
      <c r="D73" s="4">
        <f t="shared" si="1"/>
        <v>4.3522290000000003</v>
      </c>
      <c r="E73" s="4">
        <f t="shared" si="6"/>
        <v>3.0230107245275697</v>
      </c>
      <c r="F73" s="3">
        <v>11.43</v>
      </c>
      <c r="G73">
        <f>29+7</f>
        <v>36</v>
      </c>
      <c r="H73" s="4">
        <f t="shared" si="5"/>
        <v>8.3333333333333332E-3</v>
      </c>
      <c r="I73">
        <v>220</v>
      </c>
    </row>
    <row r="74" spans="1:9" x14ac:dyDescent="0.3">
      <c r="A74" s="4">
        <v>0.5</v>
      </c>
      <c r="B74" s="4">
        <v>4.43</v>
      </c>
      <c r="C74" s="4">
        <f t="shared" si="0"/>
        <v>5.3719669999999997</v>
      </c>
      <c r="D74" s="4">
        <f t="shared" si="1"/>
        <v>4.3719669999999997</v>
      </c>
      <c r="E74" s="4">
        <f t="shared" si="6"/>
        <v>3.0093628205793648</v>
      </c>
      <c r="F74" s="3">
        <v>11.57</v>
      </c>
      <c r="G74">
        <f>36+14</f>
        <v>50</v>
      </c>
      <c r="H74" s="4">
        <f t="shared" si="5"/>
        <v>8.3333333333333332E-3</v>
      </c>
      <c r="I74">
        <v>220</v>
      </c>
    </row>
    <row r="75" spans="1:9" x14ac:dyDescent="0.3">
      <c r="A75" s="4">
        <v>0.5</v>
      </c>
      <c r="B75" s="4">
        <v>4.46</v>
      </c>
      <c r="C75" s="4">
        <f t="shared" si="0"/>
        <v>5.4015740000000001</v>
      </c>
      <c r="D75" s="4">
        <f t="shared" si="1"/>
        <v>4.4015740000000001</v>
      </c>
      <c r="E75" s="4">
        <f t="shared" si="6"/>
        <v>2.989120469768292</v>
      </c>
      <c r="F75" s="3">
        <v>12.02</v>
      </c>
      <c r="G75">
        <v>55</v>
      </c>
      <c r="H75" s="4">
        <f t="shared" si="5"/>
        <v>8.3333333333333332E-3</v>
      </c>
      <c r="I75">
        <v>220</v>
      </c>
    </row>
    <row r="76" spans="1:9" x14ac:dyDescent="0.3">
      <c r="A76" s="4">
        <v>0.5</v>
      </c>
      <c r="B76" s="4">
        <v>4.46</v>
      </c>
      <c r="C76" s="4">
        <f t="shared" si="0"/>
        <v>5.4015740000000001</v>
      </c>
      <c r="D76" s="4">
        <f t="shared" si="1"/>
        <v>4.4015740000000001</v>
      </c>
      <c r="E76" s="4">
        <f t="shared" si="6"/>
        <v>2.989120469768292</v>
      </c>
      <c r="F76" s="3">
        <v>12.12</v>
      </c>
      <c r="G76">
        <v>65</v>
      </c>
      <c r="H76" s="4">
        <f t="shared" si="5"/>
        <v>8.3333333333333332E-3</v>
      </c>
      <c r="I76">
        <v>220</v>
      </c>
    </row>
    <row r="77" spans="1:9" x14ac:dyDescent="0.3">
      <c r="A77" s="4">
        <v>0.5</v>
      </c>
      <c r="B77" s="4">
        <v>4.47</v>
      </c>
      <c r="C77" s="4">
        <f t="shared" si="0"/>
        <v>5.4114429999999993</v>
      </c>
      <c r="D77" s="4">
        <f t="shared" si="1"/>
        <v>4.4114429999999993</v>
      </c>
      <c r="E77" s="4">
        <f t="shared" si="6"/>
        <v>2.9824333993661267</v>
      </c>
      <c r="F77" s="3">
        <v>12.2</v>
      </c>
      <c r="G77">
        <v>73</v>
      </c>
      <c r="H77" s="4">
        <f t="shared" si="5"/>
        <v>8.3333333333333332E-3</v>
      </c>
      <c r="I77">
        <v>220</v>
      </c>
    </row>
    <row r="78" spans="1:9" x14ac:dyDescent="0.3">
      <c r="A78" s="4">
        <v>0.5</v>
      </c>
      <c r="B78" s="4">
        <v>4.5</v>
      </c>
      <c r="C78" s="4">
        <f t="shared" si="0"/>
        <v>5.4410499999999997</v>
      </c>
      <c r="D78" s="4">
        <f t="shared" si="1"/>
        <v>4.4410499999999997</v>
      </c>
      <c r="E78" s="4">
        <f t="shared" si="6"/>
        <v>2.9625505100370191</v>
      </c>
      <c r="F78" s="3">
        <v>12.23</v>
      </c>
      <c r="G78">
        <v>76</v>
      </c>
      <c r="H78" s="4">
        <f t="shared" si="5"/>
        <v>8.3333333333333332E-3</v>
      </c>
      <c r="I78">
        <v>220</v>
      </c>
    </row>
    <row r="79" spans="1:9" x14ac:dyDescent="0.3">
      <c r="A79" s="4">
        <v>0.5</v>
      </c>
      <c r="B79" s="4">
        <v>4.49</v>
      </c>
      <c r="C79" s="4">
        <f t="shared" si="0"/>
        <v>5.4311810000000005</v>
      </c>
      <c r="D79" s="4">
        <f t="shared" si="1"/>
        <v>4.4311810000000005</v>
      </c>
      <c r="E79" s="4">
        <f t="shared" si="6"/>
        <v>2.96914861807719</v>
      </c>
      <c r="F79" s="3">
        <v>12.31</v>
      </c>
      <c r="G79">
        <f>G78+8</f>
        <v>84</v>
      </c>
      <c r="H79" s="4">
        <f t="shared" si="5"/>
        <v>8.3333333333333332E-3</v>
      </c>
      <c r="I79">
        <v>220</v>
      </c>
    </row>
    <row r="80" spans="1:9" x14ac:dyDescent="0.3">
      <c r="A80" s="4">
        <v>0.5</v>
      </c>
      <c r="B80" s="4">
        <v>4.5199999999999996</v>
      </c>
      <c r="C80" s="4">
        <f t="shared" si="0"/>
        <v>5.460788</v>
      </c>
      <c r="D80" s="4">
        <f t="shared" si="1"/>
        <v>4.460788</v>
      </c>
      <c r="E80" s="4">
        <f t="shared" ref="E80:E122" si="7">(1000*H80*1*8)/(PI()*(2.54^2)/4*D80)</f>
        <v>2.9494418794616335</v>
      </c>
      <c r="F80" s="3">
        <v>12.37</v>
      </c>
      <c r="G80">
        <f>G79+6</f>
        <v>90</v>
      </c>
      <c r="H80" s="4">
        <f t="shared" si="5"/>
        <v>8.3333333333333332E-3</v>
      </c>
      <c r="I80">
        <v>220</v>
      </c>
    </row>
    <row r="81" spans="1:9" x14ac:dyDescent="0.3">
      <c r="A81" s="4">
        <v>0.5</v>
      </c>
      <c r="B81" s="4">
        <v>4.54</v>
      </c>
      <c r="C81" s="4">
        <f t="shared" si="0"/>
        <v>5.4805260000000002</v>
      </c>
      <c r="D81" s="4">
        <f t="shared" si="1"/>
        <v>4.4805260000000002</v>
      </c>
      <c r="E81" s="4">
        <f t="shared" si="7"/>
        <v>2.9364487434287629</v>
      </c>
      <c r="F81" s="3">
        <v>12.49</v>
      </c>
      <c r="G81">
        <f>G80+12</f>
        <v>102</v>
      </c>
      <c r="H81" s="4">
        <f t="shared" si="5"/>
        <v>8.3333333333333332E-3</v>
      </c>
      <c r="I81">
        <v>220</v>
      </c>
    </row>
    <row r="82" spans="1:9" x14ac:dyDescent="0.3">
      <c r="A82" s="4">
        <v>0.5</v>
      </c>
      <c r="B82" s="4">
        <v>4.53</v>
      </c>
      <c r="C82" s="4">
        <f t="shared" si="0"/>
        <v>5.4706570000000001</v>
      </c>
      <c r="D82" s="4">
        <f t="shared" si="1"/>
        <v>4.4706570000000001</v>
      </c>
      <c r="E82" s="4">
        <f t="shared" si="7"/>
        <v>2.9429309702354489</v>
      </c>
      <c r="F82" s="3">
        <v>12.57</v>
      </c>
      <c r="G82">
        <f>G81+57-49</f>
        <v>110</v>
      </c>
      <c r="H82" s="4">
        <f t="shared" si="5"/>
        <v>8.3333333333333332E-3</v>
      </c>
      <c r="I82">
        <v>220</v>
      </c>
    </row>
    <row r="83" spans="1:9" x14ac:dyDescent="0.3">
      <c r="A83" s="4">
        <v>0.5</v>
      </c>
      <c r="B83" s="4">
        <v>4.55</v>
      </c>
      <c r="C83" s="4">
        <f t="shared" si="0"/>
        <v>5.4903949999999995</v>
      </c>
      <c r="D83" s="4">
        <f t="shared" si="1"/>
        <v>4.4903949999999995</v>
      </c>
      <c r="E83" s="4">
        <f t="shared" si="7"/>
        <v>2.9299950099267225</v>
      </c>
      <c r="F83" s="3">
        <v>12.04</v>
      </c>
      <c r="G83">
        <v>117</v>
      </c>
      <c r="H83" s="4">
        <f t="shared" si="5"/>
        <v>8.3333333333333332E-3</v>
      </c>
      <c r="I83">
        <v>220</v>
      </c>
    </row>
    <row r="84" spans="1:9" x14ac:dyDescent="0.3">
      <c r="A84" s="4">
        <v>0.5</v>
      </c>
      <c r="B84" s="4">
        <v>4.5199999999999996</v>
      </c>
      <c r="C84" s="4">
        <f t="shared" si="0"/>
        <v>5.460788</v>
      </c>
      <c r="D84" s="4">
        <f t="shared" si="1"/>
        <v>4.460788</v>
      </c>
      <c r="E84" s="4">
        <f t="shared" si="7"/>
        <v>2.9494418794616335</v>
      </c>
      <c r="F84" s="3">
        <v>13.13</v>
      </c>
      <c r="G84">
        <f>G83+60+13-4</f>
        <v>186</v>
      </c>
      <c r="H84" s="4">
        <f>A84/60</f>
        <v>8.3333333333333332E-3</v>
      </c>
      <c r="I84">
        <v>220</v>
      </c>
    </row>
    <row r="85" spans="1:9" x14ac:dyDescent="0.3">
      <c r="A85" s="4">
        <v>0.5</v>
      </c>
      <c r="B85" s="4">
        <v>4.55</v>
      </c>
      <c r="C85" s="4">
        <f t="shared" si="0"/>
        <v>5.4903949999999995</v>
      </c>
      <c r="D85" s="4">
        <f t="shared" si="1"/>
        <v>4.4903949999999995</v>
      </c>
      <c r="E85" s="4">
        <f t="shared" si="7"/>
        <v>2.9299950099267225</v>
      </c>
      <c r="F85" s="3">
        <v>13.19</v>
      </c>
      <c r="G85">
        <f>G84+6</f>
        <v>192</v>
      </c>
      <c r="H85" s="4">
        <f t="shared" si="5"/>
        <v>8.3333333333333332E-3</v>
      </c>
      <c r="I85">
        <v>220</v>
      </c>
    </row>
    <row r="86" spans="1:9" x14ac:dyDescent="0.3">
      <c r="A86" s="4">
        <v>0.5</v>
      </c>
      <c r="B86" s="4">
        <v>4.5599999999999996</v>
      </c>
      <c r="C86" s="4">
        <f t="shared" si="0"/>
        <v>5.5002639999999996</v>
      </c>
      <c r="D86" s="4">
        <f t="shared" si="1"/>
        <v>4.5002639999999996</v>
      </c>
      <c r="E86" s="4">
        <f t="shared" si="7"/>
        <v>2.923569582273374</v>
      </c>
      <c r="F86" s="3">
        <v>13.26</v>
      </c>
      <c r="G86">
        <v>199</v>
      </c>
      <c r="H86" s="4">
        <f t="shared" si="5"/>
        <v>8.3333333333333332E-3</v>
      </c>
      <c r="I86">
        <v>220</v>
      </c>
    </row>
    <row r="87" spans="1:9" x14ac:dyDescent="0.3">
      <c r="A87" s="4">
        <v>0.5</v>
      </c>
      <c r="B87" s="4">
        <v>4.57</v>
      </c>
      <c r="C87" s="4">
        <f t="shared" si="0"/>
        <v>5.5101330000000006</v>
      </c>
      <c r="D87" s="4">
        <f t="shared" si="1"/>
        <v>4.5101330000000006</v>
      </c>
      <c r="E87" s="4">
        <f t="shared" si="7"/>
        <v>2.9171722746535189</v>
      </c>
      <c r="F87" s="3">
        <v>13.27</v>
      </c>
      <c r="G87">
        <v>200</v>
      </c>
      <c r="H87" s="4">
        <f t="shared" si="5"/>
        <v>8.3333333333333332E-3</v>
      </c>
      <c r="I87">
        <v>220</v>
      </c>
    </row>
    <row r="88" spans="1:9" x14ac:dyDescent="0.3">
      <c r="A88" s="4">
        <v>0.5</v>
      </c>
      <c r="B88" s="4">
        <v>4.58</v>
      </c>
      <c r="C88" s="4">
        <f t="shared" si="0"/>
        <v>5.5200019999999999</v>
      </c>
      <c r="D88" s="4">
        <f t="shared" si="1"/>
        <v>4.5200019999999999</v>
      </c>
      <c r="E88" s="4">
        <f t="shared" si="7"/>
        <v>2.9108029028748001</v>
      </c>
      <c r="F88" s="3">
        <v>13.28</v>
      </c>
      <c r="G88">
        <v>201</v>
      </c>
      <c r="H88" s="4">
        <f t="shared" si="5"/>
        <v>8.3333333333333332E-3</v>
      </c>
      <c r="I88">
        <v>220</v>
      </c>
    </row>
    <row r="89" spans="1:9" x14ac:dyDescent="0.3">
      <c r="A89" s="4">
        <v>0.5</v>
      </c>
      <c r="B89" s="4">
        <v>4.55</v>
      </c>
      <c r="C89" s="4">
        <f t="shared" si="0"/>
        <v>5.4903949999999995</v>
      </c>
      <c r="D89" s="4">
        <f t="shared" si="1"/>
        <v>4.4903949999999995</v>
      </c>
      <c r="E89" s="4">
        <f t="shared" si="7"/>
        <v>2.9299950099267225</v>
      </c>
      <c r="F89" s="3">
        <v>13.32</v>
      </c>
      <c r="G89">
        <v>205</v>
      </c>
      <c r="H89" s="4">
        <f t="shared" si="5"/>
        <v>8.3333333333333332E-3</v>
      </c>
      <c r="I89">
        <v>220</v>
      </c>
    </row>
    <row r="90" spans="1:9" x14ac:dyDescent="0.3">
      <c r="A90" s="4">
        <v>0.5</v>
      </c>
      <c r="B90" s="4">
        <v>4.58</v>
      </c>
      <c r="C90" s="4">
        <f t="shared" si="0"/>
        <v>5.5200019999999999</v>
      </c>
      <c r="D90" s="4">
        <f t="shared" si="1"/>
        <v>4.5200019999999999</v>
      </c>
      <c r="E90" s="4">
        <f>(1000*H90*1*8)/(PI()*(2.54^2)/4*D90)</f>
        <v>2.9108029028748001</v>
      </c>
      <c r="F90" s="3">
        <v>13.35</v>
      </c>
      <c r="G90">
        <v>208</v>
      </c>
      <c r="H90" s="4">
        <f t="shared" si="5"/>
        <v>8.3333333333333332E-3</v>
      </c>
      <c r="I90">
        <v>220</v>
      </c>
    </row>
    <row r="91" spans="1:9" x14ac:dyDescent="0.3">
      <c r="A91" s="4">
        <v>0.5</v>
      </c>
      <c r="B91" s="4">
        <v>4.59</v>
      </c>
      <c r="C91" s="4">
        <f t="shared" si="0"/>
        <v>5.529871</v>
      </c>
      <c r="D91" s="4">
        <f t="shared" si="1"/>
        <v>4.529871</v>
      </c>
      <c r="E91" s="4">
        <f t="shared" si="7"/>
        <v>2.9044612843500186</v>
      </c>
      <c r="F91" s="3">
        <v>13.4</v>
      </c>
      <c r="G91">
        <v>213</v>
      </c>
      <c r="H91" s="4">
        <f t="shared" ref="H91:H96" si="8">A91/60</f>
        <v>8.3333333333333332E-3</v>
      </c>
      <c r="I91">
        <v>220</v>
      </c>
    </row>
    <row r="92" spans="1:9" x14ac:dyDescent="0.3">
      <c r="A92" s="4">
        <v>0.5</v>
      </c>
      <c r="B92" s="4">
        <v>4.5999999999999996</v>
      </c>
      <c r="C92" s="4">
        <f t="shared" si="0"/>
        <v>5.5397399999999992</v>
      </c>
      <c r="D92" s="4">
        <f t="shared" si="1"/>
        <v>4.5397399999999992</v>
      </c>
      <c r="E92" s="4">
        <f>(1000*H92*1*8)/(PI()*(2.54^2)/4*D92)</f>
        <v>2.8981472380796927</v>
      </c>
      <c r="F92" s="3">
        <v>13.45</v>
      </c>
      <c r="G92">
        <v>218</v>
      </c>
      <c r="H92" s="4">
        <f t="shared" si="8"/>
        <v>8.3333333333333332E-3</v>
      </c>
      <c r="I92">
        <v>220</v>
      </c>
    </row>
    <row r="93" spans="1:9" x14ac:dyDescent="0.3">
      <c r="A93" s="4">
        <v>0.5</v>
      </c>
      <c r="B93" s="4">
        <v>4.63</v>
      </c>
      <c r="C93" s="4">
        <f t="shared" si="0"/>
        <v>5.5693469999999996</v>
      </c>
      <c r="D93" s="4">
        <f t="shared" si="1"/>
        <v>4.5693469999999996</v>
      </c>
      <c r="E93" s="4">
        <f t="shared" si="7"/>
        <v>2.879368746256282</v>
      </c>
      <c r="F93" s="3">
        <v>13.48</v>
      </c>
      <c r="G93">
        <v>221</v>
      </c>
      <c r="H93" s="4">
        <f t="shared" si="8"/>
        <v>8.3333333333333332E-3</v>
      </c>
      <c r="I93">
        <v>220</v>
      </c>
    </row>
    <row r="94" spans="1:9" x14ac:dyDescent="0.3">
      <c r="A94" s="4">
        <v>0.5</v>
      </c>
      <c r="B94" s="4">
        <v>4.5599999999999996</v>
      </c>
      <c r="C94" s="4">
        <f t="shared" si="0"/>
        <v>5.5002639999999996</v>
      </c>
      <c r="D94" s="4">
        <f t="shared" si="1"/>
        <v>4.5002639999999996</v>
      </c>
      <c r="E94" s="4">
        <f t="shared" si="7"/>
        <v>2.923569582273374</v>
      </c>
      <c r="F94" s="3">
        <v>14.28</v>
      </c>
      <c r="G94">
        <f>G93+12+28</f>
        <v>261</v>
      </c>
      <c r="H94" s="4">
        <f t="shared" si="8"/>
        <v>8.3333333333333332E-3</v>
      </c>
      <c r="I94">
        <v>220</v>
      </c>
    </row>
    <row r="95" spans="1:9" x14ac:dyDescent="0.3">
      <c r="A95" s="4">
        <v>0.5</v>
      </c>
      <c r="B95" s="4">
        <v>4.6100000000000003</v>
      </c>
      <c r="C95" s="4">
        <f t="shared" si="0"/>
        <v>5.5496090000000002</v>
      </c>
      <c r="D95" s="4">
        <f t="shared" si="1"/>
        <v>4.5496090000000002</v>
      </c>
      <c r="E95" s="4">
        <f t="shared" si="7"/>
        <v>2.8918605846348338</v>
      </c>
      <c r="F95" s="3">
        <v>14.33</v>
      </c>
      <c r="G95">
        <v>266</v>
      </c>
      <c r="H95" s="4">
        <f t="shared" si="8"/>
        <v>8.3333333333333332E-3</v>
      </c>
      <c r="I95">
        <v>220</v>
      </c>
    </row>
    <row r="96" spans="1:9" x14ac:dyDescent="0.3">
      <c r="A96" s="4">
        <v>0.5</v>
      </c>
      <c r="B96" s="4">
        <v>4.63</v>
      </c>
      <c r="C96" s="4">
        <f t="shared" si="0"/>
        <v>5.5693469999999996</v>
      </c>
      <c r="D96" s="4">
        <f t="shared" si="1"/>
        <v>4.5693469999999996</v>
      </c>
      <c r="E96" s="4">
        <f t="shared" si="7"/>
        <v>2.879368746256282</v>
      </c>
      <c r="F96" s="3">
        <v>14.41</v>
      </c>
      <c r="G96">
        <f>G95+12</f>
        <v>278</v>
      </c>
      <c r="H96" s="4">
        <f t="shared" si="8"/>
        <v>8.3333333333333332E-3</v>
      </c>
      <c r="I96">
        <v>220</v>
      </c>
    </row>
    <row r="97" spans="1:11" x14ac:dyDescent="0.3">
      <c r="A97" s="4">
        <v>0.5</v>
      </c>
      <c r="B97" s="4">
        <v>4.62</v>
      </c>
      <c r="C97" s="4">
        <f t="shared" si="0"/>
        <v>5.5594780000000004</v>
      </c>
      <c r="D97" s="4">
        <f t="shared" si="1"/>
        <v>4.5594780000000004</v>
      </c>
      <c r="E97" s="4">
        <f t="shared" si="7"/>
        <v>2.8856011461399529</v>
      </c>
      <c r="F97" s="3">
        <v>14.46</v>
      </c>
      <c r="G97">
        <f>G96+5</f>
        <v>283</v>
      </c>
      <c r="H97" s="4">
        <f t="shared" ref="H97:H122" si="9">A97/60</f>
        <v>8.3333333333333332E-3</v>
      </c>
      <c r="I97">
        <v>220</v>
      </c>
    </row>
    <row r="98" spans="1:11" x14ac:dyDescent="0.3">
      <c r="A98" s="4">
        <v>0.5</v>
      </c>
      <c r="B98" s="4">
        <v>4.6500000000000004</v>
      </c>
      <c r="C98" s="4">
        <f t="shared" si="0"/>
        <v>5.5890850000000007</v>
      </c>
      <c r="D98" s="4">
        <f t="shared" si="1"/>
        <v>4.5890850000000007</v>
      </c>
      <c r="E98" s="4">
        <f t="shared" si="7"/>
        <v>2.866984364551953</v>
      </c>
      <c r="F98" s="3">
        <v>14.52</v>
      </c>
      <c r="G98">
        <f>G97+52-46</f>
        <v>289</v>
      </c>
      <c r="H98" s="4">
        <f t="shared" si="9"/>
        <v>8.3333333333333332E-3</v>
      </c>
      <c r="I98">
        <v>220</v>
      </c>
    </row>
    <row r="99" spans="1:11" x14ac:dyDescent="0.3">
      <c r="A99" s="4">
        <v>0.5</v>
      </c>
      <c r="B99" s="4">
        <v>4.6500000000000004</v>
      </c>
      <c r="C99" s="4">
        <f t="shared" si="0"/>
        <v>5.5890850000000007</v>
      </c>
      <c r="D99" s="4">
        <f t="shared" si="1"/>
        <v>4.5890850000000007</v>
      </c>
      <c r="E99" s="4">
        <f t="shared" si="7"/>
        <v>2.866984364551953</v>
      </c>
      <c r="F99" s="3">
        <v>14.58</v>
      </c>
      <c r="G99">
        <f>G98+6</f>
        <v>295</v>
      </c>
      <c r="H99" s="4">
        <f t="shared" si="9"/>
        <v>8.3333333333333332E-3</v>
      </c>
      <c r="I99">
        <v>220</v>
      </c>
    </row>
    <row r="100" spans="1:11" x14ac:dyDescent="0.3">
      <c r="A100" s="4">
        <v>0.5</v>
      </c>
      <c r="B100" s="4">
        <v>4.67</v>
      </c>
      <c r="C100" s="4">
        <f t="shared" si="0"/>
        <v>5.6088230000000001</v>
      </c>
      <c r="D100" s="4">
        <f t="shared" si="1"/>
        <v>4.6088230000000001</v>
      </c>
      <c r="E100" s="4">
        <f t="shared" si="7"/>
        <v>2.8547060589221807</v>
      </c>
      <c r="F100" s="3">
        <v>15.03</v>
      </c>
      <c r="G100">
        <f>300</f>
        <v>300</v>
      </c>
      <c r="H100" s="4">
        <f t="shared" si="9"/>
        <v>8.3333333333333332E-3</v>
      </c>
      <c r="I100">
        <v>220</v>
      </c>
    </row>
    <row r="101" spans="1:11" x14ac:dyDescent="0.3">
      <c r="A101" s="4">
        <v>0.5</v>
      </c>
      <c r="B101" s="4">
        <v>4.67</v>
      </c>
      <c r="C101" s="4">
        <f t="shared" si="0"/>
        <v>5.6088230000000001</v>
      </c>
      <c r="D101" s="4">
        <f t="shared" si="1"/>
        <v>4.6088230000000001</v>
      </c>
      <c r="E101" s="4">
        <f t="shared" si="7"/>
        <v>2.8547060589221807</v>
      </c>
      <c r="F101" s="3">
        <v>15.08</v>
      </c>
      <c r="G101">
        <v>305</v>
      </c>
      <c r="H101" s="4">
        <f t="shared" si="9"/>
        <v>8.3333333333333332E-3</v>
      </c>
      <c r="I101">
        <v>220</v>
      </c>
    </row>
    <row r="102" spans="1:11" x14ac:dyDescent="0.3">
      <c r="A102" s="4">
        <v>0.5</v>
      </c>
      <c r="B102" s="4">
        <v>4.68</v>
      </c>
      <c r="C102" s="4">
        <f t="shared" si="0"/>
        <v>5.6186919999999994</v>
      </c>
      <c r="D102" s="4">
        <f t="shared" si="1"/>
        <v>4.6186919999999994</v>
      </c>
      <c r="E102" s="4">
        <f t="shared" si="7"/>
        <v>2.84860625965098</v>
      </c>
      <c r="F102" s="3">
        <v>15.13</v>
      </c>
      <c r="G102">
        <v>310</v>
      </c>
      <c r="H102" s="4">
        <f t="shared" si="9"/>
        <v>8.3333333333333332E-3</v>
      </c>
      <c r="I102">
        <v>220</v>
      </c>
      <c r="K102">
        <v>5.2214952739402451E-2</v>
      </c>
    </row>
    <row r="103" spans="1:11" x14ac:dyDescent="0.3">
      <c r="A103" s="4">
        <v>0.5</v>
      </c>
      <c r="B103" s="4">
        <v>4.6500000000000004</v>
      </c>
      <c r="C103" s="4">
        <f t="shared" si="0"/>
        <v>5.5890850000000007</v>
      </c>
      <c r="D103" s="4">
        <f t="shared" si="1"/>
        <v>4.5890850000000007</v>
      </c>
      <c r="E103" s="4">
        <f t="shared" si="7"/>
        <v>2.866984364551953</v>
      </c>
      <c r="F103" s="3">
        <v>15.21</v>
      </c>
      <c r="G103">
        <f>G102+21-13</f>
        <v>318</v>
      </c>
      <c r="H103" s="4">
        <f t="shared" si="9"/>
        <v>8.3333333333333332E-3</v>
      </c>
      <c r="I103">
        <v>220</v>
      </c>
    </row>
    <row r="104" spans="1:11" x14ac:dyDescent="0.3">
      <c r="A104" s="4">
        <v>0.5</v>
      </c>
      <c r="B104" s="4">
        <v>4.7</v>
      </c>
      <c r="C104" s="4">
        <f t="shared" si="0"/>
        <v>5.6384300000000005</v>
      </c>
      <c r="D104" s="4">
        <f t="shared" si="1"/>
        <v>4.6384300000000005</v>
      </c>
      <c r="E104" s="4">
        <f t="shared" si="7"/>
        <v>2.8364845308865072</v>
      </c>
      <c r="F104" s="3">
        <v>15.27</v>
      </c>
      <c r="G104">
        <f>G103+6</f>
        <v>324</v>
      </c>
      <c r="H104" s="4">
        <f t="shared" si="9"/>
        <v>8.3333333333333332E-3</v>
      </c>
      <c r="I104">
        <v>220</v>
      </c>
    </row>
    <row r="105" spans="1:11" x14ac:dyDescent="0.3">
      <c r="A105" s="4">
        <v>0.5</v>
      </c>
      <c r="B105" s="4">
        <v>4.72</v>
      </c>
      <c r="C105" s="4">
        <f t="shared" si="0"/>
        <v>5.6581679999999999</v>
      </c>
      <c r="D105" s="4">
        <f t="shared" si="1"/>
        <v>4.6581679999999999</v>
      </c>
      <c r="E105" s="4">
        <f t="shared" si="7"/>
        <v>2.824465528636988</v>
      </c>
      <c r="F105" s="3">
        <v>15.32</v>
      </c>
      <c r="G105">
        <f>G104+5</f>
        <v>329</v>
      </c>
      <c r="H105" s="4">
        <f t="shared" si="9"/>
        <v>8.3333333333333332E-3</v>
      </c>
      <c r="I105">
        <v>220</v>
      </c>
      <c r="K105">
        <f>E43/K102</f>
        <v>75.538209744429068</v>
      </c>
    </row>
    <row r="106" spans="1:11" x14ac:dyDescent="0.3">
      <c r="A106" s="4">
        <v>0.5</v>
      </c>
      <c r="B106" s="4">
        <v>4.7</v>
      </c>
      <c r="C106" s="4">
        <f t="shared" si="0"/>
        <v>5.6384300000000005</v>
      </c>
      <c r="D106" s="4">
        <f t="shared" si="1"/>
        <v>4.6384300000000005</v>
      </c>
      <c r="E106" s="4">
        <f t="shared" si="7"/>
        <v>2.8364845308865072</v>
      </c>
      <c r="F106" s="3">
        <v>15.41</v>
      </c>
      <c r="G106">
        <f>G105+9</f>
        <v>338</v>
      </c>
      <c r="H106" s="4">
        <f t="shared" si="9"/>
        <v>8.3333333333333332E-3</v>
      </c>
      <c r="I106">
        <v>220</v>
      </c>
    </row>
    <row r="107" spans="1:11" x14ac:dyDescent="0.3">
      <c r="A107" s="4">
        <v>0.5</v>
      </c>
      <c r="B107" s="4">
        <v>4.6900000000000004</v>
      </c>
      <c r="C107" s="4">
        <f t="shared" si="0"/>
        <v>5.6285610000000004</v>
      </c>
      <c r="D107" s="4">
        <f t="shared" si="1"/>
        <v>4.6285610000000004</v>
      </c>
      <c r="E107" s="4">
        <f t="shared" si="7"/>
        <v>2.8425324723169689</v>
      </c>
      <c r="F107" s="3">
        <v>15.45</v>
      </c>
      <c r="G107">
        <f>G106+4</f>
        <v>342</v>
      </c>
      <c r="H107" s="4">
        <f t="shared" si="9"/>
        <v>8.3333333333333332E-3</v>
      </c>
      <c r="I107">
        <v>220</v>
      </c>
    </row>
    <row r="108" spans="1:11" x14ac:dyDescent="0.3">
      <c r="A108" s="4">
        <v>0.5</v>
      </c>
      <c r="B108" s="4">
        <v>4.7</v>
      </c>
      <c r="C108" s="4">
        <f t="shared" si="0"/>
        <v>5.6384300000000005</v>
      </c>
      <c r="D108" s="4">
        <f t="shared" si="1"/>
        <v>4.6384300000000005</v>
      </c>
      <c r="E108" s="4">
        <f t="shared" si="7"/>
        <v>2.8364845308865072</v>
      </c>
      <c r="F108" s="3">
        <v>16</v>
      </c>
      <c r="G108">
        <f>G107+45-16</f>
        <v>371</v>
      </c>
      <c r="H108" s="4">
        <f t="shared" si="9"/>
        <v>8.3333333333333332E-3</v>
      </c>
      <c r="I108">
        <v>220</v>
      </c>
    </row>
    <row r="109" spans="1:11" x14ac:dyDescent="0.3">
      <c r="A109" s="4">
        <v>0.5</v>
      </c>
      <c r="B109" s="4">
        <v>4.7300000000000004</v>
      </c>
      <c r="C109" s="4">
        <f t="shared" si="0"/>
        <v>5.668037</v>
      </c>
      <c r="D109" s="4">
        <f t="shared" si="1"/>
        <v>4.668037</v>
      </c>
      <c r="E109" s="4">
        <f t="shared" si="7"/>
        <v>2.8184941427413497</v>
      </c>
      <c r="F109" s="3">
        <v>16.260000000000002</v>
      </c>
      <c r="G109">
        <f>G108+26-16</f>
        <v>381</v>
      </c>
      <c r="H109" s="4">
        <f t="shared" si="9"/>
        <v>8.3333333333333332E-3</v>
      </c>
      <c r="I109">
        <v>220</v>
      </c>
    </row>
    <row r="110" spans="1:11" x14ac:dyDescent="0.3">
      <c r="A110" s="4">
        <v>0.5</v>
      </c>
      <c r="B110" s="4">
        <v>4.7699999999999996</v>
      </c>
      <c r="C110" s="4">
        <f t="shared" ref="C110:C122" si="10">$O$4*B110+1</f>
        <v>5.7075129999999996</v>
      </c>
      <c r="D110" s="4">
        <f t="shared" ref="D110:D122" si="11">C110-1</f>
        <v>4.7075129999999996</v>
      </c>
      <c r="E110" s="4">
        <f t="shared" si="7"/>
        <v>2.7948589717330368</v>
      </c>
      <c r="F110" s="3">
        <v>16.3</v>
      </c>
      <c r="G110">
        <v>385</v>
      </c>
      <c r="H110" s="4">
        <f t="shared" si="9"/>
        <v>8.3333333333333332E-3</v>
      </c>
      <c r="I110">
        <v>220</v>
      </c>
    </row>
    <row r="111" spans="1:11" x14ac:dyDescent="0.3">
      <c r="A111" s="4">
        <v>0.5</v>
      </c>
      <c r="B111" s="4">
        <v>4.82</v>
      </c>
      <c r="C111" s="4">
        <f t="shared" si="10"/>
        <v>5.7568580000000003</v>
      </c>
      <c r="D111" s="4">
        <f t="shared" si="11"/>
        <v>4.7568580000000003</v>
      </c>
      <c r="E111" s="4">
        <f t="shared" si="7"/>
        <v>2.7658666587482537</v>
      </c>
      <c r="F111" s="3">
        <v>16.34</v>
      </c>
      <c r="G111">
        <v>389</v>
      </c>
      <c r="H111" s="4">
        <f t="shared" si="9"/>
        <v>8.3333333333333332E-3</v>
      </c>
      <c r="I111">
        <v>220</v>
      </c>
    </row>
    <row r="112" spans="1:11" x14ac:dyDescent="0.3">
      <c r="A112" s="4">
        <v>0.5</v>
      </c>
      <c r="B112" s="4">
        <v>4.84</v>
      </c>
      <c r="C112" s="4">
        <f t="shared" si="10"/>
        <v>5.7765959999999996</v>
      </c>
      <c r="D112" s="4">
        <f t="shared" si="11"/>
        <v>4.7765959999999996</v>
      </c>
      <c r="E112" s="4">
        <f t="shared" si="7"/>
        <v>2.7544374576790465</v>
      </c>
      <c r="F112" s="3">
        <v>16.39</v>
      </c>
      <c r="G112">
        <f>G111+5</f>
        <v>394</v>
      </c>
      <c r="H112" s="4">
        <f t="shared" si="9"/>
        <v>8.3333333333333332E-3</v>
      </c>
      <c r="I112">
        <v>220</v>
      </c>
    </row>
    <row r="113" spans="1:9" x14ac:dyDescent="0.3">
      <c r="A113" s="4">
        <v>0.5</v>
      </c>
      <c r="B113" s="4">
        <v>4.8099999999999996</v>
      </c>
      <c r="C113" s="4">
        <f t="shared" si="10"/>
        <v>5.7469889999999992</v>
      </c>
      <c r="D113" s="4">
        <f t="shared" si="11"/>
        <v>4.7469889999999992</v>
      </c>
      <c r="E113" s="4">
        <f t="shared" si="7"/>
        <v>2.7716169012820346</v>
      </c>
      <c r="F113" s="3">
        <v>16.41</v>
      </c>
      <c r="G113">
        <f t="shared" ref="G113:G118" si="12">G112+3</f>
        <v>397</v>
      </c>
      <c r="H113" s="4">
        <f t="shared" si="9"/>
        <v>8.3333333333333332E-3</v>
      </c>
      <c r="I113">
        <v>220</v>
      </c>
    </row>
    <row r="114" spans="1:9" x14ac:dyDescent="0.3">
      <c r="A114" s="4">
        <v>0.5</v>
      </c>
      <c r="B114" s="4">
        <v>4.8099999999999996</v>
      </c>
      <c r="C114" s="4">
        <f t="shared" si="10"/>
        <v>5.7469889999999992</v>
      </c>
      <c r="D114" s="4">
        <f t="shared" si="11"/>
        <v>4.7469889999999992</v>
      </c>
      <c r="E114" s="4">
        <f t="shared" si="7"/>
        <v>2.7716169012820346</v>
      </c>
      <c r="F114" s="3">
        <v>16.440000000000001</v>
      </c>
      <c r="G114">
        <f t="shared" si="12"/>
        <v>400</v>
      </c>
      <c r="H114" s="4">
        <f t="shared" si="9"/>
        <v>8.3333333333333332E-3</v>
      </c>
      <c r="I114">
        <v>220</v>
      </c>
    </row>
    <row r="115" spans="1:9" x14ac:dyDescent="0.3">
      <c r="A115" s="4">
        <v>0.5</v>
      </c>
      <c r="B115" s="4">
        <v>4.8099999999999996</v>
      </c>
      <c r="C115" s="4">
        <f t="shared" si="10"/>
        <v>5.7469889999999992</v>
      </c>
      <c r="D115" s="4">
        <f t="shared" si="11"/>
        <v>4.7469889999999992</v>
      </c>
      <c r="E115" s="4">
        <f t="shared" si="7"/>
        <v>2.7716169012820346</v>
      </c>
      <c r="F115" s="3">
        <v>16.47</v>
      </c>
      <c r="G115">
        <f t="shared" si="12"/>
        <v>403</v>
      </c>
      <c r="H115" s="4">
        <f t="shared" si="9"/>
        <v>8.3333333333333332E-3</v>
      </c>
      <c r="I115">
        <v>220</v>
      </c>
    </row>
    <row r="116" spans="1:9" x14ac:dyDescent="0.3">
      <c r="A116" s="4">
        <v>0.5</v>
      </c>
      <c r="B116" s="4">
        <v>4.8</v>
      </c>
      <c r="C116" s="4">
        <f t="shared" si="10"/>
        <v>5.73712</v>
      </c>
      <c r="D116" s="4">
        <f t="shared" si="11"/>
        <v>4.73712</v>
      </c>
      <c r="E116" s="4">
        <f t="shared" si="7"/>
        <v>2.7773911031597049</v>
      </c>
      <c r="F116" s="3">
        <v>16.5</v>
      </c>
      <c r="G116">
        <f t="shared" si="12"/>
        <v>406</v>
      </c>
      <c r="H116" s="4">
        <f t="shared" si="9"/>
        <v>8.3333333333333332E-3</v>
      </c>
      <c r="I116">
        <v>220</v>
      </c>
    </row>
    <row r="117" spans="1:9" x14ac:dyDescent="0.3">
      <c r="A117" s="4">
        <v>0.5</v>
      </c>
      <c r="B117" s="4">
        <v>4.8</v>
      </c>
      <c r="C117" s="4">
        <f t="shared" si="10"/>
        <v>5.73712</v>
      </c>
      <c r="D117" s="4">
        <f t="shared" si="11"/>
        <v>4.73712</v>
      </c>
      <c r="E117" s="4">
        <f t="shared" si="7"/>
        <v>2.7773911031597049</v>
      </c>
      <c r="F117" s="3">
        <v>16.53</v>
      </c>
      <c r="G117">
        <f t="shared" si="12"/>
        <v>409</v>
      </c>
      <c r="H117" s="4">
        <f t="shared" si="9"/>
        <v>8.3333333333333332E-3</v>
      </c>
      <c r="I117">
        <v>220</v>
      </c>
    </row>
    <row r="118" spans="1:9" x14ac:dyDescent="0.3">
      <c r="A118" s="4">
        <v>0.5</v>
      </c>
      <c r="B118" s="4">
        <v>4.8099999999999996</v>
      </c>
      <c r="C118" s="4">
        <f t="shared" si="10"/>
        <v>5.7469889999999992</v>
      </c>
      <c r="D118" s="4">
        <f t="shared" si="11"/>
        <v>4.7469889999999992</v>
      </c>
      <c r="E118" s="4">
        <f t="shared" si="7"/>
        <v>2.7716169012820346</v>
      </c>
      <c r="F118" s="3">
        <v>16.559999999999999</v>
      </c>
      <c r="G118">
        <f t="shared" si="12"/>
        <v>412</v>
      </c>
      <c r="H118" s="4">
        <f t="shared" si="9"/>
        <v>8.3333333333333332E-3</v>
      </c>
      <c r="I118">
        <v>220</v>
      </c>
    </row>
    <row r="119" spans="1:9" x14ac:dyDescent="0.3">
      <c r="A119" s="4">
        <v>0.5</v>
      </c>
      <c r="B119" s="4">
        <v>4.82</v>
      </c>
      <c r="C119" s="4">
        <f t="shared" si="10"/>
        <v>5.7568580000000003</v>
      </c>
      <c r="D119" s="4">
        <f t="shared" si="11"/>
        <v>4.7568580000000003</v>
      </c>
      <c r="E119" s="4">
        <f t="shared" si="7"/>
        <v>2.7658666587482537</v>
      </c>
      <c r="F119" s="3">
        <v>16.59</v>
      </c>
      <c r="G119">
        <v>415</v>
      </c>
      <c r="H119" s="4">
        <f t="shared" si="9"/>
        <v>8.3333333333333332E-3</v>
      </c>
      <c r="I119">
        <v>220</v>
      </c>
    </row>
    <row r="120" spans="1:9" x14ac:dyDescent="0.3">
      <c r="A120" s="4">
        <v>0.5</v>
      </c>
      <c r="B120" s="4">
        <v>4.79</v>
      </c>
      <c r="C120" s="4">
        <f t="shared" si="10"/>
        <v>5.7272509999999999</v>
      </c>
      <c r="D120" s="4">
        <f t="shared" si="11"/>
        <v>4.7272509999999999</v>
      </c>
      <c r="E120" s="4">
        <f t="shared" si="7"/>
        <v>2.783189414439788</v>
      </c>
      <c r="F120" s="3">
        <v>17.010000000000002</v>
      </c>
      <c r="G120">
        <v>418</v>
      </c>
      <c r="H120" s="4">
        <f t="shared" si="9"/>
        <v>8.3333333333333332E-3</v>
      </c>
      <c r="I120">
        <v>220</v>
      </c>
    </row>
    <row r="121" spans="1:9" x14ac:dyDescent="0.3">
      <c r="A121" s="4">
        <v>0.5</v>
      </c>
      <c r="B121" s="4">
        <v>4.76</v>
      </c>
      <c r="C121" s="4">
        <f t="shared" si="10"/>
        <v>5.6976439999999995</v>
      </c>
      <c r="D121" s="4">
        <f t="shared" si="11"/>
        <v>4.6976439999999995</v>
      </c>
      <c r="E121" s="4">
        <f t="shared" si="7"/>
        <v>2.8007305241946612</v>
      </c>
      <c r="F121" s="3">
        <v>17.04</v>
      </c>
      <c r="G121">
        <v>421</v>
      </c>
      <c r="H121" s="4">
        <f t="shared" si="9"/>
        <v>8.3333333333333332E-3</v>
      </c>
      <c r="I121">
        <v>220</v>
      </c>
    </row>
    <row r="122" spans="1:9" x14ac:dyDescent="0.3">
      <c r="A122" s="4">
        <v>0.5</v>
      </c>
      <c r="B122" s="4">
        <v>4.75</v>
      </c>
      <c r="C122" s="4">
        <f t="shared" si="10"/>
        <v>5.6877750000000002</v>
      </c>
      <c r="D122" s="4">
        <f t="shared" si="11"/>
        <v>4.6877750000000002</v>
      </c>
      <c r="E122" s="4">
        <f t="shared" si="7"/>
        <v>2.8066267989824389</v>
      </c>
      <c r="F122" s="3">
        <v>17.07</v>
      </c>
      <c r="G122">
        <f>G121+3</f>
        <v>424</v>
      </c>
      <c r="H122" s="4">
        <f t="shared" si="9"/>
        <v>8.3333333333333332E-3</v>
      </c>
      <c r="I122">
        <v>220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51"/>
  <sheetViews>
    <sheetView topLeftCell="A61" zoomScaleNormal="100" workbookViewId="0">
      <selection activeCell="R74" sqref="R74"/>
    </sheetView>
  </sheetViews>
  <sheetFormatPr defaultRowHeight="14.4" x14ac:dyDescent="0.3"/>
  <cols>
    <col min="1" max="1" width="10.109375" customWidth="1"/>
    <col min="2" max="2" width="13.6640625" customWidth="1"/>
    <col min="3" max="3" width="13.5546875" customWidth="1"/>
    <col min="7" max="7" width="12.33203125" customWidth="1"/>
    <col min="12" max="12" width="14.44140625" customWidth="1"/>
    <col min="13" max="13" width="14.6640625" customWidth="1"/>
    <col min="15" max="15" width="10.5546875" bestFit="1" customWidth="1"/>
    <col min="19" max="19" width="14.6640625" customWidth="1"/>
    <col min="21" max="21" width="15.44140625" customWidth="1"/>
    <col min="22" max="22" width="9.88671875" customWidth="1"/>
    <col min="23" max="23" width="14.33203125" customWidth="1"/>
    <col min="25" max="25" width="12.33203125" customWidth="1"/>
    <col min="26" max="26" width="11.6640625" customWidth="1"/>
    <col min="27" max="27" width="11.88671875" customWidth="1"/>
    <col min="28" max="28" width="9.44140625" customWidth="1"/>
    <col min="30" max="30" width="11.5546875" customWidth="1"/>
    <col min="31" max="31" width="10.6640625" customWidth="1"/>
    <col min="32" max="33" width="14.88671875" customWidth="1"/>
    <col min="35" max="35" width="11.6640625" customWidth="1"/>
  </cols>
  <sheetData>
    <row r="1" spans="1:37" x14ac:dyDescent="0.3">
      <c r="A1" s="2" t="s">
        <v>0</v>
      </c>
      <c r="B1" s="2" t="s">
        <v>164</v>
      </c>
      <c r="C1" s="2" t="s">
        <v>16</v>
      </c>
      <c r="D1" s="2" t="s">
        <v>7</v>
      </c>
      <c r="E1" s="2" t="s">
        <v>11</v>
      </c>
      <c r="F1" s="2" t="s">
        <v>19</v>
      </c>
      <c r="G1" s="2" t="s">
        <v>9</v>
      </c>
      <c r="H1" s="8" t="s">
        <v>13</v>
      </c>
      <c r="I1" s="5" t="s">
        <v>10</v>
      </c>
      <c r="J1" s="2" t="s">
        <v>213</v>
      </c>
      <c r="K1" s="2" t="s">
        <v>233</v>
      </c>
      <c r="Y1" s="2" t="s">
        <v>0</v>
      </c>
      <c r="Z1" s="2" t="s">
        <v>6</v>
      </c>
      <c r="AA1" s="2" t="s">
        <v>16</v>
      </c>
      <c r="AB1" s="2" t="s">
        <v>7</v>
      </c>
      <c r="AC1" s="2" t="s">
        <v>11</v>
      </c>
      <c r="AD1" s="2" t="s">
        <v>19</v>
      </c>
      <c r="AE1" s="2" t="s">
        <v>9</v>
      </c>
      <c r="AF1" s="8" t="s">
        <v>13</v>
      </c>
      <c r="AG1" s="5" t="s">
        <v>10</v>
      </c>
    </row>
    <row r="2" spans="1:37" x14ac:dyDescent="0.3">
      <c r="A2" s="6">
        <v>3</v>
      </c>
      <c r="B2">
        <v>2.29</v>
      </c>
      <c r="C2">
        <v>-0.04</v>
      </c>
      <c r="D2" s="6">
        <f t="shared" ref="D2:D33" si="0">0.9869*(B2-$C$2)+1</f>
        <v>3.299477</v>
      </c>
      <c r="E2" s="6">
        <f t="shared" ref="E2:E33" si="1">D2-1</f>
        <v>2.299477</v>
      </c>
      <c r="F2" s="28">
        <f>(1000*I2*0.386*$J$2)/(PI()*($K$2^2)/4*E2)</f>
        <v>7.851102868531723</v>
      </c>
      <c r="G2" s="3">
        <v>10.58</v>
      </c>
      <c r="H2">
        <v>0</v>
      </c>
      <c r="I2" s="7">
        <f t="shared" ref="I2:I54" si="2">A2/60</f>
        <v>0.05</v>
      </c>
      <c r="J2">
        <v>4.7510000000000003</v>
      </c>
      <c r="K2">
        <v>2.5430000000000001</v>
      </c>
      <c r="Y2">
        <v>5</v>
      </c>
      <c r="Z2">
        <f>AVERAGE(B9:B19)</f>
        <v>2.6890909090909094</v>
      </c>
      <c r="AA2">
        <v>-0.04</v>
      </c>
      <c r="AB2">
        <f>0.9869*(Z2-$C$2)+1</f>
        <v>3.6933398181818187</v>
      </c>
      <c r="AC2" s="9">
        <f>AB2-1</f>
        <v>2.6933398181818187</v>
      </c>
      <c r="AD2" s="4">
        <f>(1000*AG2*0.386*$J$2)/(PI()*($K$2^2)/4*AC2)</f>
        <v>11.171650373110593</v>
      </c>
      <c r="AE2" s="3">
        <v>10.58</v>
      </c>
      <c r="AG2" s="9">
        <f>Y2/60</f>
        <v>8.3333333333333329E-2</v>
      </c>
    </row>
    <row r="3" spans="1:37" x14ac:dyDescent="0.3">
      <c r="A3" s="6">
        <v>5</v>
      </c>
      <c r="B3">
        <v>3.55</v>
      </c>
      <c r="D3" s="6">
        <f t="shared" si="0"/>
        <v>4.5429709999999996</v>
      </c>
      <c r="E3" s="6">
        <f t="shared" si="1"/>
        <v>3.5429709999999996</v>
      </c>
      <c r="F3" s="28">
        <f t="shared" ref="F3:F54" si="3">(1000*I3*0.386*$J$2)/(PI()*($K$2^2)/4*E3)</f>
        <v>8.4926043099716413</v>
      </c>
      <c r="G3">
        <v>11.4</v>
      </c>
      <c r="H3">
        <v>0</v>
      </c>
      <c r="I3" s="7">
        <f t="shared" si="2"/>
        <v>8.3333333333333329E-2</v>
      </c>
      <c r="Y3">
        <v>7</v>
      </c>
      <c r="Z3">
        <f>AVERAGE(B24:B30)</f>
        <v>3.5885714285714281</v>
      </c>
      <c r="AB3">
        <f>0.9869*(Z3-$C$2)+1</f>
        <v>4.5810371428571424</v>
      </c>
      <c r="AC3" s="9">
        <f>AB3-1</f>
        <v>3.5810371428571424</v>
      </c>
      <c r="AD3" s="4">
        <f>(1000*AG3*0.386*$J$2)/(PI()*($K$2^2)/4*AC3)</f>
        <v>11.763260032811901</v>
      </c>
      <c r="AE3">
        <v>11.4</v>
      </c>
      <c r="AG3" s="9">
        <f>Y3/60</f>
        <v>0.11666666666666667</v>
      </c>
    </row>
    <row r="4" spans="1:37" x14ac:dyDescent="0.3">
      <c r="A4" s="6">
        <v>5</v>
      </c>
      <c r="B4">
        <v>3.31</v>
      </c>
      <c r="D4" s="6">
        <f t="shared" si="0"/>
        <v>4.3061150000000001</v>
      </c>
      <c r="E4" s="6">
        <f t="shared" si="1"/>
        <v>3.3061150000000001</v>
      </c>
      <c r="F4" s="28">
        <f t="shared" si="3"/>
        <v>9.1010296933725936</v>
      </c>
      <c r="G4">
        <v>11.09</v>
      </c>
      <c r="H4">
        <f>5</f>
        <v>5</v>
      </c>
      <c r="I4" s="7">
        <f t="shared" si="2"/>
        <v>8.3333333333333329E-2</v>
      </c>
      <c r="Y4">
        <v>10</v>
      </c>
      <c r="Z4">
        <f>AVERAGE(B45:B54)</f>
        <v>5.2359999999999998</v>
      </c>
      <c r="AB4">
        <f>0.9869*(Z4-$C$2)+1</f>
        <v>6.2068843999999999</v>
      </c>
      <c r="AC4" s="9">
        <f>AB4-1</f>
        <v>5.2068843999999999</v>
      </c>
      <c r="AD4" s="4">
        <f>(1000*AG4*0.386*$J$2)/(PI()*($K$2^2)/4*AC4)</f>
        <v>11.55741071751258</v>
      </c>
      <c r="AE4">
        <v>11.09</v>
      </c>
      <c r="AG4" s="9">
        <f>Y4/60</f>
        <v>0.16666666666666666</v>
      </c>
    </row>
    <row r="5" spans="1:37" x14ac:dyDescent="0.3">
      <c r="A5" s="6">
        <v>5</v>
      </c>
      <c r="B5">
        <v>3.07</v>
      </c>
      <c r="D5" s="6">
        <f t="shared" si="0"/>
        <v>4.0692589999999997</v>
      </c>
      <c r="E5" s="6">
        <f t="shared" si="1"/>
        <v>3.0692589999999997</v>
      </c>
      <c r="F5" s="28">
        <f t="shared" si="3"/>
        <v>9.8033599590990956</v>
      </c>
      <c r="G5">
        <v>11.6</v>
      </c>
      <c r="H5">
        <f>H4+3</f>
        <v>8</v>
      </c>
      <c r="I5" s="7">
        <f t="shared" si="2"/>
        <v>8.3333333333333329E-2</v>
      </c>
    </row>
    <row r="6" spans="1:37" x14ac:dyDescent="0.3">
      <c r="A6" s="6">
        <v>5</v>
      </c>
      <c r="B6">
        <v>2.69</v>
      </c>
      <c r="D6" s="6">
        <f t="shared" si="0"/>
        <v>3.6942369999999998</v>
      </c>
      <c r="E6" s="6">
        <f t="shared" si="1"/>
        <v>2.6942369999999998</v>
      </c>
      <c r="F6" s="62">
        <f t="shared" si="3"/>
        <v>11.167930209816186</v>
      </c>
      <c r="G6">
        <v>11.23</v>
      </c>
      <c r="H6">
        <f>H5+17</f>
        <v>25</v>
      </c>
      <c r="I6" s="7">
        <f t="shared" si="2"/>
        <v>8.3333333333333329E-2</v>
      </c>
      <c r="Y6" s="2" t="s">
        <v>104</v>
      </c>
      <c r="Z6" s="2" t="s">
        <v>105</v>
      </c>
      <c r="AA6" s="2" t="s">
        <v>106</v>
      </c>
      <c r="AB6" s="2" t="s">
        <v>14</v>
      </c>
      <c r="AC6" s="2" t="s">
        <v>107</v>
      </c>
      <c r="AD6" s="2" t="s">
        <v>105</v>
      </c>
      <c r="AE6" s="2" t="s">
        <v>106</v>
      </c>
      <c r="AF6" s="2" t="s">
        <v>14</v>
      </c>
      <c r="AH6" s="2" t="s">
        <v>108</v>
      </c>
      <c r="AI6" s="2" t="s">
        <v>105</v>
      </c>
      <c r="AJ6" s="2" t="s">
        <v>106</v>
      </c>
      <c r="AK6" s="2" t="s">
        <v>14</v>
      </c>
    </row>
    <row r="7" spans="1:37" x14ac:dyDescent="0.3">
      <c r="A7" s="6">
        <v>5</v>
      </c>
      <c r="B7">
        <v>2.83</v>
      </c>
      <c r="D7" s="6">
        <f t="shared" si="0"/>
        <v>3.8324030000000002</v>
      </c>
      <c r="E7" s="6">
        <f t="shared" si="1"/>
        <v>2.8324030000000002</v>
      </c>
      <c r="F7" s="62">
        <f t="shared" si="3"/>
        <v>10.623153126410518</v>
      </c>
      <c r="G7">
        <v>11.32</v>
      </c>
      <c r="H7">
        <f>H6+9</f>
        <v>34</v>
      </c>
      <c r="I7" s="7">
        <f t="shared" si="2"/>
        <v>8.3333333333333329E-2</v>
      </c>
      <c r="Y7">
        <v>3.169</v>
      </c>
      <c r="Z7" s="33">
        <f>(E9-$AC$2)^2</f>
        <v>9.30505108396674E-4</v>
      </c>
      <c r="AA7" s="7">
        <f>SQRT(SUM(Z7:Z17)/10)</f>
        <v>4.7832497893834085E-2</v>
      </c>
      <c r="AB7" s="7">
        <f>Y7*AA7/SQRT(11)</f>
        <v>4.5703447150956505E-2</v>
      </c>
      <c r="AC7">
        <v>3.7069999999999999</v>
      </c>
      <c r="AD7" s="33">
        <f>(E24-$AC$3)^2</f>
        <v>7.1557097877542137E-5</v>
      </c>
      <c r="AE7" s="7">
        <f>SQRT(SUM(AD7:AD13)/6)</f>
        <v>1.1990694787050256E-2</v>
      </c>
      <c r="AF7" s="7">
        <f>AC7*AE7/SQRT(7)</f>
        <v>1.6800333950400585E-2</v>
      </c>
      <c r="AG7" s="9"/>
      <c r="AH7">
        <v>3.25</v>
      </c>
      <c r="AI7" s="33">
        <f>(E45-$AC$4)^2</f>
        <v>3.5062977959990391E-5</v>
      </c>
      <c r="AJ7" s="10">
        <f>SQRT(SUM(AI7:AI16)/9)</f>
        <v>9.5343598072094495E-3</v>
      </c>
      <c r="AK7" s="10">
        <f>AH7*AJ7/SQRT(10)</f>
        <v>9.7988452322623643E-3</v>
      </c>
    </row>
    <row r="8" spans="1:37" x14ac:dyDescent="0.3">
      <c r="A8" s="6">
        <v>5</v>
      </c>
      <c r="B8">
        <v>2.79</v>
      </c>
      <c r="D8" s="6">
        <f t="shared" si="0"/>
        <v>3.7929270000000002</v>
      </c>
      <c r="E8" s="6">
        <f t="shared" si="1"/>
        <v>2.7929270000000002</v>
      </c>
      <c r="F8" s="62">
        <f t="shared" si="3"/>
        <v>10.773303700635402</v>
      </c>
      <c r="G8">
        <v>11.35</v>
      </c>
      <c r="H8">
        <f>H7+3</f>
        <v>37</v>
      </c>
      <c r="I8" s="7">
        <f t="shared" si="2"/>
        <v>8.3333333333333329E-2</v>
      </c>
      <c r="Z8" s="33">
        <f>(E10-$AC$2)^2</f>
        <v>3.5497642976035042E-4</v>
      </c>
      <c r="AD8" s="33">
        <f t="shared" ref="AD8:AD13" si="4">(E25-$AC$3)^2</f>
        <v>7.1557097877542137E-5</v>
      </c>
      <c r="AI8" s="33">
        <f t="shared" ref="AI8:AI15" si="5">(E46-$AC$4)^2</f>
        <v>2.4933673216000646E-4</v>
      </c>
    </row>
    <row r="9" spans="1:37" x14ac:dyDescent="0.3">
      <c r="A9" s="6">
        <v>5</v>
      </c>
      <c r="B9">
        <v>2.72</v>
      </c>
      <c r="D9" s="6">
        <f t="shared" si="0"/>
        <v>3.7238440000000002</v>
      </c>
      <c r="E9" s="6">
        <f t="shared" si="1"/>
        <v>2.7238440000000002</v>
      </c>
      <c r="F9" s="62">
        <f t="shared" si="3"/>
        <v>11.046539664057315</v>
      </c>
      <c r="G9">
        <v>11.4</v>
      </c>
      <c r="H9">
        <f>H8+5</f>
        <v>42</v>
      </c>
      <c r="I9" s="7">
        <f t="shared" si="2"/>
        <v>8.3333333333333329E-2</v>
      </c>
      <c r="P9" s="2"/>
      <c r="Z9">
        <f t="shared" ref="Z9:Z14" si="6">(E11-$AC$2)^2</f>
        <v>8.2425366003306992E-4</v>
      </c>
      <c r="AD9" s="33">
        <f t="shared" si="4"/>
        <v>7.1557097877542137E-5</v>
      </c>
      <c r="AI9" s="33">
        <f t="shared" si="5"/>
        <v>3.5062977959990391E-5</v>
      </c>
    </row>
    <row r="10" spans="1:37" x14ac:dyDescent="0.3">
      <c r="A10" s="6">
        <v>5</v>
      </c>
      <c r="B10">
        <v>2.67</v>
      </c>
      <c r="D10" s="6">
        <f t="shared" si="0"/>
        <v>3.674499</v>
      </c>
      <c r="E10" s="6">
        <f t="shared" si="1"/>
        <v>2.674499</v>
      </c>
      <c r="F10" s="62">
        <f t="shared" si="3"/>
        <v>11.250350358966122</v>
      </c>
      <c r="G10">
        <v>11.46</v>
      </c>
      <c r="H10">
        <f>H9+6</f>
        <v>48</v>
      </c>
      <c r="I10" s="7">
        <f t="shared" si="2"/>
        <v>8.3333333333333329E-2</v>
      </c>
      <c r="P10" s="2"/>
      <c r="Z10">
        <f>(E12-$AC$2)^2</f>
        <v>1.159106709421495E-2</v>
      </c>
      <c r="AD10" s="33">
        <f t="shared" si="4"/>
        <v>4.4723186173473227E-4</v>
      </c>
      <c r="AI10" s="33">
        <f t="shared" si="5"/>
        <v>1.5583545760000404E-5</v>
      </c>
    </row>
    <row r="11" spans="1:37" x14ac:dyDescent="0.3">
      <c r="A11" s="6">
        <v>5</v>
      </c>
      <c r="B11">
        <v>2.66</v>
      </c>
      <c r="D11" s="6">
        <f t="shared" si="0"/>
        <v>3.6646300000000003</v>
      </c>
      <c r="E11" s="6">
        <f t="shared" si="1"/>
        <v>2.6646300000000003</v>
      </c>
      <c r="F11" s="62">
        <f t="shared" si="3"/>
        <v>11.292018323258588</v>
      </c>
      <c r="G11">
        <v>11.5</v>
      </c>
      <c r="H11">
        <f>H10+4</f>
        <v>52</v>
      </c>
      <c r="I11" s="7">
        <f t="shared" si="2"/>
        <v>8.3333333333333329E-2</v>
      </c>
      <c r="M11" s="2"/>
      <c r="Z11">
        <f t="shared" si="6"/>
        <v>8.0493521487474994E-7</v>
      </c>
      <c r="AD11" s="33">
        <f t="shared" si="4"/>
        <v>1.9876971632671466E-6</v>
      </c>
      <c r="AI11" s="33">
        <f>(E49-$AC$4)^2</f>
        <v>3.5062977959990391E-5</v>
      </c>
    </row>
    <row r="12" spans="1:37" x14ac:dyDescent="0.3">
      <c r="A12" s="6">
        <v>5</v>
      </c>
      <c r="B12">
        <v>2.58</v>
      </c>
      <c r="D12" s="6">
        <f t="shared" si="0"/>
        <v>3.5856780000000001</v>
      </c>
      <c r="E12" s="6">
        <f t="shared" si="1"/>
        <v>2.5856780000000001</v>
      </c>
      <c r="F12" s="62">
        <f t="shared" si="3"/>
        <v>11.63681277587717</v>
      </c>
      <c r="G12">
        <v>11.58</v>
      </c>
      <c r="H12">
        <f>H11+8</f>
        <v>60</v>
      </c>
      <c r="I12" s="7">
        <f t="shared" si="2"/>
        <v>8.3333333333333329E-2</v>
      </c>
      <c r="M12" s="2"/>
      <c r="Z12">
        <f t="shared" si="6"/>
        <v>2.5242768338512318E-3</v>
      </c>
      <c r="AD12" s="33">
        <f t="shared" si="4"/>
        <v>1.272126184489972E-4</v>
      </c>
      <c r="AI12" s="33">
        <f>(E50-$AC$4)^2</f>
        <v>1.5583545760000404E-5</v>
      </c>
    </row>
    <row r="13" spans="1:37" x14ac:dyDescent="0.3">
      <c r="A13" s="6">
        <v>5</v>
      </c>
      <c r="B13">
        <v>2.69</v>
      </c>
      <c r="D13" s="6">
        <f t="shared" si="0"/>
        <v>3.6942369999999998</v>
      </c>
      <c r="E13" s="6">
        <f t="shared" si="1"/>
        <v>2.6942369999999998</v>
      </c>
      <c r="F13" s="62">
        <f t="shared" si="3"/>
        <v>11.167930209816186</v>
      </c>
      <c r="G13">
        <v>12.43</v>
      </c>
      <c r="H13">
        <v>60</v>
      </c>
      <c r="I13" s="7">
        <f t="shared" si="2"/>
        <v>8.3333333333333329E-2</v>
      </c>
      <c r="Z13">
        <f t="shared" si="6"/>
        <v>3.613354179578465E-3</v>
      </c>
      <c r="AD13" s="33">
        <f t="shared" si="4"/>
        <v>7.1557097877542137E-5</v>
      </c>
      <c r="AI13" s="33">
        <f>(E51-$AC$4)^2</f>
        <v>1.9089843556000495E-4</v>
      </c>
    </row>
    <row r="14" spans="1:37" x14ac:dyDescent="0.3">
      <c r="A14" s="6">
        <v>5</v>
      </c>
      <c r="B14">
        <v>2.74</v>
      </c>
      <c r="D14" s="6">
        <f t="shared" si="0"/>
        <v>3.7435820000000004</v>
      </c>
      <c r="E14" s="6">
        <f t="shared" si="1"/>
        <v>2.7435820000000004</v>
      </c>
      <c r="F14" s="62">
        <f>(1000*I14*0.386*$J$2)/(PI()*($K$2^2)/4*E14)</f>
        <v>10.967068155682799</v>
      </c>
      <c r="G14">
        <v>12.49</v>
      </c>
      <c r="H14">
        <f>66</f>
        <v>66</v>
      </c>
      <c r="I14" s="7">
        <f t="shared" si="2"/>
        <v>8.3333333333333329E-2</v>
      </c>
      <c r="Z14">
        <f t="shared" si="6"/>
        <v>2.5242768338512318E-3</v>
      </c>
      <c r="AI14" s="33">
        <f t="shared" si="5"/>
        <v>1.5583545760000404E-5</v>
      </c>
    </row>
    <row r="15" spans="1:37" x14ac:dyDescent="0.3">
      <c r="A15" s="6">
        <v>5</v>
      </c>
      <c r="B15">
        <v>2.75</v>
      </c>
      <c r="D15" s="6">
        <f t="shared" si="0"/>
        <v>3.7534510000000001</v>
      </c>
      <c r="E15" s="6">
        <f t="shared" si="1"/>
        <v>2.7534510000000001</v>
      </c>
      <c r="F15" s="62">
        <f t="shared" si="3"/>
        <v>10.927759667669601</v>
      </c>
      <c r="G15">
        <v>12.54</v>
      </c>
      <c r="H15">
        <f>H14+5</f>
        <v>71</v>
      </c>
      <c r="I15" s="7">
        <f t="shared" si="2"/>
        <v>8.3333333333333329E-2</v>
      </c>
      <c r="Z15" s="33">
        <f>(E17-$AC$2)^2</f>
        <v>8.0493521487610462E-5</v>
      </c>
      <c r="AI15" s="33">
        <f t="shared" si="5"/>
        <v>3.5062977959990391E-5</v>
      </c>
    </row>
    <row r="16" spans="1:37" x14ac:dyDescent="0.3">
      <c r="A16" s="6">
        <v>5</v>
      </c>
      <c r="B16">
        <v>2.74</v>
      </c>
      <c r="D16" s="6">
        <f t="shared" si="0"/>
        <v>3.7435820000000004</v>
      </c>
      <c r="E16" s="6">
        <f t="shared" si="1"/>
        <v>2.7435820000000004</v>
      </c>
      <c r="F16" s="62">
        <f t="shared" si="3"/>
        <v>10.967068155682799</v>
      </c>
      <c r="G16">
        <v>13.09</v>
      </c>
      <c r="H16">
        <f>H15+15</f>
        <v>86</v>
      </c>
      <c r="I16" s="7">
        <f t="shared" si="2"/>
        <v>8.3333333333333329E-2</v>
      </c>
      <c r="Z16" s="33">
        <f>(E18-$AC$2)^2</f>
        <v>8.0493521487610462E-5</v>
      </c>
      <c r="AI16" s="33">
        <f>(E54-$AC$4)^2</f>
        <v>1.9089843556000495E-4</v>
      </c>
    </row>
    <row r="17" spans="1:26" x14ac:dyDescent="0.3">
      <c r="A17" s="6">
        <v>5</v>
      </c>
      <c r="B17">
        <v>2.68</v>
      </c>
      <c r="D17" s="6">
        <f t="shared" si="0"/>
        <v>3.6843680000000001</v>
      </c>
      <c r="E17" s="6">
        <f t="shared" si="1"/>
        <v>2.6843680000000001</v>
      </c>
      <c r="F17" s="62">
        <f t="shared" si="3"/>
        <v>11.208988776764039</v>
      </c>
      <c r="G17">
        <v>13.2</v>
      </c>
      <c r="H17">
        <f>H16+11</f>
        <v>97</v>
      </c>
      <c r="I17" s="7">
        <f t="shared" si="2"/>
        <v>8.3333333333333329E-2</v>
      </c>
      <c r="Z17" s="33">
        <f>(E19-$AC$2)^2</f>
        <v>3.5497642976035042E-4</v>
      </c>
    </row>
    <row r="18" spans="1:26" x14ac:dyDescent="0.3">
      <c r="A18" s="6">
        <v>5</v>
      </c>
      <c r="B18">
        <v>2.68</v>
      </c>
      <c r="D18" s="6">
        <f t="shared" si="0"/>
        <v>3.6843680000000001</v>
      </c>
      <c r="E18" s="6">
        <f t="shared" si="1"/>
        <v>2.6843680000000001</v>
      </c>
      <c r="F18" s="62">
        <f t="shared" si="3"/>
        <v>11.208988776764039</v>
      </c>
      <c r="G18">
        <v>13.25</v>
      </c>
      <c r="H18">
        <f>H17+5</f>
        <v>102</v>
      </c>
      <c r="I18" s="7">
        <f t="shared" si="2"/>
        <v>8.3333333333333329E-2</v>
      </c>
    </row>
    <row r="19" spans="1:26" x14ac:dyDescent="0.3">
      <c r="A19" s="6">
        <v>5</v>
      </c>
      <c r="B19">
        <v>2.67</v>
      </c>
      <c r="D19" s="6">
        <f t="shared" si="0"/>
        <v>3.674499</v>
      </c>
      <c r="E19" s="6">
        <f t="shared" si="1"/>
        <v>2.674499</v>
      </c>
      <c r="F19" s="62">
        <f t="shared" si="3"/>
        <v>11.250350358966122</v>
      </c>
      <c r="G19">
        <v>13.31</v>
      </c>
      <c r="H19">
        <f>H18+6</f>
        <v>108</v>
      </c>
      <c r="I19" s="7">
        <f t="shared" si="2"/>
        <v>8.3333333333333329E-2</v>
      </c>
    </row>
    <row r="20" spans="1:26" x14ac:dyDescent="0.3">
      <c r="A20" s="6">
        <v>7</v>
      </c>
      <c r="B20">
        <v>2.68</v>
      </c>
      <c r="D20" s="6">
        <f t="shared" si="0"/>
        <v>3.6843680000000001</v>
      </c>
      <c r="E20" s="6">
        <f t="shared" si="1"/>
        <v>2.6843680000000001</v>
      </c>
      <c r="F20" s="62">
        <f t="shared" si="3"/>
        <v>15.692584287469657</v>
      </c>
      <c r="G20">
        <v>13.31</v>
      </c>
      <c r="H20">
        <v>108</v>
      </c>
      <c r="I20" s="7">
        <f t="shared" si="2"/>
        <v>0.11666666666666667</v>
      </c>
    </row>
    <row r="21" spans="1:26" x14ac:dyDescent="0.3">
      <c r="A21" s="6">
        <v>7</v>
      </c>
      <c r="B21">
        <v>3.2</v>
      </c>
      <c r="D21" s="6">
        <f t="shared" si="0"/>
        <v>4.1975560000000005</v>
      </c>
      <c r="E21" s="6">
        <f t="shared" si="1"/>
        <v>3.1975560000000005</v>
      </c>
      <c r="F21" s="62">
        <f t="shared" si="3"/>
        <v>13.17402137713502</v>
      </c>
      <c r="G21">
        <v>13.32</v>
      </c>
      <c r="H21">
        <v>109</v>
      </c>
      <c r="I21" s="7">
        <f t="shared" si="2"/>
        <v>0.11666666666666667</v>
      </c>
    </row>
    <row r="22" spans="1:26" x14ac:dyDescent="0.3">
      <c r="A22" s="6">
        <v>7</v>
      </c>
      <c r="B22">
        <v>3.65</v>
      </c>
      <c r="D22" s="6">
        <f t="shared" si="0"/>
        <v>4.641661</v>
      </c>
      <c r="E22" s="6">
        <f t="shared" si="1"/>
        <v>3.641661</v>
      </c>
      <c r="F22" s="62">
        <f t="shared" si="3"/>
        <v>11.567433404313677</v>
      </c>
      <c r="G22">
        <v>13.32</v>
      </c>
      <c r="H22">
        <v>109</v>
      </c>
      <c r="I22" s="7">
        <f t="shared" si="2"/>
        <v>0.11666666666666667</v>
      </c>
    </row>
    <row r="23" spans="1:26" x14ac:dyDescent="0.3">
      <c r="A23" s="6">
        <v>7</v>
      </c>
      <c r="B23">
        <v>3.62</v>
      </c>
      <c r="D23" s="6">
        <f t="shared" si="0"/>
        <v>4.6120540000000005</v>
      </c>
      <c r="E23" s="6">
        <f t="shared" si="1"/>
        <v>3.6120540000000005</v>
      </c>
      <c r="F23" s="62">
        <f t="shared" si="3"/>
        <v>11.662248432217888</v>
      </c>
      <c r="G23">
        <v>13.33</v>
      </c>
      <c r="H23">
        <v>110</v>
      </c>
      <c r="I23" s="7">
        <f t="shared" si="2"/>
        <v>0.11666666666666667</v>
      </c>
      <c r="Y23" t="s">
        <v>11</v>
      </c>
      <c r="Z23" t="s">
        <v>10</v>
      </c>
    </row>
    <row r="24" spans="1:26" x14ac:dyDescent="0.3">
      <c r="A24" s="6">
        <v>7</v>
      </c>
      <c r="B24">
        <v>3.58</v>
      </c>
      <c r="D24" s="6">
        <f t="shared" si="0"/>
        <v>4.572578</v>
      </c>
      <c r="E24" s="6">
        <f t="shared" si="1"/>
        <v>3.572578</v>
      </c>
      <c r="F24" s="62">
        <f t="shared" si="3"/>
        <v>11.791113055778306</v>
      </c>
      <c r="G24">
        <v>13.35</v>
      </c>
      <c r="H24">
        <f>H23+2</f>
        <v>112</v>
      </c>
      <c r="I24" s="7">
        <f t="shared" si="2"/>
        <v>0.11666666666666667</v>
      </c>
      <c r="Y24" s="6">
        <v>2.69333981818182</v>
      </c>
      <c r="Z24" s="6">
        <v>8.3333333333333329E-2</v>
      </c>
    </row>
    <row r="25" spans="1:26" x14ac:dyDescent="0.3">
      <c r="A25" s="6">
        <v>7</v>
      </c>
      <c r="B25">
        <v>3.58</v>
      </c>
      <c r="D25" s="6">
        <f t="shared" si="0"/>
        <v>4.572578</v>
      </c>
      <c r="E25" s="6">
        <f t="shared" si="1"/>
        <v>3.572578</v>
      </c>
      <c r="F25" s="62">
        <f t="shared" si="3"/>
        <v>11.791113055778306</v>
      </c>
      <c r="G25">
        <v>13.41</v>
      </c>
      <c r="H25">
        <f>H24+6</f>
        <v>118</v>
      </c>
      <c r="I25" s="7">
        <f t="shared" si="2"/>
        <v>0.11666666666666667</v>
      </c>
      <c r="Y25" s="6">
        <v>3.5810371428571401</v>
      </c>
      <c r="Z25" s="6">
        <v>0.116666666666667</v>
      </c>
    </row>
    <row r="26" spans="1:26" x14ac:dyDescent="0.3">
      <c r="A26" s="6">
        <v>7</v>
      </c>
      <c r="B26">
        <v>3.58</v>
      </c>
      <c r="D26" s="6">
        <f t="shared" si="0"/>
        <v>4.572578</v>
      </c>
      <c r="E26" s="6">
        <f t="shared" si="1"/>
        <v>3.572578</v>
      </c>
      <c r="F26" s="62">
        <f t="shared" si="3"/>
        <v>11.791113055778306</v>
      </c>
      <c r="G26">
        <v>13.45</v>
      </c>
      <c r="H26">
        <f>H25+4</f>
        <v>122</v>
      </c>
      <c r="I26" s="7">
        <f t="shared" si="2"/>
        <v>0.11666666666666667</v>
      </c>
      <c r="Y26" s="6">
        <v>5.2068843999999999</v>
      </c>
      <c r="Z26" s="6">
        <v>0.16666666666666666</v>
      </c>
    </row>
    <row r="27" spans="1:26" x14ac:dyDescent="0.3">
      <c r="A27" s="6">
        <v>7</v>
      </c>
      <c r="B27">
        <v>3.61</v>
      </c>
      <c r="D27" s="6">
        <f t="shared" si="0"/>
        <v>4.6021850000000004</v>
      </c>
      <c r="E27" s="6">
        <f t="shared" si="1"/>
        <v>3.6021850000000004</v>
      </c>
      <c r="F27" s="62">
        <f t="shared" si="3"/>
        <v>11.694199797785606</v>
      </c>
      <c r="G27">
        <v>13.5</v>
      </c>
      <c r="H27">
        <f>H26+5</f>
        <v>127</v>
      </c>
      <c r="I27" s="7">
        <f t="shared" si="2"/>
        <v>0.11666666666666667</v>
      </c>
    </row>
    <row r="28" spans="1:26" x14ac:dyDescent="0.3">
      <c r="A28" s="6">
        <v>7</v>
      </c>
      <c r="B28">
        <v>3.59</v>
      </c>
      <c r="D28" s="6">
        <f t="shared" si="0"/>
        <v>4.5824470000000002</v>
      </c>
      <c r="E28" s="6">
        <f t="shared" si="1"/>
        <v>3.5824470000000002</v>
      </c>
      <c r="F28" s="62">
        <f t="shared" si="3"/>
        <v>11.758630650665969</v>
      </c>
      <c r="G28">
        <v>13.55</v>
      </c>
      <c r="H28">
        <f>H27+5</f>
        <v>132</v>
      </c>
      <c r="I28" s="7">
        <f t="shared" si="2"/>
        <v>0.11666666666666667</v>
      </c>
    </row>
    <row r="29" spans="1:26" x14ac:dyDescent="0.3">
      <c r="A29" s="6">
        <v>7</v>
      </c>
      <c r="B29">
        <v>3.6</v>
      </c>
      <c r="D29" s="6">
        <f t="shared" si="0"/>
        <v>4.5923160000000003</v>
      </c>
      <c r="E29" s="6">
        <f t="shared" si="1"/>
        <v>3.5923160000000003</v>
      </c>
      <c r="F29" s="62">
        <f t="shared" si="3"/>
        <v>11.726326720306995</v>
      </c>
      <c r="G29">
        <v>14</v>
      </c>
      <c r="H29">
        <f>H28+5</f>
        <v>137</v>
      </c>
      <c r="I29" s="7">
        <f t="shared" si="2"/>
        <v>0.11666666666666667</v>
      </c>
    </row>
    <row r="30" spans="1:26" x14ac:dyDescent="0.3">
      <c r="A30" s="6">
        <v>7</v>
      </c>
      <c r="B30">
        <v>3.58</v>
      </c>
      <c r="D30" s="6">
        <f t="shared" si="0"/>
        <v>4.572578</v>
      </c>
      <c r="E30" s="6">
        <f t="shared" si="1"/>
        <v>3.572578</v>
      </c>
      <c r="F30" s="62">
        <f t="shared" si="3"/>
        <v>11.791113055778306</v>
      </c>
      <c r="G30">
        <v>14.05</v>
      </c>
      <c r="H30">
        <f>H29+5</f>
        <v>142</v>
      </c>
      <c r="I30" s="7">
        <f t="shared" si="2"/>
        <v>0.11666666666666667</v>
      </c>
    </row>
    <row r="31" spans="1:26" x14ac:dyDescent="0.3">
      <c r="A31" s="6">
        <v>10</v>
      </c>
      <c r="B31">
        <v>4.9800000000000004</v>
      </c>
      <c r="D31" s="6">
        <f t="shared" si="0"/>
        <v>5.9542380000000001</v>
      </c>
      <c r="E31" s="6">
        <f t="shared" si="1"/>
        <v>4.9542380000000001</v>
      </c>
      <c r="F31" s="62">
        <f t="shared" si="3"/>
        <v>12.146792618644696</v>
      </c>
      <c r="G31">
        <v>15.1</v>
      </c>
      <c r="H31">
        <f>H30+5</f>
        <v>147</v>
      </c>
      <c r="I31" s="7">
        <f t="shared" si="2"/>
        <v>0.16666666666666666</v>
      </c>
    </row>
    <row r="32" spans="1:26" x14ac:dyDescent="0.3">
      <c r="A32" s="6">
        <v>10</v>
      </c>
      <c r="B32">
        <v>5.01</v>
      </c>
      <c r="D32" s="6">
        <f t="shared" si="0"/>
        <v>5.9838449999999996</v>
      </c>
      <c r="E32" s="6">
        <f t="shared" si="1"/>
        <v>4.9838449999999996</v>
      </c>
      <c r="F32" s="62">
        <f t="shared" si="3"/>
        <v>12.074633454573542</v>
      </c>
      <c r="G32">
        <v>15.16</v>
      </c>
      <c r="H32">
        <f>H31+6</f>
        <v>153</v>
      </c>
      <c r="I32" s="7">
        <f t="shared" si="2"/>
        <v>0.16666666666666666</v>
      </c>
    </row>
    <row r="33" spans="1:32" x14ac:dyDescent="0.3">
      <c r="A33" s="6">
        <v>10</v>
      </c>
      <c r="B33">
        <v>5.03</v>
      </c>
      <c r="D33" s="6">
        <f t="shared" si="0"/>
        <v>6.0035829999999999</v>
      </c>
      <c r="E33" s="6">
        <f t="shared" si="1"/>
        <v>5.0035829999999999</v>
      </c>
      <c r="F33" s="62">
        <f t="shared" si="3"/>
        <v>12.027001764417433</v>
      </c>
      <c r="G33">
        <v>15.2</v>
      </c>
      <c r="H33">
        <f>H32+4</f>
        <v>157</v>
      </c>
      <c r="I33" s="7">
        <f t="shared" si="2"/>
        <v>0.16666666666666666</v>
      </c>
    </row>
    <row r="34" spans="1:32" x14ac:dyDescent="0.3">
      <c r="A34" s="6">
        <v>10</v>
      </c>
      <c r="B34">
        <v>5.07</v>
      </c>
      <c r="D34" s="6">
        <f t="shared" ref="D34:D54" si="7">0.9869*(B34-$C$2)+1</f>
        <v>6.0430590000000004</v>
      </c>
      <c r="E34" s="6">
        <f t="shared" ref="E34:E54" si="8">D34-1</f>
        <v>5.0430590000000004</v>
      </c>
      <c r="F34" s="62">
        <f t="shared" si="3"/>
        <v>11.932856936515924</v>
      </c>
      <c r="G34">
        <v>15.24</v>
      </c>
      <c r="H34">
        <f>H33+4</f>
        <v>161</v>
      </c>
      <c r="I34" s="7">
        <f t="shared" si="2"/>
        <v>0.16666666666666666</v>
      </c>
    </row>
    <row r="35" spans="1:32" x14ac:dyDescent="0.3">
      <c r="A35" s="6">
        <v>10</v>
      </c>
      <c r="B35">
        <v>5.0999999999999996</v>
      </c>
      <c r="D35" s="6">
        <f t="shared" si="7"/>
        <v>6.0726659999999999</v>
      </c>
      <c r="E35" s="6">
        <f t="shared" si="8"/>
        <v>5.0726659999999999</v>
      </c>
      <c r="F35" s="62">
        <f t="shared" si="3"/>
        <v>11.863209911594625</v>
      </c>
      <c r="G35">
        <v>15.3</v>
      </c>
      <c r="H35">
        <f>H34+6</f>
        <v>167</v>
      </c>
      <c r="I35" s="7">
        <f t="shared" si="2"/>
        <v>0.16666666666666666</v>
      </c>
      <c r="V35" s="9"/>
    </row>
    <row r="36" spans="1:32" x14ac:dyDescent="0.3">
      <c r="A36" s="6">
        <v>10</v>
      </c>
      <c r="B36">
        <v>5.1100000000000003</v>
      </c>
      <c r="D36" s="6">
        <f t="shared" si="7"/>
        <v>6.082535</v>
      </c>
      <c r="E36" s="6">
        <f t="shared" si="8"/>
        <v>5.082535</v>
      </c>
      <c r="F36" s="62">
        <f t="shared" si="3"/>
        <v>11.840174552542985</v>
      </c>
      <c r="G36">
        <v>15.36</v>
      </c>
      <c r="H36">
        <f>H35+6</f>
        <v>173</v>
      </c>
      <c r="I36" s="7">
        <f t="shared" si="2"/>
        <v>0.16666666666666666</v>
      </c>
    </row>
    <row r="37" spans="1:32" x14ac:dyDescent="0.3">
      <c r="A37" s="6">
        <v>10</v>
      </c>
      <c r="B37">
        <v>5.14</v>
      </c>
      <c r="D37" s="6">
        <f t="shared" si="7"/>
        <v>6.1121419999999995</v>
      </c>
      <c r="E37" s="6">
        <f t="shared" si="8"/>
        <v>5.1121419999999995</v>
      </c>
      <c r="F37" s="62">
        <f t="shared" si="3"/>
        <v>11.771602113049495</v>
      </c>
      <c r="G37">
        <v>15.4</v>
      </c>
      <c r="H37">
        <f>H36+4</f>
        <v>177</v>
      </c>
      <c r="I37" s="7">
        <f t="shared" si="2"/>
        <v>0.16666666666666666</v>
      </c>
    </row>
    <row r="38" spans="1:32" x14ac:dyDescent="0.3">
      <c r="A38" s="6">
        <v>10</v>
      </c>
      <c r="B38">
        <v>5.18</v>
      </c>
      <c r="D38" s="6">
        <f t="shared" si="7"/>
        <v>6.151618</v>
      </c>
      <c r="E38" s="6">
        <f t="shared" si="8"/>
        <v>5.151618</v>
      </c>
      <c r="F38" s="62">
        <f t="shared" si="3"/>
        <v>11.681398265439919</v>
      </c>
      <c r="G38">
        <v>15.45</v>
      </c>
      <c r="H38">
        <f>H37+5</f>
        <v>182</v>
      </c>
      <c r="I38" s="7">
        <f t="shared" si="2"/>
        <v>0.16666666666666666</v>
      </c>
    </row>
    <row r="39" spans="1:32" x14ac:dyDescent="0.3">
      <c r="A39" s="6">
        <v>10</v>
      </c>
      <c r="B39">
        <v>5.17</v>
      </c>
      <c r="D39" s="6">
        <f t="shared" si="7"/>
        <v>6.1417489999999999</v>
      </c>
      <c r="E39" s="6">
        <f t="shared" si="8"/>
        <v>5.1417489999999999</v>
      </c>
      <c r="F39" s="62">
        <f t="shared" si="3"/>
        <v>11.70381937535439</v>
      </c>
      <c r="G39">
        <v>15.48</v>
      </c>
      <c r="H39">
        <v>185</v>
      </c>
      <c r="I39" s="7">
        <f t="shared" si="2"/>
        <v>0.16666666666666666</v>
      </c>
    </row>
    <row r="40" spans="1:32" x14ac:dyDescent="0.3">
      <c r="A40" s="6">
        <v>10</v>
      </c>
      <c r="B40">
        <v>5.21</v>
      </c>
      <c r="D40" s="6">
        <f t="shared" si="7"/>
        <v>6.1812250000000004</v>
      </c>
      <c r="E40" s="6">
        <f t="shared" si="8"/>
        <v>5.1812250000000004</v>
      </c>
      <c r="F40" s="62">
        <f t="shared" si="3"/>
        <v>11.614647418208833</v>
      </c>
      <c r="G40">
        <v>15.5</v>
      </c>
      <c r="H40">
        <f>H39+2</f>
        <v>187</v>
      </c>
      <c r="I40" s="7">
        <f t="shared" si="2"/>
        <v>0.16666666666666666</v>
      </c>
    </row>
    <row r="41" spans="1:32" x14ac:dyDescent="0.3">
      <c r="A41" s="6">
        <v>10</v>
      </c>
      <c r="B41">
        <v>5.22</v>
      </c>
      <c r="D41" s="6">
        <f t="shared" si="7"/>
        <v>6.1910939999999997</v>
      </c>
      <c r="E41" s="6">
        <f t="shared" si="8"/>
        <v>5.1910939999999997</v>
      </c>
      <c r="F41" s="62">
        <f t="shared" si="3"/>
        <v>11.592566339466993</v>
      </c>
      <c r="G41">
        <v>15.55</v>
      </c>
      <c r="H41">
        <f>H40+5</f>
        <v>192</v>
      </c>
      <c r="I41" s="7">
        <f t="shared" si="2"/>
        <v>0.16666666666666666</v>
      </c>
    </row>
    <row r="42" spans="1:32" x14ac:dyDescent="0.3">
      <c r="A42" s="6">
        <v>10</v>
      </c>
      <c r="B42">
        <v>5.13</v>
      </c>
      <c r="D42" s="6">
        <f t="shared" si="7"/>
        <v>6.1022730000000003</v>
      </c>
      <c r="E42" s="6">
        <f t="shared" si="8"/>
        <v>5.1022730000000003</v>
      </c>
      <c r="F42" s="62">
        <f t="shared" si="3"/>
        <v>11.794371169361002</v>
      </c>
      <c r="G42">
        <v>16.32</v>
      </c>
      <c r="H42">
        <v>192</v>
      </c>
      <c r="I42" s="7">
        <f t="shared" si="2"/>
        <v>0.16666666666666666</v>
      </c>
    </row>
    <row r="43" spans="1:32" x14ac:dyDescent="0.3">
      <c r="A43" s="6">
        <v>10</v>
      </c>
      <c r="B43">
        <v>5.18</v>
      </c>
      <c r="D43" s="6">
        <f t="shared" si="7"/>
        <v>6.151618</v>
      </c>
      <c r="E43" s="6">
        <f t="shared" si="8"/>
        <v>5.151618</v>
      </c>
      <c r="F43" s="62">
        <f t="shared" si="3"/>
        <v>11.681398265439919</v>
      </c>
      <c r="G43">
        <v>16.32</v>
      </c>
      <c r="H43">
        <v>192</v>
      </c>
      <c r="I43" s="7">
        <f t="shared" si="2"/>
        <v>0.16666666666666666</v>
      </c>
    </row>
    <row r="44" spans="1:32" x14ac:dyDescent="0.3">
      <c r="A44" s="6">
        <v>10</v>
      </c>
      <c r="B44">
        <v>5.2</v>
      </c>
      <c r="D44" s="6">
        <f t="shared" si="7"/>
        <v>6.1713560000000003</v>
      </c>
      <c r="E44" s="6">
        <f t="shared" si="8"/>
        <v>5.1713560000000003</v>
      </c>
      <c r="F44" s="62">
        <f t="shared" si="3"/>
        <v>11.63681277587717</v>
      </c>
      <c r="G44">
        <v>16.32</v>
      </c>
      <c r="H44">
        <v>192</v>
      </c>
      <c r="I44" s="7">
        <f t="shared" si="2"/>
        <v>0.16666666666666666</v>
      </c>
      <c r="AD44" t="s">
        <v>24</v>
      </c>
      <c r="AF44" s="2" t="s">
        <v>23</v>
      </c>
    </row>
    <row r="45" spans="1:32" x14ac:dyDescent="0.3">
      <c r="A45" s="6">
        <v>10</v>
      </c>
      <c r="B45">
        <v>5.23</v>
      </c>
      <c r="D45" s="6">
        <f t="shared" si="7"/>
        <v>6.2009630000000007</v>
      </c>
      <c r="E45" s="6">
        <f t="shared" si="8"/>
        <v>5.2009630000000007</v>
      </c>
      <c r="F45" s="62">
        <f t="shared" si="3"/>
        <v>11.570569059885459</v>
      </c>
      <c r="G45">
        <v>16.32</v>
      </c>
      <c r="H45">
        <v>192</v>
      </c>
      <c r="I45" s="7">
        <f t="shared" si="2"/>
        <v>0.16666666666666666</v>
      </c>
      <c r="AD45">
        <v>3.1999600000000003E-2</v>
      </c>
      <c r="AF45" s="60">
        <f>(AB47*1000*J2*0.386)/(PI()*K2^2/4)</f>
        <v>11.864069356396293</v>
      </c>
    </row>
    <row r="46" spans="1:32" x14ac:dyDescent="0.3">
      <c r="A46" s="6">
        <v>10</v>
      </c>
      <c r="B46">
        <v>5.22</v>
      </c>
      <c r="D46" s="6">
        <f t="shared" si="7"/>
        <v>6.1910939999999997</v>
      </c>
      <c r="E46" s="6">
        <f t="shared" si="8"/>
        <v>5.1910939999999997</v>
      </c>
      <c r="F46" s="62">
        <f t="shared" si="3"/>
        <v>11.592566339466993</v>
      </c>
      <c r="G46">
        <v>16.350000000000001</v>
      </c>
      <c r="H46">
        <f>H45+3</f>
        <v>195</v>
      </c>
      <c r="I46" s="7">
        <f t="shared" si="2"/>
        <v>0.16666666666666666</v>
      </c>
      <c r="AB46" s="2" t="s">
        <v>163</v>
      </c>
    </row>
    <row r="47" spans="1:32" x14ac:dyDescent="0.3">
      <c r="A47" s="6">
        <v>10</v>
      </c>
      <c r="B47">
        <v>5.23</v>
      </c>
      <c r="D47" s="6">
        <f t="shared" si="7"/>
        <v>6.2009630000000007</v>
      </c>
      <c r="E47" s="6">
        <f t="shared" si="8"/>
        <v>5.2009630000000007</v>
      </c>
      <c r="F47" s="62">
        <f t="shared" si="3"/>
        <v>11.570569059885459</v>
      </c>
      <c r="G47">
        <v>16.399999999999999</v>
      </c>
      <c r="H47">
        <v>200</v>
      </c>
      <c r="I47" s="7">
        <f t="shared" si="2"/>
        <v>0.16666666666666666</v>
      </c>
      <c r="AB47" s="30">
        <f t="array" ref="AB47:AB51">LINEST(Z24:Z26,Y24:Y26,TRUE,TRUE)</f>
        <v>3.2858213223161542E-2</v>
      </c>
    </row>
    <row r="48" spans="1:32" x14ac:dyDescent="0.3">
      <c r="A48" s="6">
        <v>10</v>
      </c>
      <c r="B48">
        <v>5.24</v>
      </c>
      <c r="D48" s="6">
        <f t="shared" si="7"/>
        <v>6.2108319999999999</v>
      </c>
      <c r="E48" s="6">
        <f t="shared" si="8"/>
        <v>5.2108319999999999</v>
      </c>
      <c r="F48" s="62">
        <f t="shared" si="3"/>
        <v>11.548655103332647</v>
      </c>
      <c r="G48">
        <v>16.45</v>
      </c>
      <c r="H48">
        <v>205</v>
      </c>
      <c r="I48" s="7">
        <f t="shared" si="2"/>
        <v>0.16666666666666666</v>
      </c>
      <c r="AB48" s="10">
        <v>1.7428436228711622E-3</v>
      </c>
    </row>
    <row r="49" spans="1:28" x14ac:dyDescent="0.3">
      <c r="A49" s="6">
        <v>10</v>
      </c>
      <c r="B49">
        <v>5.23</v>
      </c>
      <c r="D49" s="6">
        <f t="shared" si="7"/>
        <v>6.2009630000000007</v>
      </c>
      <c r="E49" s="6">
        <f t="shared" si="8"/>
        <v>5.2009630000000007</v>
      </c>
      <c r="F49" s="62">
        <f t="shared" si="3"/>
        <v>11.570569059885459</v>
      </c>
      <c r="G49">
        <v>16.5</v>
      </c>
      <c r="H49">
        <v>210</v>
      </c>
      <c r="I49" s="7">
        <f t="shared" si="2"/>
        <v>0.16666666666666666</v>
      </c>
      <c r="AB49" s="7">
        <v>0.99719450929045539</v>
      </c>
    </row>
    <row r="50" spans="1:28" x14ac:dyDescent="0.3">
      <c r="A50" s="6">
        <v>10</v>
      </c>
      <c r="B50">
        <v>5.24</v>
      </c>
      <c r="D50" s="6">
        <f t="shared" si="7"/>
        <v>6.2108319999999999</v>
      </c>
      <c r="E50" s="6">
        <f t="shared" si="8"/>
        <v>5.2108319999999999</v>
      </c>
      <c r="F50" s="62">
        <f t="shared" si="3"/>
        <v>11.548655103332647</v>
      </c>
      <c r="G50">
        <v>16.559999999999999</v>
      </c>
      <c r="H50">
        <v>216</v>
      </c>
      <c r="I50" s="7">
        <f t="shared" si="2"/>
        <v>0.16666666666666666</v>
      </c>
      <c r="AB50">
        <v>355.44388220494363</v>
      </c>
    </row>
    <row r="51" spans="1:28" x14ac:dyDescent="0.3">
      <c r="A51" s="6">
        <v>10</v>
      </c>
      <c r="B51">
        <v>5.25</v>
      </c>
      <c r="D51" s="6">
        <f t="shared" si="7"/>
        <v>6.220701</v>
      </c>
      <c r="E51" s="6">
        <f t="shared" si="8"/>
        <v>5.220701</v>
      </c>
      <c r="F51" s="62">
        <f t="shared" si="3"/>
        <v>11.526823997277198</v>
      </c>
      <c r="G51">
        <v>17</v>
      </c>
      <c r="H51">
        <f>H50+4</f>
        <v>220</v>
      </c>
      <c r="I51" s="7">
        <f t="shared" si="2"/>
        <v>0.16666666666666666</v>
      </c>
      <c r="AB51">
        <v>3.5086473475034502E-3</v>
      </c>
    </row>
    <row r="52" spans="1:28" x14ac:dyDescent="0.3">
      <c r="A52" s="6">
        <v>10</v>
      </c>
      <c r="B52">
        <v>5.24</v>
      </c>
      <c r="D52" s="6">
        <f t="shared" si="7"/>
        <v>6.2108319999999999</v>
      </c>
      <c r="E52" s="6">
        <f t="shared" si="8"/>
        <v>5.2108319999999999</v>
      </c>
      <c r="F52" s="62">
        <f t="shared" si="3"/>
        <v>11.548655103332647</v>
      </c>
      <c r="G52">
        <v>17.059999999999999</v>
      </c>
      <c r="H52">
        <f>H51+6</f>
        <v>226</v>
      </c>
      <c r="I52" s="7">
        <f t="shared" si="2"/>
        <v>0.16666666666666666</v>
      </c>
    </row>
    <row r="53" spans="1:28" x14ac:dyDescent="0.3">
      <c r="A53" s="6">
        <v>10</v>
      </c>
      <c r="B53">
        <v>5.23</v>
      </c>
      <c r="D53" s="6">
        <f t="shared" si="7"/>
        <v>6.2009630000000007</v>
      </c>
      <c r="E53" s="6">
        <f t="shared" si="8"/>
        <v>5.2009630000000007</v>
      </c>
      <c r="F53" s="62">
        <f t="shared" si="3"/>
        <v>11.570569059885459</v>
      </c>
      <c r="G53">
        <v>17.100000000000001</v>
      </c>
      <c r="H53">
        <f>H52+4</f>
        <v>230</v>
      </c>
      <c r="I53" s="7">
        <f t="shared" si="2"/>
        <v>0.16666666666666666</v>
      </c>
    </row>
    <row r="54" spans="1:28" x14ac:dyDescent="0.3">
      <c r="A54" s="6">
        <v>10</v>
      </c>
      <c r="B54">
        <v>5.25</v>
      </c>
      <c r="D54" s="6">
        <f t="shared" si="7"/>
        <v>6.220701</v>
      </c>
      <c r="E54" s="6">
        <f t="shared" si="8"/>
        <v>5.220701</v>
      </c>
      <c r="F54" s="62">
        <f t="shared" si="3"/>
        <v>11.526823997277198</v>
      </c>
      <c r="G54">
        <v>17.149999999999999</v>
      </c>
      <c r="H54">
        <v>235</v>
      </c>
      <c r="I54" s="7">
        <f t="shared" si="2"/>
        <v>0.16666666666666666</v>
      </c>
    </row>
    <row r="55" spans="1:28" x14ac:dyDescent="0.3">
      <c r="F55" s="4"/>
      <c r="I55" s="9"/>
    </row>
    <row r="56" spans="1:28" x14ac:dyDescent="0.3">
      <c r="F56" s="4"/>
      <c r="I56" s="9"/>
    </row>
    <row r="57" spans="1:28" x14ac:dyDescent="0.3">
      <c r="F57" s="4"/>
      <c r="I57" s="9"/>
    </row>
    <row r="58" spans="1:28" x14ac:dyDescent="0.3">
      <c r="F58" s="4"/>
      <c r="I58" s="9"/>
    </row>
    <row r="59" spans="1:28" x14ac:dyDescent="0.3">
      <c r="F59" s="4"/>
      <c r="I59" s="9"/>
    </row>
    <row r="60" spans="1:28" x14ac:dyDescent="0.3">
      <c r="F60" s="4"/>
      <c r="I60" s="9"/>
    </row>
    <row r="61" spans="1:28" x14ac:dyDescent="0.3">
      <c r="F61" s="4"/>
      <c r="I61" s="9"/>
    </row>
    <row r="68" spans="3:23" x14ac:dyDescent="0.3">
      <c r="C68" s="6"/>
    </row>
    <row r="69" spans="3:23" x14ac:dyDescent="0.3">
      <c r="C69" s="6"/>
    </row>
    <row r="70" spans="3:23" x14ac:dyDescent="0.3">
      <c r="C70" s="6"/>
    </row>
    <row r="71" spans="3:23" x14ac:dyDescent="0.3">
      <c r="C71" s="6"/>
      <c r="L71" s="2" t="s">
        <v>21</v>
      </c>
      <c r="M71" s="2"/>
      <c r="N71" s="2" t="s">
        <v>133</v>
      </c>
      <c r="O71" s="2" t="s">
        <v>213</v>
      </c>
      <c r="P71" s="2" t="s">
        <v>233</v>
      </c>
      <c r="R71" s="2" t="s">
        <v>139</v>
      </c>
    </row>
    <row r="72" spans="3:23" x14ac:dyDescent="0.3">
      <c r="C72" s="6"/>
      <c r="L72">
        <v>51.344900000000003</v>
      </c>
      <c r="N72">
        <v>18.3154</v>
      </c>
      <c r="O72">
        <v>4.7510000000000003</v>
      </c>
      <c r="P72">
        <v>2.5430000000000001</v>
      </c>
      <c r="R72" s="2" t="s">
        <v>138</v>
      </c>
      <c r="U72" s="2" t="s">
        <v>109</v>
      </c>
      <c r="V72" s="2" t="s">
        <v>113</v>
      </c>
      <c r="W72" t="s">
        <v>216</v>
      </c>
    </row>
    <row r="73" spans="3:23" x14ac:dyDescent="0.3">
      <c r="C73" s="6"/>
      <c r="R73" s="9">
        <f>O72*PI()*P72^2/4*N72/100</f>
        <v>4.4196109411019942</v>
      </c>
      <c r="U73">
        <v>55.2624</v>
      </c>
      <c r="V73" s="6">
        <v>68.307330002934407</v>
      </c>
      <c r="W73" t="s">
        <v>217</v>
      </c>
    </row>
    <row r="74" spans="3:23" x14ac:dyDescent="0.3">
      <c r="C74" s="6"/>
      <c r="L74" s="2"/>
      <c r="M74" s="2"/>
      <c r="U74">
        <v>55.157499999999999</v>
      </c>
      <c r="V74" s="6">
        <v>60.682150309519301</v>
      </c>
      <c r="W74" t="s">
        <v>218</v>
      </c>
    </row>
    <row r="75" spans="3:23" x14ac:dyDescent="0.3">
      <c r="C75" s="6"/>
      <c r="U75">
        <v>55.236199999999997</v>
      </c>
      <c r="V75" s="6">
        <v>66.402852329269066</v>
      </c>
      <c r="W75" t="s">
        <v>218</v>
      </c>
    </row>
    <row r="76" spans="3:23" x14ac:dyDescent="0.3">
      <c r="C76" s="6"/>
      <c r="U76">
        <v>55.207299999999996</v>
      </c>
      <c r="V76" s="6">
        <v>64.30211168923384</v>
      </c>
      <c r="W76" t="s">
        <v>218</v>
      </c>
    </row>
    <row r="77" spans="3:23" x14ac:dyDescent="0.3">
      <c r="C77" s="6"/>
      <c r="U77">
        <v>55.243099999999998</v>
      </c>
      <c r="V77" s="6">
        <v>66.904413243326047</v>
      </c>
      <c r="W77" t="s">
        <v>218</v>
      </c>
    </row>
    <row r="78" spans="3:23" x14ac:dyDescent="0.3">
      <c r="C78" s="6"/>
      <c r="U78">
        <v>55.184799999999996</v>
      </c>
      <c r="V78" s="6">
        <v>62.666586969483177</v>
      </c>
      <c r="W78" t="s">
        <v>218</v>
      </c>
    </row>
    <row r="79" spans="3:23" x14ac:dyDescent="0.3">
      <c r="C79" s="6"/>
      <c r="K79" s="2" t="s">
        <v>20</v>
      </c>
      <c r="L79" s="2" t="s">
        <v>109</v>
      </c>
      <c r="M79" s="2" t="s">
        <v>111</v>
      </c>
      <c r="N79" s="2" t="s">
        <v>112</v>
      </c>
      <c r="O79" s="2" t="s">
        <v>113</v>
      </c>
      <c r="P79" s="2" t="s">
        <v>156</v>
      </c>
    </row>
    <row r="80" spans="3:23" x14ac:dyDescent="0.3">
      <c r="C80" s="6"/>
      <c r="K80">
        <v>0.5514</v>
      </c>
      <c r="L80">
        <f>55.8138-0.5514</f>
        <v>55.2624</v>
      </c>
      <c r="M80">
        <f>0.684</f>
        <v>0.68400000000000005</v>
      </c>
      <c r="N80" s="6">
        <f>(L80-$L$72-M80*$R$73)/(1-M80)</f>
        <v>2.8306522667285852</v>
      </c>
      <c r="O80" s="36">
        <f>N80/$R$73*100</f>
        <v>64.04754410402434</v>
      </c>
    </row>
    <row r="81" spans="3:24" x14ac:dyDescent="0.3">
      <c r="C81" s="6"/>
    </row>
    <row r="82" spans="3:24" x14ac:dyDescent="0.3">
      <c r="C82" s="6"/>
      <c r="K82" s="2" t="s">
        <v>20</v>
      </c>
      <c r="L82" s="2" t="s">
        <v>109</v>
      </c>
      <c r="M82" s="2" t="s">
        <v>111</v>
      </c>
      <c r="N82" s="2" t="s">
        <v>112</v>
      </c>
      <c r="O82" s="2" t="s">
        <v>113</v>
      </c>
      <c r="P82" s="2" t="s">
        <v>160</v>
      </c>
    </row>
    <row r="83" spans="3:24" x14ac:dyDescent="0.3">
      <c r="C83" s="6"/>
      <c r="K83">
        <v>0.5514</v>
      </c>
      <c r="L83">
        <f>55.7089-0.5514</f>
        <v>55.157499999999999</v>
      </c>
      <c r="M83">
        <f>0.684</f>
        <v>0.68400000000000005</v>
      </c>
      <c r="N83" s="6">
        <f>(L83-$L$72-M83*$R$73)/(1-M83)</f>
        <v>2.4986902414121275</v>
      </c>
      <c r="O83" s="36">
        <f>N83/$R$73*100</f>
        <v>56.536429896453718</v>
      </c>
    </row>
    <row r="84" spans="3:24" x14ac:dyDescent="0.3">
      <c r="C84" s="6"/>
      <c r="U84" s="2" t="s">
        <v>189</v>
      </c>
    </row>
    <row r="85" spans="3:24" x14ac:dyDescent="0.3">
      <c r="C85" s="6"/>
      <c r="K85" s="2" t="s">
        <v>20</v>
      </c>
      <c r="L85" s="2" t="s">
        <v>109</v>
      </c>
      <c r="M85" s="2" t="s">
        <v>111</v>
      </c>
      <c r="N85" s="2" t="s">
        <v>112</v>
      </c>
      <c r="O85" s="2" t="s">
        <v>113</v>
      </c>
      <c r="P85" s="2" t="s">
        <v>160</v>
      </c>
      <c r="R85" s="2" t="s">
        <v>113</v>
      </c>
      <c r="S85" s="2" t="s">
        <v>184</v>
      </c>
      <c r="T85" s="2" t="s">
        <v>185</v>
      </c>
      <c r="U85" s="2" t="s">
        <v>180</v>
      </c>
      <c r="V85" s="2" t="s">
        <v>186</v>
      </c>
      <c r="W85" s="2" t="s">
        <v>187</v>
      </c>
      <c r="X85" s="2" t="s">
        <v>188</v>
      </c>
    </row>
    <row r="86" spans="3:24" x14ac:dyDescent="0.3">
      <c r="C86" s="6"/>
      <c r="K86">
        <v>0.5514</v>
      </c>
      <c r="L86">
        <f>55.7876-0.5514</f>
        <v>55.236199999999997</v>
      </c>
      <c r="M86">
        <f>0.684</f>
        <v>0.68400000000000005</v>
      </c>
      <c r="N86" s="6">
        <f>(L86-$L$72-M86*$R$73)/(1-M86)</f>
        <v>2.7477408743235125</v>
      </c>
      <c r="O86" s="36">
        <f>N86/$R$73*100</f>
        <v>62.171555617481246</v>
      </c>
      <c r="R86" s="63">
        <f>AVERAGE(O80,O83,O86,O89,O92,O95)</f>
        <v>60.669094100587245</v>
      </c>
      <c r="S86" s="36">
        <f>(R86-O80)^2</f>
        <v>11.413924425724108</v>
      </c>
      <c r="T86" s="36">
        <f>SQRT(SUM(S86:S91)/(6-1))</f>
        <v>2.8213807479120594</v>
      </c>
      <c r="U86">
        <v>4.032</v>
      </c>
      <c r="V86" s="63">
        <f>U86*T86/SQRT(6)</f>
        <v>4.6441538320776621</v>
      </c>
      <c r="W86" s="36">
        <f>R86+V86</f>
        <v>65.313247932664908</v>
      </c>
      <c r="X86" s="36">
        <f>R86-V86</f>
        <v>56.024940268509582</v>
      </c>
    </row>
    <row r="87" spans="3:24" x14ac:dyDescent="0.3">
      <c r="C87" s="6"/>
      <c r="S87" s="36">
        <f>(R86-O83)^2</f>
        <v>17.07891342412659</v>
      </c>
    </row>
    <row r="88" spans="3:24" x14ac:dyDescent="0.3">
      <c r="C88" s="6"/>
      <c r="K88" s="2" t="s">
        <v>20</v>
      </c>
      <c r="L88" s="2" t="s">
        <v>109</v>
      </c>
      <c r="M88" s="2" t="s">
        <v>111</v>
      </c>
      <c r="N88" s="2" t="s">
        <v>112</v>
      </c>
      <c r="O88" s="2" t="s">
        <v>113</v>
      </c>
      <c r="P88" s="2" t="s">
        <v>160</v>
      </c>
      <c r="S88" s="36">
        <f>(R86-O86)^2</f>
        <v>2.2573906097474246</v>
      </c>
    </row>
    <row r="89" spans="3:24" x14ac:dyDescent="0.3">
      <c r="C89" s="6"/>
      <c r="K89">
        <v>0.5514</v>
      </c>
      <c r="L89">
        <f>55.7587-0.5514</f>
        <v>55.207299999999996</v>
      </c>
      <c r="M89">
        <f>0.684</f>
        <v>0.68400000000000005</v>
      </c>
      <c r="N89" s="6">
        <f>(L89-$L$72-M89*$R$73)/(1-M89)</f>
        <v>2.6562851781209806</v>
      </c>
      <c r="O89" s="36">
        <f>N89/$R$73*100</f>
        <v>60.10224007316485</v>
      </c>
      <c r="S89" s="36">
        <f>(R86-O89)^2</f>
        <v>0.32132348840498859</v>
      </c>
    </row>
    <row r="90" spans="3:24" x14ac:dyDescent="0.3">
      <c r="C90" s="6"/>
      <c r="S90" s="36">
        <f>(R86-O92)^2</f>
        <v>3.9860903272140189</v>
      </c>
    </row>
    <row r="91" spans="3:24" x14ac:dyDescent="0.3">
      <c r="C91" s="6"/>
      <c r="K91" s="2" t="s">
        <v>20</v>
      </c>
      <c r="L91" s="2" t="s">
        <v>109</v>
      </c>
      <c r="M91" s="2" t="s">
        <v>111</v>
      </c>
      <c r="N91" s="2" t="s">
        <v>112</v>
      </c>
      <c r="O91" s="2" t="s">
        <v>113</v>
      </c>
      <c r="P91" s="2" t="s">
        <v>160</v>
      </c>
      <c r="S91" s="36">
        <f>(R86-O95)^2</f>
        <v>4.7433043482269301</v>
      </c>
    </row>
    <row r="92" spans="3:24" x14ac:dyDescent="0.3">
      <c r="C92" s="6"/>
      <c r="K92">
        <v>0.5514</v>
      </c>
      <c r="L92">
        <f>55.7945-0.5514</f>
        <v>55.243099999999998</v>
      </c>
      <c r="M92">
        <f>0.684</f>
        <v>0.68400000000000005</v>
      </c>
      <c r="N92" s="6">
        <f>(L92-$L$72-M92*$R$73)/(1-M92)</f>
        <v>2.7695763173614929</v>
      </c>
      <c r="O92" s="36">
        <f>N92/$R$73*100</f>
        <v>62.665613654013661</v>
      </c>
    </row>
    <row r="93" spans="3:24" x14ac:dyDescent="0.3">
      <c r="C93" s="6"/>
    </row>
    <row r="94" spans="3:24" x14ac:dyDescent="0.3">
      <c r="C94" s="6"/>
      <c r="K94" s="2" t="s">
        <v>20</v>
      </c>
      <c r="L94" s="2" t="s">
        <v>109</v>
      </c>
      <c r="M94" s="2" t="s">
        <v>111</v>
      </c>
      <c r="N94" s="2" t="s">
        <v>112</v>
      </c>
      <c r="O94" s="2" t="s">
        <v>113</v>
      </c>
      <c r="P94" s="2" t="s">
        <v>160</v>
      </c>
    </row>
    <row r="95" spans="3:24" x14ac:dyDescent="0.3">
      <c r="C95" s="6"/>
      <c r="K95">
        <v>0.5514</v>
      </c>
      <c r="L95">
        <f>55.7362-0.5514</f>
        <v>55.184799999999996</v>
      </c>
      <c r="M95">
        <f>0.684</f>
        <v>0.68400000000000005</v>
      </c>
      <c r="N95" s="6">
        <f>(L95-$L$72-M95*$R$73)/(1-M95)</f>
        <v>2.5850826464754082</v>
      </c>
      <c r="O95" s="36">
        <f>N95/$R$73*100</f>
        <v>58.491181258385581</v>
      </c>
    </row>
    <row r="96" spans="3:24" x14ac:dyDescent="0.3">
      <c r="C96" s="6"/>
    </row>
    <row r="97" spans="1:6" x14ac:dyDescent="0.3">
      <c r="C97" s="6"/>
    </row>
    <row r="98" spans="1:6" x14ac:dyDescent="0.3">
      <c r="A98" s="2"/>
      <c r="B98" s="2"/>
      <c r="C98" s="35"/>
      <c r="D98" s="2"/>
      <c r="E98" s="2"/>
      <c r="F98" s="2"/>
    </row>
    <row r="99" spans="1:6" x14ac:dyDescent="0.3">
      <c r="C99" s="6"/>
      <c r="D99" s="6"/>
      <c r="E99" s="6"/>
    </row>
    <row r="100" spans="1:6" x14ac:dyDescent="0.3">
      <c r="C100" s="6"/>
      <c r="D100" s="6"/>
      <c r="E100" s="6"/>
    </row>
    <row r="101" spans="1:6" x14ac:dyDescent="0.3">
      <c r="C101" s="6"/>
      <c r="D101" s="6"/>
      <c r="E101" s="6"/>
    </row>
    <row r="102" spans="1:6" x14ac:dyDescent="0.3">
      <c r="C102" s="6"/>
      <c r="D102" s="6"/>
      <c r="E102" s="6"/>
    </row>
    <row r="103" spans="1:6" x14ac:dyDescent="0.3">
      <c r="C103" s="6"/>
      <c r="D103" s="6"/>
      <c r="E103" s="6"/>
    </row>
    <row r="104" spans="1:6" x14ac:dyDescent="0.3">
      <c r="C104" s="6"/>
      <c r="D104" s="6"/>
      <c r="E104" s="6"/>
    </row>
    <row r="105" spans="1:6" x14ac:dyDescent="0.3">
      <c r="C105" s="6"/>
      <c r="D105" s="6"/>
      <c r="E105" s="6"/>
    </row>
    <row r="106" spans="1:6" x14ac:dyDescent="0.3">
      <c r="C106" s="6"/>
      <c r="D106" s="6"/>
      <c r="E106" s="6"/>
    </row>
    <row r="107" spans="1:6" x14ac:dyDescent="0.3">
      <c r="C107" s="6"/>
      <c r="D107" s="6"/>
      <c r="E107" s="6"/>
    </row>
    <row r="108" spans="1:6" x14ac:dyDescent="0.3">
      <c r="C108" s="6"/>
      <c r="D108" s="6"/>
      <c r="E108" s="6"/>
    </row>
    <row r="109" spans="1:6" x14ac:dyDescent="0.3">
      <c r="C109" s="6"/>
      <c r="D109" s="6"/>
      <c r="E109" s="6"/>
    </row>
    <row r="110" spans="1:6" x14ac:dyDescent="0.3">
      <c r="C110" s="6"/>
      <c r="D110" s="6"/>
      <c r="E110" s="6"/>
    </row>
    <row r="111" spans="1:6" x14ac:dyDescent="0.3">
      <c r="C111" s="6"/>
      <c r="D111" s="6"/>
      <c r="E111" s="6"/>
    </row>
    <row r="112" spans="1:6" x14ac:dyDescent="0.3">
      <c r="C112" s="6"/>
      <c r="D112" s="6"/>
      <c r="E112" s="6"/>
    </row>
    <row r="113" spans="3:5" x14ac:dyDescent="0.3">
      <c r="C113" s="6"/>
      <c r="D113" s="6"/>
      <c r="E113" s="6"/>
    </row>
    <row r="114" spans="3:5" x14ac:dyDescent="0.3">
      <c r="C114" s="6"/>
      <c r="D114" s="6"/>
      <c r="E114" s="6"/>
    </row>
    <row r="115" spans="3:5" x14ac:dyDescent="0.3">
      <c r="C115" s="6"/>
      <c r="D115" s="6"/>
      <c r="E115" s="6"/>
    </row>
    <row r="116" spans="3:5" x14ac:dyDescent="0.3">
      <c r="C116" s="6"/>
      <c r="D116" s="6"/>
      <c r="E116" s="6"/>
    </row>
    <row r="117" spans="3:5" x14ac:dyDescent="0.3">
      <c r="C117" s="6"/>
      <c r="D117" s="6"/>
      <c r="E117" s="6"/>
    </row>
    <row r="118" spans="3:5" x14ac:dyDescent="0.3">
      <c r="C118" s="6"/>
      <c r="D118" s="6"/>
      <c r="E118" s="6"/>
    </row>
    <row r="119" spans="3:5" x14ac:dyDescent="0.3">
      <c r="C119" s="6"/>
      <c r="D119" s="6"/>
      <c r="E119" s="6"/>
    </row>
    <row r="120" spans="3:5" x14ac:dyDescent="0.3">
      <c r="C120" s="6"/>
      <c r="D120" s="6"/>
      <c r="E120" s="6"/>
    </row>
    <row r="121" spans="3:5" x14ac:dyDescent="0.3">
      <c r="C121" s="6"/>
      <c r="D121" s="6"/>
      <c r="E121" s="6"/>
    </row>
    <row r="122" spans="3:5" x14ac:dyDescent="0.3">
      <c r="C122" s="6"/>
      <c r="D122" s="6"/>
      <c r="E122" s="6"/>
    </row>
    <row r="123" spans="3:5" x14ac:dyDescent="0.3">
      <c r="C123" s="6"/>
      <c r="D123" s="6"/>
      <c r="E123" s="6"/>
    </row>
    <row r="124" spans="3:5" x14ac:dyDescent="0.3">
      <c r="C124" s="6"/>
      <c r="D124" s="6"/>
      <c r="E124" s="6"/>
    </row>
    <row r="125" spans="3:5" x14ac:dyDescent="0.3">
      <c r="C125" s="6"/>
      <c r="D125" s="6"/>
      <c r="E125" s="6"/>
    </row>
    <row r="126" spans="3:5" x14ac:dyDescent="0.3">
      <c r="C126" s="6"/>
      <c r="D126" s="6"/>
      <c r="E126" s="6"/>
    </row>
    <row r="127" spans="3:5" x14ac:dyDescent="0.3">
      <c r="C127" s="6"/>
      <c r="D127" s="6"/>
      <c r="E127" s="6"/>
    </row>
    <row r="128" spans="3:5" x14ac:dyDescent="0.3">
      <c r="C128" s="6"/>
      <c r="D128" s="6"/>
      <c r="E128" s="6"/>
    </row>
    <row r="129" spans="3:5" x14ac:dyDescent="0.3">
      <c r="C129" s="6"/>
      <c r="D129" s="6"/>
      <c r="E129" s="6"/>
    </row>
    <row r="130" spans="3:5" x14ac:dyDescent="0.3">
      <c r="C130" s="6"/>
      <c r="D130" s="6"/>
      <c r="E130" s="6"/>
    </row>
    <row r="131" spans="3:5" x14ac:dyDescent="0.3">
      <c r="C131" s="6"/>
      <c r="D131" s="6"/>
      <c r="E131" s="6"/>
    </row>
    <row r="132" spans="3:5" x14ac:dyDescent="0.3">
      <c r="C132" s="6"/>
      <c r="D132" s="6"/>
      <c r="E132" s="6"/>
    </row>
    <row r="133" spans="3:5" x14ac:dyDescent="0.3">
      <c r="C133" s="6"/>
      <c r="D133" s="6"/>
      <c r="E133" s="6"/>
    </row>
    <row r="134" spans="3:5" x14ac:dyDescent="0.3">
      <c r="C134" s="6"/>
      <c r="D134" s="6"/>
      <c r="E134" s="6"/>
    </row>
    <row r="135" spans="3:5" x14ac:dyDescent="0.3">
      <c r="C135" s="6"/>
      <c r="D135" s="6"/>
      <c r="E135" s="6"/>
    </row>
    <row r="136" spans="3:5" x14ac:dyDescent="0.3">
      <c r="C136" s="6"/>
      <c r="D136" s="6"/>
      <c r="E136" s="6"/>
    </row>
    <row r="137" spans="3:5" x14ac:dyDescent="0.3">
      <c r="C137" s="6"/>
      <c r="D137" s="6"/>
      <c r="E137" s="6"/>
    </row>
    <row r="138" spans="3:5" x14ac:dyDescent="0.3">
      <c r="C138" s="6"/>
      <c r="D138" s="6"/>
      <c r="E138" s="6"/>
    </row>
    <row r="139" spans="3:5" x14ac:dyDescent="0.3">
      <c r="C139" s="6"/>
      <c r="D139" s="6"/>
      <c r="E139" s="6"/>
    </row>
    <row r="140" spans="3:5" x14ac:dyDescent="0.3">
      <c r="C140" s="6"/>
      <c r="D140" s="6"/>
      <c r="E140" s="6"/>
    </row>
    <row r="141" spans="3:5" x14ac:dyDescent="0.3">
      <c r="C141" s="6"/>
      <c r="D141" s="6"/>
      <c r="E141" s="6"/>
    </row>
    <row r="142" spans="3:5" x14ac:dyDescent="0.3">
      <c r="C142" s="6"/>
      <c r="D142" s="6"/>
      <c r="E142" s="6"/>
    </row>
    <row r="143" spans="3:5" x14ac:dyDescent="0.3">
      <c r="C143" s="6"/>
      <c r="D143" s="6"/>
      <c r="E143" s="6"/>
    </row>
    <row r="144" spans="3:5" x14ac:dyDescent="0.3">
      <c r="C144" s="6"/>
      <c r="D144" s="6"/>
      <c r="E144" s="6"/>
    </row>
    <row r="145" spans="3:5" x14ac:dyDescent="0.3">
      <c r="C145" s="6"/>
      <c r="D145" s="6"/>
      <c r="E145" s="6"/>
    </row>
    <row r="146" spans="3:5" x14ac:dyDescent="0.3">
      <c r="C146" s="6"/>
      <c r="D146" s="6"/>
      <c r="E146" s="6"/>
    </row>
    <row r="147" spans="3:5" x14ac:dyDescent="0.3">
      <c r="C147" s="6"/>
      <c r="D147" s="6"/>
      <c r="E147" s="6"/>
    </row>
    <row r="148" spans="3:5" x14ac:dyDescent="0.3">
      <c r="C148" s="6"/>
      <c r="D148" s="6"/>
      <c r="E148" s="6"/>
    </row>
    <row r="149" spans="3:5" x14ac:dyDescent="0.3">
      <c r="C149" s="6"/>
      <c r="D149" s="6"/>
      <c r="E149" s="6"/>
    </row>
    <row r="150" spans="3:5" x14ac:dyDescent="0.3">
      <c r="C150" s="6"/>
      <c r="D150" s="6"/>
      <c r="E150" s="6"/>
    </row>
    <row r="151" spans="3:5" x14ac:dyDescent="0.3">
      <c r="C151" s="6"/>
      <c r="D151" s="6"/>
      <c r="E151" s="6"/>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X268"/>
  <sheetViews>
    <sheetView topLeftCell="I16" zoomScale="90" zoomScaleNormal="90" workbookViewId="0">
      <selection activeCell="AC144" sqref="AC144"/>
    </sheetView>
  </sheetViews>
  <sheetFormatPr defaultRowHeight="14.4" x14ac:dyDescent="0.3"/>
  <cols>
    <col min="1" max="1" width="13.5546875" customWidth="1"/>
    <col min="2" max="2" width="13.33203125" customWidth="1"/>
    <col min="3" max="3" width="12.33203125" customWidth="1"/>
    <col min="4" max="4" width="9.5546875" customWidth="1"/>
    <col min="7" max="7" width="10.44140625" customWidth="1"/>
    <col min="9" max="9" width="10.109375" customWidth="1"/>
    <col min="10" max="10" width="17.88671875" customWidth="1"/>
    <col min="11" max="11" width="11.44140625" customWidth="1"/>
    <col min="12" max="12" width="14.44140625" customWidth="1"/>
    <col min="13" max="13" width="13.109375" customWidth="1"/>
    <col min="14" max="14" width="12" bestFit="1" customWidth="1"/>
    <col min="15" max="15" width="13.21875" customWidth="1"/>
    <col min="16" max="16" width="12" bestFit="1" customWidth="1"/>
    <col min="18" max="18" width="10" bestFit="1" customWidth="1"/>
    <col min="19" max="25" width="12" bestFit="1" customWidth="1"/>
    <col min="26" max="26" width="10.5546875" customWidth="1"/>
    <col min="27" max="27" width="18.6640625" customWidth="1"/>
    <col min="28" max="28" width="13.5546875" customWidth="1"/>
    <col min="29" max="29" width="17.88671875" customWidth="1"/>
    <col min="30" max="30" width="14" customWidth="1"/>
    <col min="31" max="31" width="12.6640625" bestFit="1" customWidth="1"/>
    <col min="32" max="32" width="23.109375" customWidth="1"/>
    <col min="33" max="33" width="16.6640625" customWidth="1"/>
  </cols>
  <sheetData>
    <row r="2" spans="1:20" x14ac:dyDescent="0.3">
      <c r="A2" s="2" t="s">
        <v>0</v>
      </c>
      <c r="B2" s="2" t="s">
        <v>164</v>
      </c>
      <c r="C2" s="2" t="s">
        <v>16</v>
      </c>
      <c r="D2" s="2" t="s">
        <v>7</v>
      </c>
      <c r="E2" s="2" t="s">
        <v>11</v>
      </c>
      <c r="F2" s="2" t="s">
        <v>8</v>
      </c>
      <c r="G2" s="2" t="s">
        <v>9</v>
      </c>
      <c r="H2" s="8" t="s">
        <v>13</v>
      </c>
      <c r="I2" s="5" t="s">
        <v>10</v>
      </c>
      <c r="J2" s="5" t="s">
        <v>162</v>
      </c>
      <c r="K2" s="2" t="s">
        <v>213</v>
      </c>
      <c r="L2" s="2" t="s">
        <v>233</v>
      </c>
      <c r="Q2" s="4"/>
    </row>
    <row r="3" spans="1:20" x14ac:dyDescent="0.3">
      <c r="A3" s="6">
        <v>40</v>
      </c>
      <c r="B3" s="36">
        <v>75</v>
      </c>
      <c r="C3">
        <v>-4</v>
      </c>
      <c r="D3" s="36">
        <f>$O$4*(B3-$C$3)+1</f>
        <v>78.965100000000007</v>
      </c>
      <c r="E3" s="36">
        <f>D3-1</f>
        <v>77.965100000000007</v>
      </c>
      <c r="F3" s="28">
        <f>(1000*I3*1*$K$3)/(PI()*($L$3^2)/4*E3)</f>
        <v>7.9985438375544531</v>
      </c>
      <c r="G3" s="3">
        <v>2</v>
      </c>
      <c r="H3">
        <v>0</v>
      </c>
      <c r="I3" s="7">
        <f>A3/60</f>
        <v>0.66666666666666663</v>
      </c>
      <c r="J3">
        <v>150</v>
      </c>
      <c r="K3">
        <v>4.7510000000000003</v>
      </c>
      <c r="L3">
        <v>2.5430000000000001</v>
      </c>
      <c r="O3" s="2" t="s">
        <v>15</v>
      </c>
      <c r="R3" s="2" t="s">
        <v>4</v>
      </c>
      <c r="S3" s="2" t="s">
        <v>5</v>
      </c>
      <c r="T3" s="2" t="s">
        <v>1</v>
      </c>
    </row>
    <row r="4" spans="1:20" x14ac:dyDescent="0.3">
      <c r="A4" s="6">
        <v>16</v>
      </c>
      <c r="B4" s="36">
        <v>81</v>
      </c>
      <c r="D4" s="36">
        <f t="shared" ref="D4:D27" si="0">$O$4*(B4-$C$3)+1</f>
        <v>84.886499999999998</v>
      </c>
      <c r="E4" s="36">
        <f t="shared" ref="E4:E27" si="1">D4-1</f>
        <v>83.886499999999998</v>
      </c>
      <c r="F4" s="28">
        <f>(1000*I4*1*$K$3)/(PI()*($L$3^2)/4*E4)</f>
        <v>2.9735762972555384</v>
      </c>
      <c r="G4" s="3">
        <v>2</v>
      </c>
      <c r="H4">
        <f>G4+H3</f>
        <v>2</v>
      </c>
      <c r="I4" s="7">
        <f t="shared" ref="I4:I27" si="2">A4/60</f>
        <v>0.26666666666666666</v>
      </c>
      <c r="J4">
        <v>150</v>
      </c>
      <c r="O4">
        <v>0.9869</v>
      </c>
      <c r="R4">
        <v>51.661099999999998</v>
      </c>
      <c r="S4">
        <v>56.076099999999997</v>
      </c>
      <c r="T4">
        <f>(S4-R4)/1</f>
        <v>4.4149999999999991</v>
      </c>
    </row>
    <row r="5" spans="1:20" x14ac:dyDescent="0.3">
      <c r="A5" s="6">
        <v>16</v>
      </c>
      <c r="B5" s="36">
        <v>82</v>
      </c>
      <c r="D5" s="36">
        <f t="shared" si="0"/>
        <v>85.873400000000004</v>
      </c>
      <c r="E5" s="36">
        <f t="shared" si="1"/>
        <v>84.873400000000004</v>
      </c>
      <c r="F5" s="28">
        <f t="shared" ref="F5:F68" si="3">(1000*I5*1*$K$3)/(PI()*($L$3^2)/4*E5)</f>
        <v>2.9389998286827996</v>
      </c>
      <c r="G5" s="3">
        <v>2</v>
      </c>
      <c r="H5">
        <f>G5+H4</f>
        <v>4</v>
      </c>
      <c r="I5" s="7">
        <f t="shared" si="2"/>
        <v>0.26666666666666666</v>
      </c>
      <c r="J5">
        <v>150</v>
      </c>
    </row>
    <row r="6" spans="1:20" x14ac:dyDescent="0.3">
      <c r="A6" s="6">
        <v>16</v>
      </c>
      <c r="B6" s="36">
        <v>84</v>
      </c>
      <c r="D6" s="36">
        <f t="shared" si="0"/>
        <v>87.847200000000001</v>
      </c>
      <c r="E6" s="36">
        <f t="shared" si="1"/>
        <v>86.847200000000001</v>
      </c>
      <c r="F6" s="28">
        <f t="shared" si="3"/>
        <v>2.8722043780309181</v>
      </c>
      <c r="G6" s="3">
        <v>2</v>
      </c>
      <c r="H6">
        <f t="shared" ref="H6:H16" si="4">G6+H5</f>
        <v>6</v>
      </c>
      <c r="I6" s="7">
        <f t="shared" si="2"/>
        <v>0.26666666666666666</v>
      </c>
      <c r="J6">
        <v>150</v>
      </c>
      <c r="R6" s="2" t="s">
        <v>2</v>
      </c>
      <c r="S6" s="2" t="s">
        <v>3</v>
      </c>
    </row>
    <row r="7" spans="1:20" x14ac:dyDescent="0.3">
      <c r="A7" s="6">
        <v>16</v>
      </c>
      <c r="B7" s="36">
        <v>86</v>
      </c>
      <c r="D7" s="36">
        <f t="shared" si="0"/>
        <v>89.820999999999998</v>
      </c>
      <c r="E7" s="36">
        <f t="shared" si="1"/>
        <v>88.820999999999998</v>
      </c>
      <c r="F7" s="28">
        <f t="shared" si="3"/>
        <v>2.8083776140746752</v>
      </c>
      <c r="G7" s="3">
        <v>2</v>
      </c>
      <c r="H7">
        <f t="shared" si="4"/>
        <v>8</v>
      </c>
      <c r="I7" s="7">
        <f t="shared" si="2"/>
        <v>0.26666666666666666</v>
      </c>
      <c r="J7">
        <v>150</v>
      </c>
      <c r="R7">
        <f>PI()*((2.54^2)/4)*4.7</f>
        <v>23.815251517582393</v>
      </c>
      <c r="S7" s="4">
        <f>T4/R7*100</f>
        <v>18.538540299439962</v>
      </c>
    </row>
    <row r="8" spans="1:20" x14ac:dyDescent="0.3">
      <c r="A8" s="6">
        <v>16</v>
      </c>
      <c r="B8" s="36">
        <v>88</v>
      </c>
      <c r="D8" s="36">
        <f t="shared" si="0"/>
        <v>91.794799999999995</v>
      </c>
      <c r="E8" s="36">
        <f t="shared" si="1"/>
        <v>90.794799999999995</v>
      </c>
      <c r="F8" s="28">
        <f t="shared" si="3"/>
        <v>2.7473259268121826</v>
      </c>
      <c r="G8" s="3">
        <v>2</v>
      </c>
      <c r="H8">
        <f>G8+H7</f>
        <v>10</v>
      </c>
      <c r="I8" s="7">
        <f t="shared" si="2"/>
        <v>0.26666666666666666</v>
      </c>
      <c r="J8">
        <v>150</v>
      </c>
    </row>
    <row r="9" spans="1:20" x14ac:dyDescent="0.3">
      <c r="A9" s="6">
        <v>16</v>
      </c>
      <c r="B9" s="36">
        <v>90</v>
      </c>
      <c r="D9" s="36">
        <f t="shared" si="0"/>
        <v>93.768600000000006</v>
      </c>
      <c r="E9" s="36">
        <f t="shared" si="1"/>
        <v>92.768600000000006</v>
      </c>
      <c r="F9" s="28">
        <f t="shared" si="3"/>
        <v>2.6888721836885185</v>
      </c>
      <c r="G9" s="3">
        <v>2</v>
      </c>
      <c r="H9">
        <f t="shared" si="4"/>
        <v>12</v>
      </c>
      <c r="I9" s="7">
        <f t="shared" si="2"/>
        <v>0.26666666666666666</v>
      </c>
      <c r="J9">
        <v>150</v>
      </c>
    </row>
    <row r="10" spans="1:20" x14ac:dyDescent="0.3">
      <c r="A10" s="6">
        <v>16</v>
      </c>
      <c r="B10" s="36">
        <v>91</v>
      </c>
      <c r="D10" s="36">
        <f t="shared" si="0"/>
        <v>94.755499999999998</v>
      </c>
      <c r="E10" s="36">
        <f t="shared" si="1"/>
        <v>93.755499999999998</v>
      </c>
      <c r="F10" s="28">
        <f t="shared" si="3"/>
        <v>2.6605682659654817</v>
      </c>
      <c r="G10" s="3">
        <v>2</v>
      </c>
      <c r="H10">
        <f t="shared" si="4"/>
        <v>14</v>
      </c>
      <c r="I10" s="7">
        <f t="shared" si="2"/>
        <v>0.26666666666666666</v>
      </c>
      <c r="J10">
        <v>150</v>
      </c>
    </row>
    <row r="11" spans="1:20" x14ac:dyDescent="0.3">
      <c r="A11" s="6">
        <v>16</v>
      </c>
      <c r="B11" s="36">
        <v>93</v>
      </c>
      <c r="D11" s="36">
        <f t="shared" si="0"/>
        <v>96.729299999999995</v>
      </c>
      <c r="E11" s="36">
        <f t="shared" si="1"/>
        <v>95.729299999999995</v>
      </c>
      <c r="F11" s="28">
        <f t="shared" si="3"/>
        <v>2.6057111883167092</v>
      </c>
      <c r="G11" s="3">
        <v>2</v>
      </c>
      <c r="H11">
        <f t="shared" si="4"/>
        <v>16</v>
      </c>
      <c r="I11" s="7">
        <f t="shared" si="2"/>
        <v>0.26666666666666666</v>
      </c>
      <c r="J11">
        <v>150</v>
      </c>
    </row>
    <row r="12" spans="1:20" x14ac:dyDescent="0.3">
      <c r="A12" s="6">
        <v>16</v>
      </c>
      <c r="B12" s="36">
        <v>94</v>
      </c>
      <c r="D12" s="36">
        <f t="shared" si="0"/>
        <v>97.716200000000001</v>
      </c>
      <c r="E12" s="36">
        <f t="shared" si="1"/>
        <v>96.716200000000001</v>
      </c>
      <c r="F12" s="28">
        <f t="shared" si="3"/>
        <v>2.5791222986400077</v>
      </c>
      <c r="G12" s="3">
        <v>2</v>
      </c>
      <c r="H12">
        <f>G12+H11</f>
        <v>18</v>
      </c>
      <c r="I12" s="7">
        <f t="shared" si="2"/>
        <v>0.26666666666666666</v>
      </c>
      <c r="J12">
        <v>150</v>
      </c>
    </row>
    <row r="13" spans="1:20" x14ac:dyDescent="0.3">
      <c r="A13" s="6">
        <v>16</v>
      </c>
      <c r="B13" s="36">
        <v>95</v>
      </c>
      <c r="D13" s="36">
        <f t="shared" si="0"/>
        <v>98.703100000000006</v>
      </c>
      <c r="E13" s="36">
        <f t="shared" si="1"/>
        <v>97.703100000000006</v>
      </c>
      <c r="F13" s="28">
        <f t="shared" si="3"/>
        <v>2.5530705582497046</v>
      </c>
      <c r="G13" s="3">
        <v>2</v>
      </c>
      <c r="H13">
        <f>G13+H12</f>
        <v>20</v>
      </c>
      <c r="I13" s="7">
        <f t="shared" si="2"/>
        <v>0.26666666666666666</v>
      </c>
      <c r="J13">
        <v>150</v>
      </c>
    </row>
    <row r="14" spans="1:20" x14ac:dyDescent="0.3">
      <c r="A14" s="6">
        <v>12</v>
      </c>
      <c r="B14" s="36">
        <v>74</v>
      </c>
      <c r="D14" s="36">
        <f t="shared" si="0"/>
        <v>77.978200000000001</v>
      </c>
      <c r="E14" s="36">
        <f t="shared" si="1"/>
        <v>76.978200000000001</v>
      </c>
      <c r="F14" s="28">
        <f t="shared" si="3"/>
        <v>2.4303267814107761</v>
      </c>
      <c r="G14" s="3">
        <v>2</v>
      </c>
      <c r="H14">
        <f t="shared" si="4"/>
        <v>22</v>
      </c>
      <c r="I14" s="7">
        <f t="shared" si="2"/>
        <v>0.2</v>
      </c>
      <c r="J14">
        <v>150</v>
      </c>
    </row>
    <row r="15" spans="1:20" x14ac:dyDescent="0.3">
      <c r="A15" s="6">
        <v>12</v>
      </c>
      <c r="B15" s="36">
        <v>77</v>
      </c>
      <c r="D15" s="36">
        <f t="shared" si="0"/>
        <v>80.938900000000004</v>
      </c>
      <c r="E15" s="36">
        <f t="shared" si="1"/>
        <v>79.938900000000004</v>
      </c>
      <c r="F15" s="28">
        <f t="shared" si="3"/>
        <v>2.3403146783955622</v>
      </c>
      <c r="G15" s="3">
        <v>2</v>
      </c>
      <c r="H15">
        <f>G15+H14</f>
        <v>24</v>
      </c>
      <c r="I15" s="7">
        <f t="shared" si="2"/>
        <v>0.2</v>
      </c>
      <c r="J15">
        <v>150</v>
      </c>
    </row>
    <row r="16" spans="1:20" x14ac:dyDescent="0.3">
      <c r="A16" s="6">
        <v>12</v>
      </c>
      <c r="B16" s="36">
        <v>78</v>
      </c>
      <c r="D16" s="36">
        <f t="shared" si="0"/>
        <v>81.925799999999995</v>
      </c>
      <c r="E16" s="36">
        <f t="shared" si="1"/>
        <v>80.925799999999995</v>
      </c>
      <c r="F16" s="28">
        <f t="shared" si="3"/>
        <v>2.3117742554882996</v>
      </c>
      <c r="G16" s="3">
        <v>2</v>
      </c>
      <c r="H16">
        <f t="shared" si="4"/>
        <v>26</v>
      </c>
      <c r="I16" s="7">
        <f t="shared" si="2"/>
        <v>0.2</v>
      </c>
      <c r="J16">
        <v>150</v>
      </c>
    </row>
    <row r="17" spans="1:10" x14ac:dyDescent="0.3">
      <c r="A17" s="6">
        <v>12</v>
      </c>
      <c r="B17" s="36">
        <v>80</v>
      </c>
      <c r="D17" s="36">
        <f t="shared" si="0"/>
        <v>83.899600000000007</v>
      </c>
      <c r="E17" s="36">
        <f t="shared" si="1"/>
        <v>82.899600000000007</v>
      </c>
      <c r="F17" s="28">
        <f t="shared" si="3"/>
        <v>2.2567320113100062</v>
      </c>
      <c r="G17">
        <v>2</v>
      </c>
      <c r="H17">
        <f>G17+H16</f>
        <v>28</v>
      </c>
      <c r="I17" s="7">
        <f t="shared" si="2"/>
        <v>0.2</v>
      </c>
      <c r="J17">
        <v>150</v>
      </c>
    </row>
    <row r="18" spans="1:10" x14ac:dyDescent="0.3">
      <c r="A18" s="6">
        <v>12</v>
      </c>
      <c r="B18" s="36">
        <v>82</v>
      </c>
      <c r="D18" s="36">
        <f t="shared" si="0"/>
        <v>85.873400000000004</v>
      </c>
      <c r="E18" s="36">
        <f t="shared" si="1"/>
        <v>84.873400000000004</v>
      </c>
      <c r="F18" s="28">
        <f t="shared" si="3"/>
        <v>2.2042498715120993</v>
      </c>
      <c r="G18">
        <v>5</v>
      </c>
      <c r="H18">
        <f>G18+H17</f>
        <v>33</v>
      </c>
      <c r="I18" s="7">
        <f t="shared" si="2"/>
        <v>0.2</v>
      </c>
      <c r="J18">
        <v>150</v>
      </c>
    </row>
    <row r="19" spans="1:10" x14ac:dyDescent="0.3">
      <c r="A19" s="6">
        <v>12</v>
      </c>
      <c r="B19" s="36">
        <v>84</v>
      </c>
      <c r="D19" s="36">
        <f t="shared" si="0"/>
        <v>87.847200000000001</v>
      </c>
      <c r="E19" s="36">
        <f t="shared" si="1"/>
        <v>86.847200000000001</v>
      </c>
      <c r="F19" s="28">
        <f t="shared" si="3"/>
        <v>2.154153283523188</v>
      </c>
      <c r="G19">
        <v>5</v>
      </c>
      <c r="H19">
        <f t="shared" ref="H19:H82" si="5">G19+H18</f>
        <v>38</v>
      </c>
      <c r="I19" s="7">
        <f t="shared" si="2"/>
        <v>0.2</v>
      </c>
      <c r="J19">
        <v>150</v>
      </c>
    </row>
    <row r="20" spans="1:10" x14ac:dyDescent="0.3">
      <c r="A20" s="6">
        <v>12</v>
      </c>
      <c r="B20" s="36">
        <v>86</v>
      </c>
      <c r="D20" s="36">
        <f t="shared" si="0"/>
        <v>89.820999999999998</v>
      </c>
      <c r="E20" s="36">
        <f t="shared" si="1"/>
        <v>88.820999999999998</v>
      </c>
      <c r="F20" s="28">
        <f t="shared" si="3"/>
        <v>2.1062832105560063</v>
      </c>
      <c r="G20">
        <v>5</v>
      </c>
      <c r="H20">
        <f t="shared" si="5"/>
        <v>43</v>
      </c>
      <c r="I20" s="7">
        <f t="shared" si="2"/>
        <v>0.2</v>
      </c>
      <c r="J20">
        <v>150</v>
      </c>
    </row>
    <row r="21" spans="1:10" x14ac:dyDescent="0.3">
      <c r="A21" s="6">
        <v>12</v>
      </c>
      <c r="B21" s="36">
        <v>87</v>
      </c>
      <c r="D21" s="36">
        <f t="shared" si="0"/>
        <v>90.807900000000004</v>
      </c>
      <c r="E21" s="36">
        <f t="shared" si="1"/>
        <v>89.807900000000004</v>
      </c>
      <c r="F21" s="28">
        <f t="shared" si="3"/>
        <v>2.0831372412092368</v>
      </c>
      <c r="G21">
        <v>5</v>
      </c>
      <c r="H21">
        <f t="shared" si="5"/>
        <v>48</v>
      </c>
      <c r="I21" s="7">
        <f t="shared" si="2"/>
        <v>0.2</v>
      </c>
      <c r="J21">
        <v>150</v>
      </c>
    </row>
    <row r="22" spans="1:10" x14ac:dyDescent="0.3">
      <c r="A22" s="6">
        <v>12</v>
      </c>
      <c r="B22" s="36">
        <v>88</v>
      </c>
      <c r="D22" s="36">
        <f t="shared" si="0"/>
        <v>91.794799999999995</v>
      </c>
      <c r="E22" s="36">
        <f t="shared" si="1"/>
        <v>90.794799999999995</v>
      </c>
      <c r="F22" s="28">
        <f t="shared" si="3"/>
        <v>2.0604944451091365</v>
      </c>
      <c r="G22">
        <v>5</v>
      </c>
      <c r="H22">
        <f t="shared" si="5"/>
        <v>53</v>
      </c>
      <c r="I22" s="7">
        <f t="shared" si="2"/>
        <v>0.2</v>
      </c>
      <c r="J22">
        <v>150</v>
      </c>
    </row>
    <row r="23" spans="1:10" x14ac:dyDescent="0.3">
      <c r="A23" s="6">
        <v>12</v>
      </c>
      <c r="B23" s="36">
        <v>89</v>
      </c>
      <c r="D23" s="36">
        <f t="shared" si="0"/>
        <v>92.781700000000001</v>
      </c>
      <c r="E23" s="36">
        <f t="shared" si="1"/>
        <v>91.781700000000001</v>
      </c>
      <c r="F23" s="28">
        <f t="shared" si="3"/>
        <v>2.0383385908606511</v>
      </c>
      <c r="G23">
        <v>5</v>
      </c>
      <c r="H23">
        <f t="shared" si="5"/>
        <v>58</v>
      </c>
      <c r="I23" s="7">
        <f t="shared" si="2"/>
        <v>0.2</v>
      </c>
      <c r="J23">
        <v>150</v>
      </c>
    </row>
    <row r="24" spans="1:10" x14ac:dyDescent="0.3">
      <c r="A24" s="6">
        <v>12</v>
      </c>
      <c r="B24" s="36">
        <v>90</v>
      </c>
      <c r="D24" s="36">
        <f t="shared" si="0"/>
        <v>93.768600000000006</v>
      </c>
      <c r="E24" s="36">
        <f t="shared" si="1"/>
        <v>92.768600000000006</v>
      </c>
      <c r="F24" s="28">
        <f t="shared" si="3"/>
        <v>2.0166541377663889</v>
      </c>
      <c r="G24">
        <v>5</v>
      </c>
      <c r="H24">
        <f t="shared" si="5"/>
        <v>63</v>
      </c>
      <c r="I24" s="7">
        <f t="shared" si="2"/>
        <v>0.2</v>
      </c>
      <c r="J24">
        <v>150</v>
      </c>
    </row>
    <row r="25" spans="1:10" x14ac:dyDescent="0.3">
      <c r="A25" s="6">
        <v>12</v>
      </c>
      <c r="B25" s="36">
        <v>92</v>
      </c>
      <c r="D25" s="36">
        <f t="shared" si="0"/>
        <v>95.742400000000004</v>
      </c>
      <c r="E25" s="36">
        <f t="shared" si="1"/>
        <v>94.742400000000004</v>
      </c>
      <c r="F25" s="28">
        <f t="shared" si="3"/>
        <v>1.9746405098962556</v>
      </c>
      <c r="G25">
        <v>5</v>
      </c>
      <c r="H25">
        <f t="shared" si="5"/>
        <v>68</v>
      </c>
      <c r="I25" s="7">
        <f t="shared" si="2"/>
        <v>0.2</v>
      </c>
      <c r="J25">
        <v>150</v>
      </c>
    </row>
    <row r="26" spans="1:10" x14ac:dyDescent="0.3">
      <c r="A26" s="6">
        <v>12</v>
      </c>
      <c r="B26" s="36">
        <v>86</v>
      </c>
      <c r="D26" s="36">
        <f t="shared" si="0"/>
        <v>89.820999999999998</v>
      </c>
      <c r="E26" s="36">
        <f t="shared" si="1"/>
        <v>88.820999999999998</v>
      </c>
      <c r="F26" s="28">
        <f t="shared" si="3"/>
        <v>2.1062832105560063</v>
      </c>
      <c r="G26">
        <v>5</v>
      </c>
      <c r="H26">
        <f t="shared" si="5"/>
        <v>73</v>
      </c>
      <c r="I26" s="7">
        <f t="shared" si="2"/>
        <v>0.2</v>
      </c>
      <c r="J26">
        <v>150</v>
      </c>
    </row>
    <row r="27" spans="1:10" x14ac:dyDescent="0.3">
      <c r="A27" s="6">
        <v>12</v>
      </c>
      <c r="B27" s="36">
        <v>85</v>
      </c>
      <c r="D27" s="36">
        <f t="shared" si="0"/>
        <v>88.834100000000007</v>
      </c>
      <c r="E27" s="36">
        <f t="shared" si="1"/>
        <v>87.834100000000007</v>
      </c>
      <c r="F27" s="28">
        <f t="shared" si="3"/>
        <v>2.1299493140453993</v>
      </c>
      <c r="G27">
        <v>5</v>
      </c>
      <c r="H27">
        <f t="shared" si="5"/>
        <v>78</v>
      </c>
      <c r="I27" s="7">
        <f t="shared" si="2"/>
        <v>0.2</v>
      </c>
      <c r="J27">
        <v>150</v>
      </c>
    </row>
    <row r="28" spans="1:10" x14ac:dyDescent="0.3">
      <c r="A28" s="6">
        <v>10</v>
      </c>
      <c r="B28" s="36">
        <v>72</v>
      </c>
      <c r="D28" s="36">
        <f t="shared" ref="D28:D59" si="6">$O$4*(B28-$C$3)+1</f>
        <v>76.004400000000004</v>
      </c>
      <c r="E28" s="36">
        <f t="shared" ref="E28:E59" si="7">D28-1</f>
        <v>75.004400000000004</v>
      </c>
      <c r="F28" s="28">
        <f t="shared" si="3"/>
        <v>2.0785689577855324</v>
      </c>
      <c r="G28">
        <v>5</v>
      </c>
      <c r="H28">
        <f t="shared" si="5"/>
        <v>83</v>
      </c>
      <c r="I28" s="7">
        <f t="shared" ref="I28:I59" si="8">A28/60</f>
        <v>0.16666666666666666</v>
      </c>
      <c r="J28">
        <v>150</v>
      </c>
    </row>
    <row r="29" spans="1:10" x14ac:dyDescent="0.3">
      <c r="A29" s="6">
        <v>10</v>
      </c>
      <c r="B29" s="36">
        <v>74</v>
      </c>
      <c r="D29" s="36">
        <f t="shared" si="6"/>
        <v>77.978200000000001</v>
      </c>
      <c r="E29" s="36">
        <f t="shared" si="7"/>
        <v>76.978200000000001</v>
      </c>
      <c r="F29" s="28">
        <f t="shared" si="3"/>
        <v>2.0252723178423135</v>
      </c>
      <c r="G29">
        <v>5</v>
      </c>
      <c r="H29">
        <f t="shared" si="5"/>
        <v>88</v>
      </c>
      <c r="I29" s="7">
        <f t="shared" si="8"/>
        <v>0.16666666666666666</v>
      </c>
      <c r="J29">
        <v>150</v>
      </c>
    </row>
    <row r="30" spans="1:10" x14ac:dyDescent="0.3">
      <c r="A30" s="6">
        <v>10</v>
      </c>
      <c r="B30" s="36">
        <v>76</v>
      </c>
      <c r="D30" s="36">
        <f t="shared" si="6"/>
        <v>79.951999999999998</v>
      </c>
      <c r="E30" s="36">
        <f t="shared" si="7"/>
        <v>78.951999999999998</v>
      </c>
      <c r="F30" s="28">
        <f t="shared" si="3"/>
        <v>1.9746405098962558</v>
      </c>
      <c r="G30">
        <v>5</v>
      </c>
      <c r="H30">
        <f t="shared" si="5"/>
        <v>93</v>
      </c>
      <c r="I30" s="7">
        <f t="shared" si="8"/>
        <v>0.16666666666666666</v>
      </c>
      <c r="J30">
        <v>150</v>
      </c>
    </row>
    <row r="31" spans="1:10" x14ac:dyDescent="0.3">
      <c r="A31" s="6">
        <v>10</v>
      </c>
      <c r="B31" s="36">
        <v>79</v>
      </c>
      <c r="D31" s="36">
        <f t="shared" si="6"/>
        <v>82.912700000000001</v>
      </c>
      <c r="E31" s="36">
        <f t="shared" si="7"/>
        <v>81.912700000000001</v>
      </c>
      <c r="F31" s="28">
        <f t="shared" si="3"/>
        <v>1.9032679613457886</v>
      </c>
      <c r="G31">
        <v>5</v>
      </c>
      <c r="H31">
        <f t="shared" si="5"/>
        <v>98</v>
      </c>
      <c r="I31" s="7">
        <f t="shared" si="8"/>
        <v>0.16666666666666666</v>
      </c>
      <c r="J31">
        <v>150</v>
      </c>
    </row>
    <row r="32" spans="1:10" x14ac:dyDescent="0.3">
      <c r="A32" s="6">
        <v>10</v>
      </c>
      <c r="B32" s="36">
        <v>80</v>
      </c>
      <c r="D32" s="36">
        <f t="shared" si="6"/>
        <v>83.899600000000007</v>
      </c>
      <c r="E32" s="36">
        <f t="shared" si="7"/>
        <v>82.899600000000007</v>
      </c>
      <c r="F32" s="28">
        <f t="shared" si="3"/>
        <v>1.8806100094250053</v>
      </c>
      <c r="G32">
        <v>5</v>
      </c>
      <c r="H32">
        <f t="shared" si="5"/>
        <v>103</v>
      </c>
      <c r="I32" s="7">
        <f t="shared" si="8"/>
        <v>0.16666666666666666</v>
      </c>
      <c r="J32">
        <v>150</v>
      </c>
    </row>
    <row r="33" spans="1:18" x14ac:dyDescent="0.3">
      <c r="A33" s="6">
        <v>10</v>
      </c>
      <c r="B33" s="36">
        <v>81</v>
      </c>
      <c r="D33" s="36">
        <f t="shared" si="6"/>
        <v>84.886499999999998</v>
      </c>
      <c r="E33" s="36">
        <f t="shared" si="7"/>
        <v>83.886499999999998</v>
      </c>
      <c r="F33" s="28">
        <f t="shared" si="3"/>
        <v>1.8584851857847111</v>
      </c>
      <c r="G33">
        <v>5</v>
      </c>
      <c r="H33">
        <f t="shared" si="5"/>
        <v>108</v>
      </c>
      <c r="I33" s="7">
        <f t="shared" si="8"/>
        <v>0.16666666666666666</v>
      </c>
      <c r="J33">
        <v>150</v>
      </c>
    </row>
    <row r="34" spans="1:18" x14ac:dyDescent="0.3">
      <c r="A34" s="6">
        <v>10</v>
      </c>
      <c r="B34" s="36">
        <v>82</v>
      </c>
      <c r="D34" s="36">
        <f t="shared" si="6"/>
        <v>85.873400000000004</v>
      </c>
      <c r="E34" s="36">
        <f t="shared" si="7"/>
        <v>84.873400000000004</v>
      </c>
      <c r="F34" s="28">
        <f t="shared" si="3"/>
        <v>1.8368748929267493</v>
      </c>
      <c r="G34">
        <v>5</v>
      </c>
      <c r="H34">
        <f t="shared" si="5"/>
        <v>113</v>
      </c>
      <c r="I34" s="7">
        <f t="shared" si="8"/>
        <v>0.16666666666666666</v>
      </c>
      <c r="J34">
        <v>150</v>
      </c>
    </row>
    <row r="35" spans="1:18" x14ac:dyDescent="0.3">
      <c r="A35" s="6">
        <v>10</v>
      </c>
      <c r="B35" s="36">
        <v>84</v>
      </c>
      <c r="D35" s="36">
        <f t="shared" si="6"/>
        <v>87.847200000000001</v>
      </c>
      <c r="E35" s="36">
        <f t="shared" si="7"/>
        <v>86.847200000000001</v>
      </c>
      <c r="F35" s="28">
        <f t="shared" si="3"/>
        <v>1.7951277362693234</v>
      </c>
      <c r="G35">
        <v>5</v>
      </c>
      <c r="H35">
        <f t="shared" si="5"/>
        <v>118</v>
      </c>
      <c r="I35" s="7">
        <f t="shared" si="8"/>
        <v>0.16666666666666666</v>
      </c>
      <c r="J35">
        <v>150</v>
      </c>
    </row>
    <row r="36" spans="1:18" x14ac:dyDescent="0.3">
      <c r="A36" s="6">
        <v>10</v>
      </c>
      <c r="B36" s="36">
        <v>85</v>
      </c>
      <c r="D36" s="36">
        <f t="shared" si="6"/>
        <v>88.834100000000007</v>
      </c>
      <c r="E36" s="36">
        <f t="shared" si="7"/>
        <v>87.834100000000007</v>
      </c>
      <c r="F36" s="28">
        <f t="shared" si="3"/>
        <v>1.7749577617044996</v>
      </c>
      <c r="G36">
        <v>5</v>
      </c>
      <c r="H36">
        <f t="shared" si="5"/>
        <v>123</v>
      </c>
      <c r="I36" s="7">
        <f t="shared" si="8"/>
        <v>0.16666666666666666</v>
      </c>
      <c r="J36">
        <v>150</v>
      </c>
    </row>
    <row r="37" spans="1:18" x14ac:dyDescent="0.3">
      <c r="A37" s="6">
        <v>10</v>
      </c>
      <c r="B37" s="36">
        <v>86</v>
      </c>
      <c r="D37" s="36">
        <f t="shared" si="6"/>
        <v>89.820999999999998</v>
      </c>
      <c r="E37" s="36">
        <f t="shared" si="7"/>
        <v>88.820999999999998</v>
      </c>
      <c r="F37" s="28">
        <f t="shared" si="3"/>
        <v>1.7552360087966719</v>
      </c>
      <c r="G37">
        <v>5</v>
      </c>
      <c r="H37">
        <f t="shared" si="5"/>
        <v>128</v>
      </c>
      <c r="I37" s="7">
        <f t="shared" si="8"/>
        <v>0.16666666666666666</v>
      </c>
      <c r="J37">
        <v>150</v>
      </c>
    </row>
    <row r="38" spans="1:18" x14ac:dyDescent="0.3">
      <c r="A38" s="6">
        <v>10</v>
      </c>
      <c r="B38" s="36">
        <v>86</v>
      </c>
      <c r="D38" s="36">
        <f t="shared" si="6"/>
        <v>89.820999999999998</v>
      </c>
      <c r="E38" s="36">
        <f t="shared" si="7"/>
        <v>88.820999999999998</v>
      </c>
      <c r="F38" s="28">
        <f t="shared" si="3"/>
        <v>1.7552360087966719</v>
      </c>
      <c r="G38">
        <v>5</v>
      </c>
      <c r="H38">
        <f t="shared" si="5"/>
        <v>133</v>
      </c>
      <c r="I38" s="7">
        <f t="shared" si="8"/>
        <v>0.16666666666666666</v>
      </c>
      <c r="J38">
        <v>150</v>
      </c>
    </row>
    <row r="39" spans="1:18" x14ac:dyDescent="0.3">
      <c r="A39" s="6">
        <v>10</v>
      </c>
      <c r="B39" s="36">
        <v>86</v>
      </c>
      <c r="D39" s="36">
        <f t="shared" si="6"/>
        <v>89.820999999999998</v>
      </c>
      <c r="E39" s="36">
        <f t="shared" si="7"/>
        <v>88.820999999999998</v>
      </c>
      <c r="F39" s="28">
        <f t="shared" si="3"/>
        <v>1.7552360087966719</v>
      </c>
      <c r="G39">
        <v>5</v>
      </c>
      <c r="H39">
        <f t="shared" si="5"/>
        <v>138</v>
      </c>
      <c r="I39" s="7">
        <f t="shared" si="8"/>
        <v>0.16666666666666666</v>
      </c>
      <c r="J39">
        <v>150</v>
      </c>
    </row>
    <row r="40" spans="1:18" x14ac:dyDescent="0.3">
      <c r="A40" s="6">
        <v>8</v>
      </c>
      <c r="B40" s="36">
        <v>68</v>
      </c>
      <c r="D40" s="36">
        <f t="shared" si="6"/>
        <v>72.056799999999996</v>
      </c>
      <c r="E40" s="36">
        <f t="shared" si="7"/>
        <v>71.056799999999996</v>
      </c>
      <c r="F40" s="28">
        <f t="shared" si="3"/>
        <v>1.7552360087966723</v>
      </c>
      <c r="G40">
        <v>5</v>
      </c>
      <c r="H40">
        <f t="shared" si="5"/>
        <v>143</v>
      </c>
      <c r="I40" s="7">
        <f t="shared" si="8"/>
        <v>0.13333333333333333</v>
      </c>
      <c r="J40">
        <v>150</v>
      </c>
      <c r="K40" s="2"/>
      <c r="L40" s="2"/>
      <c r="M40" s="2"/>
    </row>
    <row r="41" spans="1:18" x14ac:dyDescent="0.3">
      <c r="A41" s="6">
        <v>8</v>
      </c>
      <c r="B41" s="36">
        <v>69.5</v>
      </c>
      <c r="D41" s="36">
        <f t="shared" si="6"/>
        <v>73.537149999999997</v>
      </c>
      <c r="E41" s="36">
        <f t="shared" si="7"/>
        <v>72.537149999999997</v>
      </c>
      <c r="F41" s="28">
        <f t="shared" si="3"/>
        <v>1.7194148657600055</v>
      </c>
      <c r="G41">
        <v>5</v>
      </c>
      <c r="H41">
        <f t="shared" si="5"/>
        <v>148</v>
      </c>
      <c r="I41" s="7">
        <f t="shared" si="8"/>
        <v>0.13333333333333333</v>
      </c>
      <c r="J41">
        <v>150</v>
      </c>
      <c r="P41" s="2"/>
      <c r="R41" s="21"/>
    </row>
    <row r="42" spans="1:18" x14ac:dyDescent="0.3">
      <c r="A42" s="6">
        <v>8</v>
      </c>
      <c r="B42" s="36">
        <v>71</v>
      </c>
      <c r="D42" s="36">
        <f t="shared" si="6"/>
        <v>75.017499999999998</v>
      </c>
      <c r="E42" s="36">
        <f t="shared" si="7"/>
        <v>74.017499999999998</v>
      </c>
      <c r="F42" s="28">
        <f t="shared" si="3"/>
        <v>1.6850265684448054</v>
      </c>
      <c r="G42">
        <v>5</v>
      </c>
      <c r="H42">
        <f t="shared" si="5"/>
        <v>153</v>
      </c>
      <c r="I42" s="7">
        <f t="shared" si="8"/>
        <v>0.13333333333333333</v>
      </c>
      <c r="J42">
        <v>150</v>
      </c>
    </row>
    <row r="43" spans="1:18" x14ac:dyDescent="0.3">
      <c r="A43" s="6">
        <v>8</v>
      </c>
      <c r="B43" s="36">
        <v>73</v>
      </c>
      <c r="D43" s="36">
        <f t="shared" si="6"/>
        <v>76.991299999999995</v>
      </c>
      <c r="E43" s="36">
        <f t="shared" si="7"/>
        <v>75.991299999999995</v>
      </c>
      <c r="F43" s="28">
        <f t="shared" si="3"/>
        <v>1.6412596445890961</v>
      </c>
      <c r="G43">
        <v>5</v>
      </c>
      <c r="H43">
        <f t="shared" si="5"/>
        <v>158</v>
      </c>
      <c r="I43" s="7">
        <f t="shared" si="8"/>
        <v>0.13333333333333333</v>
      </c>
      <c r="J43">
        <v>150</v>
      </c>
      <c r="K43" s="2"/>
      <c r="L43" s="2"/>
    </row>
    <row r="44" spans="1:18" x14ac:dyDescent="0.3">
      <c r="A44" s="6">
        <v>8</v>
      </c>
      <c r="B44" s="36">
        <v>74</v>
      </c>
      <c r="D44" s="36">
        <f t="shared" si="6"/>
        <v>77.978200000000001</v>
      </c>
      <c r="E44" s="36">
        <f t="shared" si="7"/>
        <v>76.978200000000001</v>
      </c>
      <c r="F44" s="28">
        <f t="shared" si="3"/>
        <v>1.6202178542738512</v>
      </c>
      <c r="G44">
        <v>5</v>
      </c>
      <c r="H44">
        <f t="shared" si="5"/>
        <v>163</v>
      </c>
      <c r="I44" s="7">
        <f t="shared" si="8"/>
        <v>0.13333333333333333</v>
      </c>
      <c r="J44">
        <v>150</v>
      </c>
      <c r="L44" s="4"/>
    </row>
    <row r="45" spans="1:18" x14ac:dyDescent="0.3">
      <c r="A45" s="6">
        <v>8</v>
      </c>
      <c r="B45" s="36">
        <v>75</v>
      </c>
      <c r="D45" s="36">
        <f t="shared" si="6"/>
        <v>78.965100000000007</v>
      </c>
      <c r="E45" s="36">
        <f t="shared" si="7"/>
        <v>77.965100000000007</v>
      </c>
      <c r="F45" s="28">
        <f t="shared" si="3"/>
        <v>1.599708767510891</v>
      </c>
      <c r="G45">
        <v>5</v>
      </c>
      <c r="H45">
        <f t="shared" si="5"/>
        <v>168</v>
      </c>
      <c r="I45" s="7">
        <f t="shared" si="8"/>
        <v>0.13333333333333333</v>
      </c>
      <c r="J45">
        <v>150</v>
      </c>
    </row>
    <row r="46" spans="1:18" x14ac:dyDescent="0.3">
      <c r="A46" s="6">
        <v>8</v>
      </c>
      <c r="B46" s="36">
        <v>76</v>
      </c>
      <c r="D46" s="36">
        <f t="shared" si="6"/>
        <v>79.951999999999998</v>
      </c>
      <c r="E46" s="36">
        <f t="shared" si="7"/>
        <v>78.951999999999998</v>
      </c>
      <c r="F46" s="28">
        <f t="shared" si="3"/>
        <v>1.5797124079170048</v>
      </c>
      <c r="G46">
        <v>5</v>
      </c>
      <c r="H46">
        <f t="shared" si="5"/>
        <v>173</v>
      </c>
      <c r="I46" s="7">
        <f t="shared" si="8"/>
        <v>0.13333333333333333</v>
      </c>
      <c r="J46">
        <v>150</v>
      </c>
    </row>
    <row r="47" spans="1:18" x14ac:dyDescent="0.3">
      <c r="A47" s="6">
        <v>8</v>
      </c>
      <c r="B47" s="36">
        <v>77</v>
      </c>
      <c r="D47" s="36">
        <f t="shared" si="6"/>
        <v>80.938900000000004</v>
      </c>
      <c r="E47" s="36">
        <f t="shared" si="7"/>
        <v>79.938900000000004</v>
      </c>
      <c r="F47" s="28">
        <f t="shared" si="3"/>
        <v>1.5602097855970418</v>
      </c>
      <c r="G47">
        <v>5</v>
      </c>
      <c r="H47">
        <f t="shared" si="5"/>
        <v>178</v>
      </c>
      <c r="I47" s="7">
        <f t="shared" si="8"/>
        <v>0.13333333333333333</v>
      </c>
      <c r="J47">
        <v>150</v>
      </c>
      <c r="K47" s="2"/>
      <c r="L47" s="2"/>
      <c r="M47" s="2"/>
    </row>
    <row r="48" spans="1:18" x14ac:dyDescent="0.3">
      <c r="A48" s="6">
        <v>8</v>
      </c>
      <c r="B48" s="36">
        <v>78</v>
      </c>
      <c r="D48" s="36">
        <f t="shared" si="6"/>
        <v>81.925799999999995</v>
      </c>
      <c r="E48" s="36">
        <f t="shared" si="7"/>
        <v>80.925799999999995</v>
      </c>
      <c r="F48" s="28">
        <f t="shared" si="3"/>
        <v>1.5411828369921998</v>
      </c>
      <c r="G48">
        <v>5</v>
      </c>
      <c r="H48">
        <f t="shared" si="5"/>
        <v>183</v>
      </c>
      <c r="I48" s="7">
        <f t="shared" si="8"/>
        <v>0.13333333333333333</v>
      </c>
      <c r="J48">
        <v>150</v>
      </c>
    </row>
    <row r="49" spans="1:18" x14ac:dyDescent="0.3">
      <c r="A49" s="6">
        <v>8</v>
      </c>
      <c r="B49" s="36">
        <v>79</v>
      </c>
      <c r="D49" s="36">
        <f t="shared" si="6"/>
        <v>82.912700000000001</v>
      </c>
      <c r="E49" s="36">
        <f t="shared" si="7"/>
        <v>81.912700000000001</v>
      </c>
      <c r="F49" s="28">
        <f t="shared" si="3"/>
        <v>1.5226143690766312</v>
      </c>
      <c r="G49">
        <v>5</v>
      </c>
      <c r="H49">
        <f t="shared" si="5"/>
        <v>188</v>
      </c>
      <c r="I49" s="7">
        <f t="shared" si="8"/>
        <v>0.13333333333333333</v>
      </c>
      <c r="J49">
        <v>150</v>
      </c>
    </row>
    <row r="50" spans="1:18" x14ac:dyDescent="0.3">
      <c r="A50" s="6">
        <v>8</v>
      </c>
      <c r="B50" s="36">
        <v>80</v>
      </c>
      <c r="D50" s="36">
        <f t="shared" si="6"/>
        <v>83.899600000000007</v>
      </c>
      <c r="E50" s="36">
        <f t="shared" si="7"/>
        <v>82.899600000000007</v>
      </c>
      <c r="F50" s="28">
        <f t="shared" si="3"/>
        <v>1.5044880075400044</v>
      </c>
      <c r="G50">
        <v>5</v>
      </c>
      <c r="H50">
        <f t="shared" si="5"/>
        <v>193</v>
      </c>
      <c r="I50" s="7">
        <f t="shared" si="8"/>
        <v>0.13333333333333333</v>
      </c>
      <c r="J50">
        <v>150</v>
      </c>
      <c r="K50" s="2"/>
      <c r="L50" s="2"/>
      <c r="Q50" s="2"/>
    </row>
    <row r="51" spans="1:18" x14ac:dyDescent="0.3">
      <c r="A51" s="6">
        <v>5</v>
      </c>
      <c r="B51" s="36">
        <v>52</v>
      </c>
      <c r="D51" s="36">
        <f t="shared" si="6"/>
        <v>56.266399999999997</v>
      </c>
      <c r="E51" s="36">
        <f t="shared" si="7"/>
        <v>55.266399999999997</v>
      </c>
      <c r="F51" s="28">
        <f t="shared" si="3"/>
        <v>1.4104575070687542</v>
      </c>
      <c r="G51">
        <v>5</v>
      </c>
      <c r="H51">
        <f t="shared" si="5"/>
        <v>198</v>
      </c>
      <c r="I51" s="7">
        <f t="shared" si="8"/>
        <v>8.3333333333333329E-2</v>
      </c>
      <c r="J51">
        <v>150</v>
      </c>
      <c r="L51" s="4"/>
      <c r="N51" s="29"/>
      <c r="Q51" s="1"/>
    </row>
    <row r="52" spans="1:18" x14ac:dyDescent="0.3">
      <c r="A52" s="6">
        <v>5</v>
      </c>
      <c r="B52" s="36">
        <v>55</v>
      </c>
      <c r="D52" s="36">
        <f t="shared" si="6"/>
        <v>59.2271</v>
      </c>
      <c r="E52" s="36">
        <f t="shared" si="7"/>
        <v>58.2271</v>
      </c>
      <c r="F52" s="28">
        <f t="shared" si="3"/>
        <v>1.3387393287432243</v>
      </c>
      <c r="G52">
        <v>5</v>
      </c>
      <c r="H52">
        <f t="shared" si="5"/>
        <v>203</v>
      </c>
      <c r="I52" s="7">
        <f t="shared" si="8"/>
        <v>8.3333333333333329E-2</v>
      </c>
      <c r="J52">
        <v>150</v>
      </c>
      <c r="N52" s="29"/>
      <c r="Q52" s="1"/>
    </row>
    <row r="53" spans="1:18" x14ac:dyDescent="0.3">
      <c r="A53" s="6">
        <v>5</v>
      </c>
      <c r="B53" s="36">
        <v>56</v>
      </c>
      <c r="D53" s="36">
        <f t="shared" si="6"/>
        <v>60.213999999999999</v>
      </c>
      <c r="E53" s="36">
        <f t="shared" si="7"/>
        <v>59.213999999999999</v>
      </c>
      <c r="F53" s="28">
        <f t="shared" si="3"/>
        <v>1.3164270065975039</v>
      </c>
      <c r="G53">
        <v>5</v>
      </c>
      <c r="H53">
        <f t="shared" si="5"/>
        <v>208</v>
      </c>
      <c r="I53" s="7">
        <f t="shared" si="8"/>
        <v>8.3333333333333329E-2</v>
      </c>
      <c r="J53">
        <v>150</v>
      </c>
      <c r="N53" s="29"/>
      <c r="Q53" s="1"/>
    </row>
    <row r="54" spans="1:18" x14ac:dyDescent="0.3">
      <c r="A54" s="6">
        <v>5</v>
      </c>
      <c r="B54" s="36">
        <v>56.5</v>
      </c>
      <c r="D54" s="36">
        <f t="shared" si="6"/>
        <v>60.707450000000001</v>
      </c>
      <c r="E54" s="36">
        <f t="shared" si="7"/>
        <v>59.707450000000001</v>
      </c>
      <c r="F54" s="28">
        <f t="shared" si="3"/>
        <v>1.3055474445595079</v>
      </c>
      <c r="G54">
        <v>5</v>
      </c>
      <c r="H54">
        <f t="shared" si="5"/>
        <v>213</v>
      </c>
      <c r="I54" s="7">
        <f t="shared" si="8"/>
        <v>8.3333333333333329E-2</v>
      </c>
      <c r="J54">
        <v>150</v>
      </c>
      <c r="K54" s="2"/>
      <c r="L54" s="2"/>
      <c r="M54" s="2"/>
      <c r="N54" s="29"/>
      <c r="Q54" s="1"/>
    </row>
    <row r="55" spans="1:18" x14ac:dyDescent="0.3">
      <c r="A55" s="6">
        <v>5</v>
      </c>
      <c r="B55" s="36">
        <v>57</v>
      </c>
      <c r="D55" s="36">
        <f t="shared" si="6"/>
        <v>61.200899999999997</v>
      </c>
      <c r="E55" s="36">
        <f t="shared" si="7"/>
        <v>60.200899999999997</v>
      </c>
      <c r="F55" s="28">
        <f t="shared" si="3"/>
        <v>1.2948462359975448</v>
      </c>
      <c r="G55">
        <v>5</v>
      </c>
      <c r="H55">
        <f t="shared" si="5"/>
        <v>218</v>
      </c>
      <c r="I55" s="7">
        <f t="shared" si="8"/>
        <v>8.3333333333333329E-2</v>
      </c>
      <c r="J55">
        <v>150</v>
      </c>
      <c r="N55" s="29"/>
      <c r="Q55" s="1"/>
    </row>
    <row r="56" spans="1:18" x14ac:dyDescent="0.3">
      <c r="A56" s="6">
        <v>5</v>
      </c>
      <c r="B56" s="36">
        <v>58</v>
      </c>
      <c r="D56" s="36">
        <f t="shared" si="6"/>
        <v>62.187800000000003</v>
      </c>
      <c r="E56" s="36">
        <f t="shared" si="7"/>
        <v>61.187800000000003</v>
      </c>
      <c r="F56" s="28">
        <f t="shared" si="3"/>
        <v>1.2739616192879069</v>
      </c>
      <c r="G56">
        <v>5</v>
      </c>
      <c r="H56">
        <f t="shared" si="5"/>
        <v>223</v>
      </c>
      <c r="I56" s="7">
        <f t="shared" si="8"/>
        <v>8.3333333333333329E-2</v>
      </c>
      <c r="J56">
        <v>150</v>
      </c>
      <c r="N56" s="29"/>
      <c r="Q56" s="1"/>
    </row>
    <row r="57" spans="1:18" x14ac:dyDescent="0.3">
      <c r="A57" s="6">
        <v>5</v>
      </c>
      <c r="B57" s="36">
        <v>59</v>
      </c>
      <c r="D57" s="36">
        <f t="shared" si="6"/>
        <v>63.174700000000001</v>
      </c>
      <c r="E57" s="36">
        <f t="shared" si="7"/>
        <v>62.174700000000001</v>
      </c>
      <c r="F57" s="28">
        <f t="shared" si="3"/>
        <v>1.253740006283337</v>
      </c>
      <c r="G57">
        <v>5</v>
      </c>
      <c r="H57">
        <f t="shared" si="5"/>
        <v>228</v>
      </c>
      <c r="I57" s="7">
        <f t="shared" si="8"/>
        <v>8.3333333333333329E-2</v>
      </c>
      <c r="J57">
        <v>150</v>
      </c>
      <c r="K57" s="2"/>
      <c r="L57" s="2"/>
      <c r="N57" s="29"/>
      <c r="Q57" s="1"/>
    </row>
    <row r="58" spans="1:18" x14ac:dyDescent="0.3">
      <c r="A58" s="6">
        <v>5</v>
      </c>
      <c r="B58" s="36">
        <v>60</v>
      </c>
      <c r="D58" s="36">
        <f t="shared" si="6"/>
        <v>64.161599999999993</v>
      </c>
      <c r="E58" s="36">
        <f t="shared" si="7"/>
        <v>63.161599999999993</v>
      </c>
      <c r="F58" s="28">
        <f t="shared" si="3"/>
        <v>1.2341503186851599</v>
      </c>
      <c r="G58">
        <v>5</v>
      </c>
      <c r="H58">
        <f t="shared" si="5"/>
        <v>233</v>
      </c>
      <c r="I58" s="7">
        <f t="shared" si="8"/>
        <v>8.3333333333333329E-2</v>
      </c>
      <c r="J58">
        <v>150</v>
      </c>
      <c r="L58" s="4"/>
      <c r="N58" s="29"/>
      <c r="Q58" s="1"/>
    </row>
    <row r="59" spans="1:18" x14ac:dyDescent="0.3">
      <c r="A59" s="6">
        <v>5</v>
      </c>
      <c r="B59" s="36">
        <v>60</v>
      </c>
      <c r="D59" s="36">
        <f t="shared" si="6"/>
        <v>64.161599999999993</v>
      </c>
      <c r="E59" s="36">
        <f t="shared" si="7"/>
        <v>63.161599999999993</v>
      </c>
      <c r="F59" s="28">
        <f t="shared" si="3"/>
        <v>1.2341503186851599</v>
      </c>
      <c r="G59">
        <v>5</v>
      </c>
      <c r="H59">
        <f t="shared" si="5"/>
        <v>238</v>
      </c>
      <c r="I59" s="7">
        <f t="shared" si="8"/>
        <v>8.3333333333333329E-2</v>
      </c>
      <c r="J59">
        <v>150</v>
      </c>
      <c r="M59" s="2"/>
      <c r="N59" s="31"/>
      <c r="O59" s="2"/>
      <c r="Q59" s="1"/>
    </row>
    <row r="60" spans="1:18" x14ac:dyDescent="0.3">
      <c r="A60" s="6">
        <v>5</v>
      </c>
      <c r="B60" s="36">
        <v>60.5</v>
      </c>
      <c r="D60" s="36">
        <f t="shared" ref="D60:D76" si="9">$O$4*(B60-$C$3)+1</f>
        <v>64.655050000000003</v>
      </c>
      <c r="E60" s="36">
        <f t="shared" ref="E60:E76" si="10">D60-1</f>
        <v>63.655050000000003</v>
      </c>
      <c r="F60" s="28">
        <f t="shared" si="3"/>
        <v>1.2245832619511663</v>
      </c>
      <c r="G60">
        <v>5</v>
      </c>
      <c r="H60">
        <f t="shared" si="5"/>
        <v>243</v>
      </c>
      <c r="I60" s="7">
        <f t="shared" ref="I60:I76" si="11">A60/60</f>
        <v>8.3333333333333329E-2</v>
      </c>
      <c r="J60">
        <v>150</v>
      </c>
      <c r="N60" s="29"/>
      <c r="Q60" s="3"/>
      <c r="R60" s="1"/>
    </row>
    <row r="61" spans="1:18" x14ac:dyDescent="0.3">
      <c r="A61" s="6">
        <v>5</v>
      </c>
      <c r="B61" s="36">
        <v>61</v>
      </c>
      <c r="D61" s="36">
        <f t="shared" si="9"/>
        <v>65.148499999999999</v>
      </c>
      <c r="E61" s="36">
        <f t="shared" si="10"/>
        <v>64.148499999999999</v>
      </c>
      <c r="F61" s="28">
        <f t="shared" si="3"/>
        <v>1.2151633907053883</v>
      </c>
      <c r="G61">
        <v>5</v>
      </c>
      <c r="H61">
        <f t="shared" si="5"/>
        <v>248</v>
      </c>
      <c r="I61" s="7">
        <f t="shared" si="11"/>
        <v>8.3333333333333329E-2</v>
      </c>
      <c r="J61">
        <v>150</v>
      </c>
      <c r="N61" s="29"/>
      <c r="Q61" s="3"/>
      <c r="R61" s="1"/>
    </row>
    <row r="62" spans="1:18" x14ac:dyDescent="0.3">
      <c r="A62" s="6">
        <v>5</v>
      </c>
      <c r="B62" s="36">
        <v>61</v>
      </c>
      <c r="D62" s="36">
        <f t="shared" si="9"/>
        <v>65.148499999999999</v>
      </c>
      <c r="E62" s="36">
        <f t="shared" si="10"/>
        <v>64.148499999999999</v>
      </c>
      <c r="F62" s="28">
        <f t="shared" si="3"/>
        <v>1.2151633907053883</v>
      </c>
      <c r="G62">
        <v>5</v>
      </c>
      <c r="H62">
        <f t="shared" si="5"/>
        <v>253</v>
      </c>
      <c r="I62" s="7">
        <f t="shared" si="11"/>
        <v>8.3333333333333329E-2</v>
      </c>
      <c r="J62">
        <v>150</v>
      </c>
      <c r="M62" s="2"/>
      <c r="N62" s="2"/>
    </row>
    <row r="63" spans="1:18" x14ac:dyDescent="0.3">
      <c r="A63" s="6">
        <v>5</v>
      </c>
      <c r="B63" s="36">
        <v>61.5</v>
      </c>
      <c r="D63" s="36">
        <f t="shared" si="9"/>
        <v>65.641949999999994</v>
      </c>
      <c r="E63" s="36">
        <f t="shared" si="10"/>
        <v>64.641949999999994</v>
      </c>
      <c r="F63" s="28">
        <f t="shared" si="3"/>
        <v>1.2058873342877898</v>
      </c>
      <c r="G63">
        <v>5</v>
      </c>
      <c r="H63">
        <f t="shared" si="5"/>
        <v>258</v>
      </c>
      <c r="I63" s="7">
        <f t="shared" si="11"/>
        <v>8.3333333333333329E-2</v>
      </c>
      <c r="J63">
        <v>150</v>
      </c>
      <c r="N63" s="4"/>
    </row>
    <row r="64" spans="1:18" x14ac:dyDescent="0.3">
      <c r="A64" s="6">
        <v>5</v>
      </c>
      <c r="B64" s="36">
        <v>62</v>
      </c>
      <c r="D64" s="36">
        <f t="shared" si="9"/>
        <v>66.135400000000004</v>
      </c>
      <c r="E64" s="36">
        <f t="shared" si="10"/>
        <v>65.135400000000004</v>
      </c>
      <c r="F64" s="28">
        <f t="shared" si="3"/>
        <v>1.196751824179549</v>
      </c>
      <c r="G64">
        <v>5</v>
      </c>
      <c r="H64">
        <f t="shared" si="5"/>
        <v>263</v>
      </c>
      <c r="I64" s="7">
        <f t="shared" si="11"/>
        <v>8.3333333333333329E-2</v>
      </c>
      <c r="J64">
        <v>150</v>
      </c>
    </row>
    <row r="65" spans="1:15" x14ac:dyDescent="0.3">
      <c r="A65" s="6">
        <v>5</v>
      </c>
      <c r="B65" s="36">
        <v>62.5</v>
      </c>
      <c r="D65" s="36">
        <f t="shared" si="9"/>
        <v>66.62885</v>
      </c>
      <c r="E65" s="36">
        <f t="shared" si="10"/>
        <v>65.62885</v>
      </c>
      <c r="F65" s="28">
        <f t="shared" si="3"/>
        <v>1.1877536901631613</v>
      </c>
      <c r="G65">
        <v>5</v>
      </c>
      <c r="H65">
        <f t="shared" si="5"/>
        <v>268</v>
      </c>
      <c r="I65" s="7">
        <f t="shared" si="11"/>
        <v>8.3333333333333329E-2</v>
      </c>
      <c r="J65">
        <v>150</v>
      </c>
    </row>
    <row r="66" spans="1:15" x14ac:dyDescent="0.3">
      <c r="A66" s="6">
        <v>5</v>
      </c>
      <c r="B66" s="36">
        <v>63</v>
      </c>
      <c r="D66" s="36">
        <f t="shared" si="9"/>
        <v>67.122299999999996</v>
      </c>
      <c r="E66" s="36">
        <f t="shared" si="10"/>
        <v>66.122299999999996</v>
      </c>
      <c r="F66" s="28">
        <f t="shared" si="3"/>
        <v>1.178889856654481</v>
      </c>
      <c r="G66">
        <v>5</v>
      </c>
      <c r="H66">
        <f t="shared" si="5"/>
        <v>273</v>
      </c>
      <c r="I66" s="7">
        <f t="shared" si="11"/>
        <v>8.3333333333333329E-2</v>
      </c>
      <c r="J66">
        <v>150</v>
      </c>
    </row>
    <row r="67" spans="1:15" x14ac:dyDescent="0.3">
      <c r="A67" s="6">
        <v>5</v>
      </c>
      <c r="B67" s="36">
        <v>63.5</v>
      </c>
      <c r="D67" s="36">
        <f t="shared" si="9"/>
        <v>67.615750000000006</v>
      </c>
      <c r="E67" s="36">
        <f t="shared" si="10"/>
        <v>66.615750000000006</v>
      </c>
      <c r="F67" s="28">
        <f t="shared" si="3"/>
        <v>1.1701573391977811</v>
      </c>
      <c r="G67">
        <v>5</v>
      </c>
      <c r="H67">
        <f t="shared" si="5"/>
        <v>278</v>
      </c>
      <c r="I67" s="7">
        <f t="shared" si="11"/>
        <v>8.3333333333333329E-2</v>
      </c>
      <c r="J67">
        <v>150</v>
      </c>
    </row>
    <row r="68" spans="1:15" x14ac:dyDescent="0.3">
      <c r="A68" s="6">
        <v>5</v>
      </c>
      <c r="B68" s="36">
        <v>64</v>
      </c>
      <c r="D68" s="36">
        <f t="shared" si="9"/>
        <v>68.109200000000001</v>
      </c>
      <c r="E68" s="36">
        <f t="shared" si="10"/>
        <v>67.109200000000001</v>
      </c>
      <c r="F68" s="28">
        <f t="shared" si="3"/>
        <v>1.1615532411154446</v>
      </c>
      <c r="G68">
        <v>5</v>
      </c>
      <c r="H68">
        <f t="shared" si="5"/>
        <v>283</v>
      </c>
      <c r="I68" s="7">
        <f t="shared" si="11"/>
        <v>8.3333333333333329E-2</v>
      </c>
      <c r="J68">
        <v>150</v>
      </c>
    </row>
    <row r="69" spans="1:15" x14ac:dyDescent="0.3">
      <c r="A69" s="6">
        <v>6</v>
      </c>
      <c r="B69" s="36">
        <v>75</v>
      </c>
      <c r="D69" s="36">
        <f t="shared" si="9"/>
        <v>78.965100000000007</v>
      </c>
      <c r="E69" s="36">
        <f t="shared" si="10"/>
        <v>77.965100000000007</v>
      </c>
      <c r="F69" s="28">
        <f t="shared" ref="F69:F131" si="12">(1000*I69*1*$K$3)/(PI()*($L$3^2)/4*E69)</f>
        <v>1.199781575633168</v>
      </c>
      <c r="G69">
        <v>5</v>
      </c>
      <c r="H69">
        <f t="shared" si="5"/>
        <v>288</v>
      </c>
      <c r="I69" s="7">
        <f t="shared" si="11"/>
        <v>0.1</v>
      </c>
      <c r="J69">
        <v>150</v>
      </c>
    </row>
    <row r="70" spans="1:15" x14ac:dyDescent="0.3">
      <c r="A70" s="6">
        <v>6</v>
      </c>
      <c r="B70" s="36">
        <v>74.5</v>
      </c>
      <c r="D70" s="36">
        <f t="shared" si="9"/>
        <v>78.471649999999997</v>
      </c>
      <c r="E70" s="36">
        <f t="shared" si="10"/>
        <v>77.471649999999997</v>
      </c>
      <c r="F70" s="28">
        <f t="shared" si="12"/>
        <v>1.2074234964970736</v>
      </c>
      <c r="G70">
        <v>5</v>
      </c>
      <c r="H70">
        <f t="shared" si="5"/>
        <v>293</v>
      </c>
      <c r="I70" s="7">
        <f t="shared" si="11"/>
        <v>0.1</v>
      </c>
      <c r="J70">
        <v>150</v>
      </c>
    </row>
    <row r="71" spans="1:15" x14ac:dyDescent="0.3">
      <c r="A71" s="6">
        <v>6</v>
      </c>
      <c r="B71" s="36">
        <v>75</v>
      </c>
      <c r="D71" s="36">
        <f t="shared" si="9"/>
        <v>78.965100000000007</v>
      </c>
      <c r="E71" s="36">
        <f t="shared" si="10"/>
        <v>77.965100000000007</v>
      </c>
      <c r="F71" s="28">
        <f t="shared" si="12"/>
        <v>1.199781575633168</v>
      </c>
      <c r="G71">
        <v>5</v>
      </c>
      <c r="H71">
        <f t="shared" si="5"/>
        <v>298</v>
      </c>
      <c r="I71" s="7">
        <f t="shared" si="11"/>
        <v>0.1</v>
      </c>
      <c r="J71">
        <v>150</v>
      </c>
    </row>
    <row r="72" spans="1:15" x14ac:dyDescent="0.3">
      <c r="A72" s="6">
        <v>6</v>
      </c>
      <c r="B72" s="36">
        <v>75</v>
      </c>
      <c r="D72" s="36">
        <f t="shared" si="9"/>
        <v>78.965100000000007</v>
      </c>
      <c r="E72" s="36">
        <f t="shared" si="10"/>
        <v>77.965100000000007</v>
      </c>
      <c r="F72" s="28">
        <f t="shared" si="12"/>
        <v>1.199781575633168</v>
      </c>
      <c r="G72">
        <v>5</v>
      </c>
      <c r="H72">
        <f t="shared" si="5"/>
        <v>303</v>
      </c>
      <c r="I72" s="7">
        <f t="shared" si="11"/>
        <v>0.1</v>
      </c>
      <c r="J72">
        <v>150</v>
      </c>
    </row>
    <row r="73" spans="1:15" x14ac:dyDescent="0.3">
      <c r="A73" s="6">
        <v>6</v>
      </c>
      <c r="B73" s="36">
        <v>75</v>
      </c>
      <c r="D73" s="36">
        <f t="shared" si="9"/>
        <v>78.965100000000007</v>
      </c>
      <c r="E73" s="36">
        <f t="shared" si="10"/>
        <v>77.965100000000007</v>
      </c>
      <c r="F73" s="28">
        <f t="shared" si="12"/>
        <v>1.199781575633168</v>
      </c>
      <c r="G73">
        <v>5</v>
      </c>
      <c r="H73">
        <f t="shared" si="5"/>
        <v>308</v>
      </c>
      <c r="I73" s="7">
        <f t="shared" si="11"/>
        <v>0.1</v>
      </c>
      <c r="J73">
        <v>150</v>
      </c>
    </row>
    <row r="74" spans="1:15" x14ac:dyDescent="0.3">
      <c r="A74" s="6">
        <v>5</v>
      </c>
      <c r="B74" s="36">
        <v>64.5</v>
      </c>
      <c r="D74" s="36">
        <f t="shared" si="9"/>
        <v>68.602649999999997</v>
      </c>
      <c r="E74" s="36">
        <f t="shared" si="10"/>
        <v>67.602649999999997</v>
      </c>
      <c r="F74" s="28">
        <f t="shared" si="12"/>
        <v>1.153074750304383</v>
      </c>
      <c r="G74">
        <v>5</v>
      </c>
      <c r="H74">
        <f t="shared" si="5"/>
        <v>313</v>
      </c>
      <c r="I74" s="7">
        <f t="shared" si="11"/>
        <v>8.3333333333333329E-2</v>
      </c>
      <c r="J74">
        <v>150</v>
      </c>
    </row>
    <row r="75" spans="1:15" x14ac:dyDescent="0.3">
      <c r="A75" s="6">
        <v>5</v>
      </c>
      <c r="B75" s="36">
        <v>64.5</v>
      </c>
      <c r="D75" s="36">
        <f t="shared" si="9"/>
        <v>68.602649999999997</v>
      </c>
      <c r="E75" s="36">
        <f t="shared" si="10"/>
        <v>67.602649999999997</v>
      </c>
      <c r="F75" s="28">
        <f t="shared" si="12"/>
        <v>1.153074750304383</v>
      </c>
      <c r="G75">
        <v>5</v>
      </c>
      <c r="H75">
        <f t="shared" si="5"/>
        <v>318</v>
      </c>
      <c r="I75" s="7">
        <f t="shared" si="11"/>
        <v>8.3333333333333329E-2</v>
      </c>
      <c r="J75">
        <v>150</v>
      </c>
    </row>
    <row r="76" spans="1:15" x14ac:dyDescent="0.3">
      <c r="A76" s="6">
        <v>5</v>
      </c>
      <c r="B76" s="36">
        <v>65</v>
      </c>
      <c r="D76" s="36">
        <f t="shared" si="9"/>
        <v>69.096100000000007</v>
      </c>
      <c r="E76" s="36">
        <f t="shared" si="10"/>
        <v>68.096100000000007</v>
      </c>
      <c r="F76" s="28">
        <f t="shared" si="12"/>
        <v>1.1447191361717424</v>
      </c>
      <c r="G76">
        <v>5</v>
      </c>
      <c r="H76">
        <f t="shared" si="5"/>
        <v>323</v>
      </c>
      <c r="I76" s="7">
        <f t="shared" si="11"/>
        <v>8.3333333333333329E-2</v>
      </c>
      <c r="J76">
        <v>150</v>
      </c>
    </row>
    <row r="77" spans="1:15" x14ac:dyDescent="0.3">
      <c r="A77" s="6">
        <v>5</v>
      </c>
      <c r="B77" s="36">
        <v>65</v>
      </c>
      <c r="D77" s="36">
        <f t="shared" ref="D77:D89" si="13">$O$4*(B77-$C$3)+1</f>
        <v>69.096100000000007</v>
      </c>
      <c r="E77" s="36">
        <f t="shared" ref="E77:E89" si="14">D77-1</f>
        <v>68.096100000000007</v>
      </c>
      <c r="F77" s="28">
        <f t="shared" si="12"/>
        <v>1.1447191361717424</v>
      </c>
      <c r="G77">
        <v>5</v>
      </c>
      <c r="H77">
        <f t="shared" si="5"/>
        <v>328</v>
      </c>
      <c r="I77" s="7">
        <f t="shared" ref="I77:I89" si="15">A77/60</f>
        <v>8.3333333333333329E-2</v>
      </c>
      <c r="J77">
        <v>150</v>
      </c>
      <c r="M77" s="68" t="s">
        <v>10</v>
      </c>
      <c r="N77" t="s">
        <v>11</v>
      </c>
      <c r="O77" t="s">
        <v>149</v>
      </c>
    </row>
    <row r="78" spans="1:15" x14ac:dyDescent="0.3">
      <c r="A78" s="6">
        <v>5</v>
      </c>
      <c r="B78" s="36">
        <v>65</v>
      </c>
      <c r="D78" s="36">
        <f t="shared" si="13"/>
        <v>69.096100000000007</v>
      </c>
      <c r="E78" s="36">
        <f t="shared" si="14"/>
        <v>68.096100000000007</v>
      </c>
      <c r="F78" s="28">
        <f t="shared" si="12"/>
        <v>1.1447191361717424</v>
      </c>
      <c r="G78">
        <v>5</v>
      </c>
      <c r="H78">
        <f t="shared" si="5"/>
        <v>333</v>
      </c>
      <c r="I78" s="7">
        <f t="shared" si="15"/>
        <v>8.3333333333333329E-2</v>
      </c>
      <c r="J78">
        <v>150</v>
      </c>
      <c r="M78" s="69">
        <v>0.1</v>
      </c>
      <c r="N78" s="36">
        <v>80.925799999999995</v>
      </c>
      <c r="O78" s="6">
        <v>1.1558871277441498</v>
      </c>
    </row>
    <row r="79" spans="1:15" x14ac:dyDescent="0.3">
      <c r="A79" s="6">
        <v>5</v>
      </c>
      <c r="B79" s="36">
        <v>65</v>
      </c>
      <c r="D79" s="36">
        <f t="shared" si="13"/>
        <v>69.096100000000007</v>
      </c>
      <c r="E79" s="36">
        <f t="shared" si="14"/>
        <v>68.096100000000007</v>
      </c>
      <c r="F79" s="28">
        <f t="shared" si="12"/>
        <v>1.1447191361717424</v>
      </c>
      <c r="G79">
        <v>5</v>
      </c>
      <c r="H79">
        <f t="shared" si="5"/>
        <v>338</v>
      </c>
      <c r="I79" s="7">
        <f t="shared" si="15"/>
        <v>8.3333333333333329E-2</v>
      </c>
      <c r="J79">
        <v>150</v>
      </c>
      <c r="M79" s="69">
        <v>0.116666666666667</v>
      </c>
      <c r="N79" s="36">
        <v>90.794799999999995</v>
      </c>
      <c r="O79" s="6">
        <v>1.2019550929803298</v>
      </c>
    </row>
    <row r="80" spans="1:15" x14ac:dyDescent="0.3">
      <c r="A80" s="6">
        <v>5</v>
      </c>
      <c r="B80" s="36">
        <v>65</v>
      </c>
      <c r="D80" s="36">
        <f t="shared" si="13"/>
        <v>69.096100000000007</v>
      </c>
      <c r="E80" s="36">
        <f t="shared" si="14"/>
        <v>68.096100000000007</v>
      </c>
      <c r="F80" s="28">
        <f t="shared" si="12"/>
        <v>1.1447191361717424</v>
      </c>
      <c r="G80">
        <v>5</v>
      </c>
      <c r="H80">
        <f t="shared" si="5"/>
        <v>343</v>
      </c>
      <c r="I80" s="7">
        <f t="shared" si="15"/>
        <v>8.3333333333333329E-2</v>
      </c>
      <c r="J80">
        <v>150</v>
      </c>
      <c r="M80" s="69">
        <v>8.3333333333333301E-2</v>
      </c>
      <c r="N80" s="36">
        <v>68.096100000000007</v>
      </c>
      <c r="O80" s="6">
        <v>1.1447191361717424</v>
      </c>
    </row>
    <row r="81" spans="1:32" x14ac:dyDescent="0.3">
      <c r="A81" s="6">
        <v>5</v>
      </c>
      <c r="B81" s="36">
        <v>65</v>
      </c>
      <c r="D81" s="36">
        <f t="shared" si="13"/>
        <v>69.096100000000007</v>
      </c>
      <c r="E81" s="36">
        <f t="shared" si="14"/>
        <v>68.096100000000007</v>
      </c>
      <c r="F81" s="28">
        <f t="shared" si="12"/>
        <v>1.1447191361717424</v>
      </c>
      <c r="G81">
        <v>5</v>
      </c>
      <c r="H81">
        <f t="shared" si="5"/>
        <v>348</v>
      </c>
      <c r="I81" s="7">
        <f t="shared" si="15"/>
        <v>8.3333333333333329E-2</v>
      </c>
      <c r="J81">
        <v>150</v>
      </c>
      <c r="M81" s="69">
        <v>6.6666666666666666E-2</v>
      </c>
      <c r="N81" s="36">
        <v>55.266399999999997</v>
      </c>
      <c r="O81" s="6">
        <v>1.1283660056550036</v>
      </c>
    </row>
    <row r="82" spans="1:32" x14ac:dyDescent="0.3">
      <c r="A82" s="6">
        <v>5</v>
      </c>
      <c r="B82" s="36">
        <v>65</v>
      </c>
      <c r="D82" s="36">
        <f t="shared" si="13"/>
        <v>69.096100000000007</v>
      </c>
      <c r="E82" s="36">
        <f t="shared" si="14"/>
        <v>68.096100000000007</v>
      </c>
      <c r="F82" s="28">
        <f t="shared" si="12"/>
        <v>1.1447191361717424</v>
      </c>
      <c r="G82">
        <v>5</v>
      </c>
      <c r="H82">
        <f t="shared" si="5"/>
        <v>353</v>
      </c>
      <c r="I82" s="7">
        <f t="shared" si="15"/>
        <v>8.3333333333333329E-2</v>
      </c>
      <c r="J82">
        <v>150</v>
      </c>
      <c r="M82" s="69">
        <v>0.05</v>
      </c>
      <c r="N82" s="36">
        <v>44.410499999999999</v>
      </c>
      <c r="O82" s="6">
        <v>1.0531416052780032</v>
      </c>
    </row>
    <row r="83" spans="1:32" x14ac:dyDescent="0.3">
      <c r="A83" s="6">
        <v>6</v>
      </c>
      <c r="B83" s="36">
        <v>78</v>
      </c>
      <c r="D83" s="36">
        <f t="shared" si="13"/>
        <v>81.925799999999995</v>
      </c>
      <c r="E83" s="36">
        <f t="shared" si="14"/>
        <v>80.925799999999995</v>
      </c>
      <c r="F83" s="28">
        <f t="shared" si="12"/>
        <v>1.1558871277441498</v>
      </c>
      <c r="G83">
        <v>5</v>
      </c>
      <c r="H83">
        <f t="shared" ref="H83:H131" si="16">G83+H82</f>
        <v>358</v>
      </c>
      <c r="I83" s="7">
        <f t="shared" si="15"/>
        <v>0.1</v>
      </c>
      <c r="J83">
        <v>150</v>
      </c>
      <c r="M83" s="69">
        <v>3.3333333333333333E-2</v>
      </c>
      <c r="N83" s="36">
        <v>32.567700000000002</v>
      </c>
      <c r="O83" s="9">
        <v>0.95740145934363929</v>
      </c>
    </row>
    <row r="84" spans="1:32" x14ac:dyDescent="0.3">
      <c r="A84" s="6">
        <v>6</v>
      </c>
      <c r="B84" s="36">
        <v>78</v>
      </c>
      <c r="D84" s="36">
        <f t="shared" si="13"/>
        <v>81.925799999999995</v>
      </c>
      <c r="E84" s="36">
        <f t="shared" si="14"/>
        <v>80.925799999999995</v>
      </c>
      <c r="F84" s="28">
        <f t="shared" si="12"/>
        <v>1.1558871277441498</v>
      </c>
      <c r="G84">
        <v>5</v>
      </c>
      <c r="H84">
        <f t="shared" si="16"/>
        <v>363</v>
      </c>
      <c r="I84" s="7">
        <f t="shared" si="15"/>
        <v>0.1</v>
      </c>
      <c r="J84">
        <v>150</v>
      </c>
      <c r="M84" s="69">
        <v>1.6666666666666701E-2</v>
      </c>
      <c r="N84" s="36">
        <v>20.231449999999999</v>
      </c>
      <c r="O84" s="9">
        <v>0.77059141849609991</v>
      </c>
    </row>
    <row r="85" spans="1:32" x14ac:dyDescent="0.3">
      <c r="A85" s="6">
        <v>6</v>
      </c>
      <c r="B85" s="36">
        <v>78</v>
      </c>
      <c r="D85" s="36">
        <f t="shared" si="13"/>
        <v>81.925799999999995</v>
      </c>
      <c r="E85" s="36">
        <f t="shared" si="14"/>
        <v>80.925799999999995</v>
      </c>
      <c r="F85" s="28">
        <f t="shared" si="12"/>
        <v>1.1558871277441498</v>
      </c>
      <c r="G85">
        <v>5</v>
      </c>
      <c r="H85">
        <f t="shared" si="16"/>
        <v>368</v>
      </c>
      <c r="I85" s="7">
        <f t="shared" si="15"/>
        <v>0.1</v>
      </c>
      <c r="J85">
        <v>150</v>
      </c>
      <c r="M85" s="69">
        <v>8.3333333333333297E-3</v>
      </c>
      <c r="N85" s="36">
        <v>13.32315</v>
      </c>
      <c r="O85" s="6">
        <v>0.58507866959889077</v>
      </c>
    </row>
    <row r="86" spans="1:32" x14ac:dyDescent="0.3">
      <c r="A86" s="6">
        <v>6</v>
      </c>
      <c r="B86" s="36">
        <v>78</v>
      </c>
      <c r="D86" s="36">
        <f t="shared" si="13"/>
        <v>81.925799999999995</v>
      </c>
      <c r="E86" s="36">
        <f t="shared" si="14"/>
        <v>80.925799999999995</v>
      </c>
      <c r="F86" s="28">
        <f t="shared" si="12"/>
        <v>1.1558871277441498</v>
      </c>
      <c r="G86">
        <v>5</v>
      </c>
      <c r="H86">
        <f t="shared" si="16"/>
        <v>373</v>
      </c>
      <c r="I86" s="7">
        <f t="shared" si="15"/>
        <v>0.1</v>
      </c>
      <c r="J86">
        <v>150</v>
      </c>
      <c r="M86" s="69">
        <v>1.6666666666666668E-3</v>
      </c>
      <c r="N86" s="36">
        <v>7.4017499999999998</v>
      </c>
      <c r="O86" s="6">
        <v>0.21062832105560064</v>
      </c>
    </row>
    <row r="87" spans="1:32" x14ac:dyDescent="0.3">
      <c r="A87" s="6">
        <v>6</v>
      </c>
      <c r="B87" s="36">
        <v>78</v>
      </c>
      <c r="D87" s="36">
        <f t="shared" si="13"/>
        <v>81.925799999999995</v>
      </c>
      <c r="E87" s="36">
        <f t="shared" si="14"/>
        <v>80.925799999999995</v>
      </c>
      <c r="F87" s="28">
        <f t="shared" si="12"/>
        <v>1.1558871277441498</v>
      </c>
      <c r="G87">
        <v>5</v>
      </c>
      <c r="H87">
        <f t="shared" si="16"/>
        <v>378</v>
      </c>
      <c r="I87" s="7">
        <f t="shared" si="15"/>
        <v>0.1</v>
      </c>
      <c r="J87">
        <v>150</v>
      </c>
      <c r="M87" s="69">
        <v>8.3333333333333339E-4</v>
      </c>
      <c r="N87" s="36">
        <v>6.4148500000000004</v>
      </c>
      <c r="O87" s="6">
        <v>0.1215163390705388</v>
      </c>
    </row>
    <row r="88" spans="1:32" x14ac:dyDescent="0.3">
      <c r="A88" s="6">
        <v>6</v>
      </c>
      <c r="B88" s="36">
        <v>78</v>
      </c>
      <c r="D88" s="36">
        <f t="shared" si="13"/>
        <v>81.925799999999995</v>
      </c>
      <c r="E88" s="36">
        <f t="shared" si="14"/>
        <v>80.925799999999995</v>
      </c>
      <c r="F88" s="28">
        <f t="shared" si="12"/>
        <v>1.1558871277441498</v>
      </c>
      <c r="G88">
        <v>5</v>
      </c>
      <c r="H88">
        <f t="shared" si="16"/>
        <v>383</v>
      </c>
      <c r="I88" s="7">
        <f t="shared" si="15"/>
        <v>0.1</v>
      </c>
      <c r="J88">
        <v>150</v>
      </c>
      <c r="M88" s="69">
        <v>3.3333333333333332E-4</v>
      </c>
      <c r="N88" s="36">
        <v>5.9214000000000002</v>
      </c>
      <c r="O88" s="6">
        <v>5.2657080263900154E-2</v>
      </c>
      <c r="Z88" s="2" t="s">
        <v>31</v>
      </c>
      <c r="AA88" s="2" t="s">
        <v>26</v>
      </c>
    </row>
    <row r="89" spans="1:32" x14ac:dyDescent="0.3">
      <c r="A89" s="6">
        <v>6</v>
      </c>
      <c r="B89" s="36">
        <v>78</v>
      </c>
      <c r="D89" s="36">
        <f t="shared" si="13"/>
        <v>81.925799999999995</v>
      </c>
      <c r="E89" s="36">
        <f t="shared" si="14"/>
        <v>80.925799999999995</v>
      </c>
      <c r="F89" s="28">
        <f t="shared" si="12"/>
        <v>1.1558871277441498</v>
      </c>
      <c r="G89">
        <v>5</v>
      </c>
      <c r="H89">
        <f t="shared" si="16"/>
        <v>388</v>
      </c>
      <c r="I89" s="7">
        <f t="shared" si="15"/>
        <v>0.1</v>
      </c>
      <c r="J89">
        <v>150</v>
      </c>
      <c r="Z89">
        <v>101325</v>
      </c>
      <c r="AA89">
        <v>9.8692326671599993E-16</v>
      </c>
    </row>
    <row r="90" spans="1:32" x14ac:dyDescent="0.3">
      <c r="A90" s="6">
        <v>7</v>
      </c>
      <c r="B90" s="36">
        <v>88</v>
      </c>
      <c r="D90" s="36">
        <f t="shared" ref="D90:D97" si="17">$O$4*(B90-$C$3)+1</f>
        <v>91.794799999999995</v>
      </c>
      <c r="E90" s="36">
        <f t="shared" ref="E90:E97" si="18">D90-1</f>
        <v>90.794799999999995</v>
      </c>
      <c r="F90" s="28">
        <f t="shared" si="12"/>
        <v>1.2019550929803298</v>
      </c>
      <c r="G90">
        <v>5</v>
      </c>
      <c r="H90">
        <f t="shared" si="16"/>
        <v>393</v>
      </c>
      <c r="I90" s="7">
        <f t="shared" ref="I90:I97" si="19">A90/60</f>
        <v>0.11666666666666667</v>
      </c>
      <c r="J90">
        <v>150</v>
      </c>
    </row>
    <row r="91" spans="1:32" x14ac:dyDescent="0.3">
      <c r="A91" s="6">
        <v>7</v>
      </c>
      <c r="B91" s="36">
        <v>88</v>
      </c>
      <c r="D91" s="36">
        <f t="shared" si="17"/>
        <v>91.794799999999995</v>
      </c>
      <c r="E91" s="36">
        <f t="shared" si="18"/>
        <v>90.794799999999995</v>
      </c>
      <c r="F91" s="28">
        <f t="shared" si="12"/>
        <v>1.2019550929803298</v>
      </c>
      <c r="G91">
        <v>5</v>
      </c>
      <c r="H91">
        <f t="shared" si="16"/>
        <v>398</v>
      </c>
      <c r="I91" s="7">
        <f t="shared" si="19"/>
        <v>0.11666666666666667</v>
      </c>
      <c r="J91">
        <v>150</v>
      </c>
      <c r="Z91" s="2" t="s">
        <v>29</v>
      </c>
      <c r="AA91" s="2" t="s">
        <v>133</v>
      </c>
    </row>
    <row r="92" spans="1:32" x14ac:dyDescent="0.3">
      <c r="A92" s="6">
        <v>7</v>
      </c>
      <c r="B92" s="36">
        <v>88</v>
      </c>
      <c r="D92" s="36">
        <f t="shared" si="17"/>
        <v>91.794799999999995</v>
      </c>
      <c r="E92" s="36">
        <f t="shared" si="18"/>
        <v>90.794799999999995</v>
      </c>
      <c r="F92" s="28">
        <f t="shared" si="12"/>
        <v>1.2019550929803298</v>
      </c>
      <c r="G92">
        <v>5</v>
      </c>
      <c r="H92">
        <f t="shared" si="16"/>
        <v>403</v>
      </c>
      <c r="I92" s="7">
        <f t="shared" si="19"/>
        <v>0.11666666666666667</v>
      </c>
      <c r="J92">
        <v>150</v>
      </c>
      <c r="K92" s="2" t="s">
        <v>0</v>
      </c>
      <c r="L92" s="2" t="s">
        <v>11</v>
      </c>
      <c r="M92" s="5" t="s">
        <v>10</v>
      </c>
      <c r="N92" s="2" t="s">
        <v>149</v>
      </c>
      <c r="O92" s="2" t="s">
        <v>13</v>
      </c>
      <c r="Z92">
        <v>4.7509999999999997E-2</v>
      </c>
      <c r="AA92">
        <v>18.3154</v>
      </c>
    </row>
    <row r="93" spans="1:32" x14ac:dyDescent="0.3">
      <c r="A93" s="6">
        <v>7</v>
      </c>
      <c r="B93" s="36">
        <v>88</v>
      </c>
      <c r="D93" s="36">
        <f t="shared" si="17"/>
        <v>91.794799999999995</v>
      </c>
      <c r="E93" s="36">
        <f t="shared" si="18"/>
        <v>90.794799999999995</v>
      </c>
      <c r="F93" s="28">
        <f t="shared" si="12"/>
        <v>1.2019550929803298</v>
      </c>
      <c r="G93">
        <v>5</v>
      </c>
      <c r="H93">
        <f t="shared" si="16"/>
        <v>408</v>
      </c>
      <c r="I93" s="7">
        <f t="shared" si="19"/>
        <v>0.11666666666666667</v>
      </c>
      <c r="J93">
        <v>150</v>
      </c>
      <c r="K93">
        <v>6</v>
      </c>
      <c r="L93" s="56">
        <v>80.925799999999995</v>
      </c>
      <c r="M93" s="32">
        <v>0.1</v>
      </c>
      <c r="N93" s="6">
        <f>F89</f>
        <v>1.1558871277441498</v>
      </c>
      <c r="O93" t="s">
        <v>202</v>
      </c>
    </row>
    <row r="94" spans="1:32" x14ac:dyDescent="0.3">
      <c r="A94" s="6">
        <v>7</v>
      </c>
      <c r="B94" s="36">
        <v>88</v>
      </c>
      <c r="D94" s="36">
        <f t="shared" si="17"/>
        <v>91.794799999999995</v>
      </c>
      <c r="E94" s="36">
        <f t="shared" si="18"/>
        <v>90.794799999999995</v>
      </c>
      <c r="F94" s="28">
        <f t="shared" si="12"/>
        <v>1.2019550929803298</v>
      </c>
      <c r="G94">
        <v>5</v>
      </c>
      <c r="H94">
        <f t="shared" si="16"/>
        <v>413</v>
      </c>
      <c r="I94" s="7">
        <f t="shared" si="19"/>
        <v>0.11666666666666667</v>
      </c>
      <c r="J94">
        <v>150</v>
      </c>
      <c r="K94">
        <v>7</v>
      </c>
      <c r="L94" s="56">
        <v>90.794799999999995</v>
      </c>
      <c r="M94" s="32">
        <v>0.116666666666667</v>
      </c>
      <c r="N94" s="6">
        <f>F96</f>
        <v>1.2019550929803298</v>
      </c>
      <c r="O94" t="s">
        <v>203</v>
      </c>
    </row>
    <row r="95" spans="1:32" x14ac:dyDescent="0.3">
      <c r="A95" s="6">
        <v>7</v>
      </c>
      <c r="B95" s="36">
        <v>88</v>
      </c>
      <c r="D95" s="36">
        <f t="shared" si="17"/>
        <v>91.794799999999995</v>
      </c>
      <c r="E95" s="36">
        <f t="shared" si="18"/>
        <v>90.794799999999995</v>
      </c>
      <c r="F95" s="28">
        <f t="shared" si="12"/>
        <v>1.2019550929803298</v>
      </c>
      <c r="G95">
        <v>5</v>
      </c>
      <c r="H95">
        <f t="shared" si="16"/>
        <v>418</v>
      </c>
      <c r="I95" s="7">
        <f t="shared" si="19"/>
        <v>0.11666666666666667</v>
      </c>
      <c r="J95">
        <v>150</v>
      </c>
      <c r="K95">
        <v>5</v>
      </c>
      <c r="L95" s="56">
        <v>68.096100000000007</v>
      </c>
      <c r="M95" s="32">
        <v>8.3333333333333301E-2</v>
      </c>
      <c r="N95" s="6">
        <f>F82</f>
        <v>1.1447191361717424</v>
      </c>
      <c r="O95" t="s">
        <v>204</v>
      </c>
      <c r="V95" s="2"/>
      <c r="W95" s="2"/>
      <c r="X95" s="2" t="s">
        <v>150</v>
      </c>
      <c r="Z95" s="2" t="s">
        <v>0</v>
      </c>
      <c r="AA95" s="2" t="s">
        <v>11</v>
      </c>
      <c r="AB95" s="2" t="s">
        <v>10</v>
      </c>
      <c r="AC95" s="2" t="s">
        <v>149</v>
      </c>
      <c r="AD95" s="2" t="s">
        <v>30</v>
      </c>
      <c r="AE95" s="2" t="s">
        <v>151</v>
      </c>
      <c r="AF95" s="2"/>
    </row>
    <row r="96" spans="1:32" x14ac:dyDescent="0.3">
      <c r="A96" s="6">
        <v>7</v>
      </c>
      <c r="B96" s="36">
        <v>88</v>
      </c>
      <c r="D96" s="36">
        <f t="shared" si="17"/>
        <v>91.794799999999995</v>
      </c>
      <c r="E96" s="36">
        <f t="shared" si="18"/>
        <v>90.794799999999995</v>
      </c>
      <c r="F96" s="28">
        <f t="shared" si="12"/>
        <v>1.2019550929803298</v>
      </c>
      <c r="G96">
        <v>5</v>
      </c>
      <c r="H96">
        <f t="shared" si="16"/>
        <v>423</v>
      </c>
      <c r="I96" s="7">
        <f t="shared" si="19"/>
        <v>0.11666666666666667</v>
      </c>
      <c r="J96">
        <v>150</v>
      </c>
      <c r="K96">
        <v>4</v>
      </c>
      <c r="L96" s="56">
        <v>55.266399999999997</v>
      </c>
      <c r="M96" s="32">
        <v>6.6666666666666666E-2</v>
      </c>
      <c r="N96" s="6">
        <f>F103</f>
        <v>1.1283660056550036</v>
      </c>
      <c r="O96" t="s">
        <v>205</v>
      </c>
      <c r="X96" s="6">
        <f>-M106/L106</f>
        <v>6.8016472709696698</v>
      </c>
      <c r="Z96">
        <v>6</v>
      </c>
      <c r="AA96" s="36">
        <v>80.925799999999995</v>
      </c>
      <c r="AB96" s="7">
        <v>0.1</v>
      </c>
      <c r="AC96" s="6">
        <v>1.15588712774415</v>
      </c>
      <c r="AD96" s="15">
        <f>AA96*$Z$89</f>
        <v>8199806.6849999996</v>
      </c>
      <c r="AE96" s="15">
        <f>AC96*$AA$89</f>
        <v>1.1407719000682308E-15</v>
      </c>
    </row>
    <row r="97" spans="1:33" x14ac:dyDescent="0.3">
      <c r="A97" s="6">
        <v>4</v>
      </c>
      <c r="B97" s="36">
        <v>52</v>
      </c>
      <c r="D97" s="36">
        <f t="shared" si="17"/>
        <v>56.266399999999997</v>
      </c>
      <c r="E97" s="36">
        <f t="shared" si="18"/>
        <v>55.266399999999997</v>
      </c>
      <c r="F97" s="28">
        <f t="shared" si="12"/>
        <v>1.1283660056550036</v>
      </c>
      <c r="G97">
        <v>5</v>
      </c>
      <c r="H97">
        <f t="shared" si="16"/>
        <v>428</v>
      </c>
      <c r="I97" s="7">
        <f t="shared" si="19"/>
        <v>6.6666666666666666E-2</v>
      </c>
      <c r="J97">
        <v>150</v>
      </c>
      <c r="K97">
        <v>3</v>
      </c>
      <c r="L97" s="56">
        <v>44.410499999999999</v>
      </c>
      <c r="M97" s="32">
        <v>0.05</v>
      </c>
      <c r="N97" s="6">
        <f>F107</f>
        <v>1.0531416052780032</v>
      </c>
      <c r="O97" t="s">
        <v>206</v>
      </c>
      <c r="Z97">
        <v>7</v>
      </c>
      <c r="AA97" s="36">
        <v>90.794799999999995</v>
      </c>
      <c r="AB97" s="7">
        <v>0.11666666666666667</v>
      </c>
      <c r="AC97" s="6">
        <v>1.2019550929803298</v>
      </c>
      <c r="AD97" s="64">
        <f>AA97*$Z$89</f>
        <v>9199783.1099999994</v>
      </c>
      <c r="AE97" s="64">
        <f>AC97*$AA$89</f>
        <v>1.1862374468100806E-15</v>
      </c>
      <c r="AF97" t="s">
        <v>259</v>
      </c>
    </row>
    <row r="98" spans="1:33" x14ac:dyDescent="0.3">
      <c r="A98" s="6">
        <v>4</v>
      </c>
      <c r="B98" s="36">
        <v>52</v>
      </c>
      <c r="D98" s="36">
        <f t="shared" ref="D98:D103" si="20">$O$4*(B98-$C$3)+1</f>
        <v>56.266399999999997</v>
      </c>
      <c r="E98" s="36">
        <f t="shared" ref="E98:E103" si="21">D98-1</f>
        <v>55.266399999999997</v>
      </c>
      <c r="F98" s="28">
        <f t="shared" si="12"/>
        <v>1.1283660056550036</v>
      </c>
      <c r="G98">
        <v>5</v>
      </c>
      <c r="H98">
        <f t="shared" si="16"/>
        <v>433</v>
      </c>
      <c r="I98" s="7">
        <f t="shared" ref="I98:I103" si="22">A98/60</f>
        <v>6.6666666666666666E-2</v>
      </c>
      <c r="J98">
        <v>150</v>
      </c>
      <c r="K98">
        <v>2</v>
      </c>
      <c r="L98" s="56">
        <v>32.567700000000002</v>
      </c>
      <c r="M98" s="32">
        <v>3.3333333333333333E-2</v>
      </c>
      <c r="N98" s="9">
        <f>F111</f>
        <v>0.95740145934363929</v>
      </c>
      <c r="O98" t="s">
        <v>207</v>
      </c>
      <c r="Z98">
        <v>5</v>
      </c>
      <c r="AA98" s="36">
        <v>68.096100000000007</v>
      </c>
      <c r="AB98" s="7">
        <v>8.3333333333333329E-2</v>
      </c>
      <c r="AC98" s="6">
        <v>1.1447191361717424</v>
      </c>
      <c r="AD98" s="15">
        <f t="shared" ref="AD98:AD103" si="23">AA98*$Z$89</f>
        <v>6899837.3325000005</v>
      </c>
      <c r="AE98" s="15">
        <f>AC98*$AA$89</f>
        <v>1.1297499493429336E-15</v>
      </c>
      <c r="AF98" s="2"/>
    </row>
    <row r="99" spans="1:33" x14ac:dyDescent="0.3">
      <c r="A99" s="6">
        <v>4</v>
      </c>
      <c r="B99" s="36">
        <v>52</v>
      </c>
      <c r="D99" s="36">
        <f t="shared" si="20"/>
        <v>56.266399999999997</v>
      </c>
      <c r="E99" s="36">
        <f t="shared" si="21"/>
        <v>55.266399999999997</v>
      </c>
      <c r="F99" s="28">
        <f t="shared" si="12"/>
        <v>1.1283660056550036</v>
      </c>
      <c r="G99">
        <v>5</v>
      </c>
      <c r="H99">
        <f t="shared" si="16"/>
        <v>438</v>
      </c>
      <c r="I99" s="7">
        <f t="shared" si="22"/>
        <v>6.6666666666666666E-2</v>
      </c>
      <c r="J99">
        <v>150</v>
      </c>
      <c r="K99">
        <v>1</v>
      </c>
      <c r="L99" s="56">
        <v>20.231449999999999</v>
      </c>
      <c r="M99" s="32">
        <v>1.6666666666666701E-2</v>
      </c>
      <c r="N99" s="9">
        <f>F115</f>
        <v>0.77059141849609991</v>
      </c>
      <c r="O99" t="s">
        <v>208</v>
      </c>
      <c r="Z99">
        <v>4</v>
      </c>
      <c r="AA99" s="36">
        <v>55.266399999999997</v>
      </c>
      <c r="AB99" s="7">
        <v>6.6666666666666666E-2</v>
      </c>
      <c r="AC99" s="6">
        <v>1.1283660056550036</v>
      </c>
      <c r="AD99" s="15">
        <f t="shared" si="23"/>
        <v>5599867.9799999995</v>
      </c>
      <c r="AE99" s="15">
        <f t="shared" ref="AE99:AE103" si="24">AC99*$AA$89</f>
        <v>1.1136106643523206E-15</v>
      </c>
    </row>
    <row r="100" spans="1:33" x14ac:dyDescent="0.3">
      <c r="A100" s="6">
        <v>4</v>
      </c>
      <c r="B100" s="36">
        <v>52</v>
      </c>
      <c r="D100" s="36">
        <f t="shared" si="20"/>
        <v>56.266399999999997</v>
      </c>
      <c r="E100" s="36">
        <f t="shared" si="21"/>
        <v>55.266399999999997</v>
      </c>
      <c r="F100" s="28">
        <f t="shared" si="12"/>
        <v>1.1283660056550036</v>
      </c>
      <c r="G100">
        <v>5</v>
      </c>
      <c r="H100">
        <f t="shared" si="16"/>
        <v>443</v>
      </c>
      <c r="I100" s="7">
        <f t="shared" si="22"/>
        <v>6.6666666666666666E-2</v>
      </c>
      <c r="J100">
        <v>150</v>
      </c>
      <c r="K100">
        <v>0.5</v>
      </c>
      <c r="L100" s="56">
        <v>13.32315</v>
      </c>
      <c r="M100" s="32">
        <v>8.3333333333333297E-3</v>
      </c>
      <c r="N100" s="6">
        <f>F119</f>
        <v>0.58507866959889077</v>
      </c>
      <c r="O100" t="s">
        <v>209</v>
      </c>
      <c r="Z100">
        <v>3</v>
      </c>
      <c r="AA100" s="36">
        <v>44.410499999999999</v>
      </c>
      <c r="AB100" s="7">
        <v>0.05</v>
      </c>
      <c r="AC100" s="6">
        <v>1.0531416052780032</v>
      </c>
      <c r="AD100" s="15">
        <f t="shared" si="23"/>
        <v>4499893.9124999996</v>
      </c>
      <c r="AE100" s="15">
        <f t="shared" si="24"/>
        <v>1.0393699533954991E-15</v>
      </c>
    </row>
    <row r="101" spans="1:33" x14ac:dyDescent="0.3">
      <c r="A101" s="6">
        <v>4</v>
      </c>
      <c r="B101" s="36">
        <v>52</v>
      </c>
      <c r="D101" s="36">
        <f t="shared" si="20"/>
        <v>56.266399999999997</v>
      </c>
      <c r="E101" s="36">
        <f t="shared" si="21"/>
        <v>55.266399999999997</v>
      </c>
      <c r="F101" s="28">
        <f t="shared" si="12"/>
        <v>1.1283660056550036</v>
      </c>
      <c r="G101">
        <v>5</v>
      </c>
      <c r="H101">
        <f t="shared" si="16"/>
        <v>448</v>
      </c>
      <c r="I101" s="7">
        <f t="shared" si="22"/>
        <v>6.6666666666666666E-2</v>
      </c>
      <c r="J101">
        <v>150</v>
      </c>
      <c r="K101">
        <v>0.1</v>
      </c>
      <c r="L101" s="36">
        <v>7.4017499999999998</v>
      </c>
      <c r="M101" s="7">
        <v>1.6666666666666668E-3</v>
      </c>
      <c r="N101" s="6">
        <f>F123</f>
        <v>0.21062832105560064</v>
      </c>
      <c r="O101" t="s">
        <v>210</v>
      </c>
      <c r="Z101">
        <v>2</v>
      </c>
      <c r="AA101" s="36">
        <v>32.567700000000002</v>
      </c>
      <c r="AB101" s="7">
        <v>3.3333333333333333E-2</v>
      </c>
      <c r="AC101" s="6">
        <v>0.95740145934363929</v>
      </c>
      <c r="AD101" s="15">
        <f>AA101*$Z$89</f>
        <v>3299922.2025000001</v>
      </c>
      <c r="AE101" s="15">
        <f t="shared" si="24"/>
        <v>9.4488177581409002E-16</v>
      </c>
    </row>
    <row r="102" spans="1:33" x14ac:dyDescent="0.3">
      <c r="A102" s="6">
        <v>4</v>
      </c>
      <c r="B102" s="36">
        <v>52</v>
      </c>
      <c r="D102" s="36">
        <f t="shared" si="20"/>
        <v>56.266399999999997</v>
      </c>
      <c r="E102" s="36">
        <f t="shared" si="21"/>
        <v>55.266399999999997</v>
      </c>
      <c r="F102" s="28">
        <f t="shared" si="12"/>
        <v>1.1283660056550036</v>
      </c>
      <c r="G102">
        <v>5</v>
      </c>
      <c r="H102">
        <f t="shared" si="16"/>
        <v>453</v>
      </c>
      <c r="I102" s="7">
        <f t="shared" si="22"/>
        <v>6.6666666666666666E-2</v>
      </c>
      <c r="J102">
        <v>150</v>
      </c>
      <c r="K102">
        <v>0.05</v>
      </c>
      <c r="L102" s="36">
        <v>6.4148500000000004</v>
      </c>
      <c r="M102" s="7">
        <v>8.3333333333333339E-4</v>
      </c>
      <c r="N102" s="6">
        <f>F127</f>
        <v>0.1215163390705388</v>
      </c>
      <c r="O102" t="s">
        <v>211</v>
      </c>
      <c r="Z102">
        <v>1</v>
      </c>
      <c r="AA102" s="36">
        <v>20.231449999999999</v>
      </c>
      <c r="AB102" s="7">
        <v>1.6666666666666666E-2</v>
      </c>
      <c r="AC102" s="6">
        <v>0.77059141849609991</v>
      </c>
      <c r="AD102" s="15">
        <f t="shared" si="23"/>
        <v>2049951.6712499999</v>
      </c>
      <c r="AE102" s="15">
        <f>AC102*$AA$89</f>
        <v>7.6051460004548717E-16</v>
      </c>
    </row>
    <row r="103" spans="1:33" x14ac:dyDescent="0.3">
      <c r="A103" s="6">
        <v>4</v>
      </c>
      <c r="B103" s="36">
        <v>52</v>
      </c>
      <c r="D103" s="36">
        <f t="shared" si="20"/>
        <v>56.266399999999997</v>
      </c>
      <c r="E103" s="36">
        <f t="shared" si="21"/>
        <v>55.266399999999997</v>
      </c>
      <c r="F103" s="28">
        <f t="shared" si="12"/>
        <v>1.1283660056550036</v>
      </c>
      <c r="G103">
        <v>5</v>
      </c>
      <c r="H103">
        <f t="shared" si="16"/>
        <v>458</v>
      </c>
      <c r="I103" s="7">
        <f t="shared" si="22"/>
        <v>6.6666666666666666E-2</v>
      </c>
      <c r="J103">
        <v>150</v>
      </c>
      <c r="K103">
        <v>0.02</v>
      </c>
      <c r="L103" s="36">
        <v>5.9214000000000002</v>
      </c>
      <c r="M103" s="7">
        <v>3.3333333333333332E-4</v>
      </c>
      <c r="N103" s="6">
        <f>F131</f>
        <v>5.2657080263900154E-2</v>
      </c>
      <c r="O103" t="s">
        <v>212</v>
      </c>
      <c r="Z103">
        <v>0.5</v>
      </c>
      <c r="AA103" s="36">
        <v>13.32315</v>
      </c>
      <c r="AB103" s="7">
        <v>8.3333333333333332E-3</v>
      </c>
      <c r="AC103" s="6">
        <v>0.58507866959889077</v>
      </c>
      <c r="AD103" s="64">
        <f t="shared" si="23"/>
        <v>1349968.1737500001</v>
      </c>
      <c r="AE103" s="64">
        <f t="shared" si="24"/>
        <v>5.774277518863885E-16</v>
      </c>
      <c r="AF103" t="s">
        <v>260</v>
      </c>
    </row>
    <row r="104" spans="1:33" x14ac:dyDescent="0.3">
      <c r="A104" s="6">
        <v>3</v>
      </c>
      <c r="B104" s="36">
        <v>41</v>
      </c>
      <c r="D104" s="36">
        <f t="shared" ref="D104:D115" si="25">$O$4*(B104-$C$3)+1</f>
        <v>45.410499999999999</v>
      </c>
      <c r="E104" s="36">
        <f t="shared" ref="E104:E115" si="26">D104-1</f>
        <v>44.410499999999999</v>
      </c>
      <c r="F104" s="28">
        <f t="shared" si="12"/>
        <v>1.0531416052780032</v>
      </c>
      <c r="G104">
        <v>5</v>
      </c>
      <c r="H104">
        <f t="shared" si="16"/>
        <v>463</v>
      </c>
      <c r="I104" s="7">
        <f t="shared" ref="I104:I115" si="27">A104/60</f>
        <v>0.05</v>
      </c>
      <c r="J104">
        <v>150</v>
      </c>
    </row>
    <row r="105" spans="1:33" x14ac:dyDescent="0.3">
      <c r="A105" s="6">
        <v>3</v>
      </c>
      <c r="B105" s="36">
        <v>41</v>
      </c>
      <c r="D105" s="36">
        <f t="shared" si="25"/>
        <v>45.410499999999999</v>
      </c>
      <c r="E105" s="36">
        <f t="shared" si="26"/>
        <v>44.410499999999999</v>
      </c>
      <c r="F105" s="28">
        <f t="shared" si="12"/>
        <v>1.0531416052780032</v>
      </c>
      <c r="G105">
        <v>5</v>
      </c>
      <c r="H105">
        <f t="shared" si="16"/>
        <v>468</v>
      </c>
      <c r="I105" s="7">
        <f t="shared" si="27"/>
        <v>0.05</v>
      </c>
      <c r="J105">
        <v>150</v>
      </c>
    </row>
    <row r="106" spans="1:33" x14ac:dyDescent="0.3">
      <c r="A106" s="6">
        <v>3</v>
      </c>
      <c r="B106" s="36">
        <v>41</v>
      </c>
      <c r="D106" s="36">
        <f t="shared" si="25"/>
        <v>45.410499999999999</v>
      </c>
      <c r="E106" s="36">
        <f t="shared" si="26"/>
        <v>44.410499999999999</v>
      </c>
      <c r="F106" s="28">
        <f t="shared" si="12"/>
        <v>1.0531416052780032</v>
      </c>
      <c r="G106">
        <v>5</v>
      </c>
      <c r="H106">
        <f t="shared" si="16"/>
        <v>473</v>
      </c>
      <c r="I106" s="7">
        <f t="shared" si="27"/>
        <v>0.05</v>
      </c>
      <c r="J106">
        <v>150</v>
      </c>
      <c r="L106" s="15">
        <f t="array" ref="L106:M110">LINEST(M93:M103,L93:L103,TRUE,TRUE)</f>
        <v>1.3631513830256615E-3</v>
      </c>
      <c r="M106" s="15">
        <v>-9.2716748842750218E-3</v>
      </c>
      <c r="O106" s="7"/>
      <c r="Z106" s="2" t="s">
        <v>32</v>
      </c>
      <c r="AA106" s="2" t="s">
        <v>33</v>
      </c>
      <c r="AB106" s="2" t="s">
        <v>34</v>
      </c>
    </row>
    <row r="107" spans="1:33" x14ac:dyDescent="0.3">
      <c r="A107" s="6">
        <v>3</v>
      </c>
      <c r="B107" s="36">
        <v>41</v>
      </c>
      <c r="D107" s="36">
        <f t="shared" si="25"/>
        <v>45.410499999999999</v>
      </c>
      <c r="E107" s="36">
        <f t="shared" si="26"/>
        <v>44.410499999999999</v>
      </c>
      <c r="F107" s="28">
        <f t="shared" si="12"/>
        <v>1.0531416052780032</v>
      </c>
      <c r="G107">
        <v>5</v>
      </c>
      <c r="H107">
        <f t="shared" si="16"/>
        <v>478</v>
      </c>
      <c r="I107" s="7">
        <f t="shared" si="27"/>
        <v>0.05</v>
      </c>
      <c r="J107">
        <v>150</v>
      </c>
      <c r="L107" s="15">
        <v>1.4664124079784767E-5</v>
      </c>
      <c r="M107" s="15">
        <v>7.1614256068433481E-4</v>
      </c>
      <c r="Z107" s="15">
        <f>16/3*Z92^4*(AE97/AD103^4-AE103/AD97^4)*10^16</f>
        <v>9.7032748525444306E-29</v>
      </c>
      <c r="AA107" s="15">
        <f>8/3*Z92*(AE103/AD97-AE97/AD103)*10^16</f>
        <v>-1.0337539429161317E-6</v>
      </c>
      <c r="AB107" s="6">
        <f>(AE97-AE103)*10^16</f>
        <v>6.0880969492369212</v>
      </c>
    </row>
    <row r="108" spans="1:33" x14ac:dyDescent="0.3">
      <c r="A108" s="6">
        <v>2</v>
      </c>
      <c r="B108" s="36">
        <v>29</v>
      </c>
      <c r="D108" s="36">
        <f t="shared" si="25"/>
        <v>33.567700000000002</v>
      </c>
      <c r="E108" s="36">
        <f t="shared" si="26"/>
        <v>32.567700000000002</v>
      </c>
      <c r="F108" s="61">
        <f t="shared" si="12"/>
        <v>0.95740145934363929</v>
      </c>
      <c r="G108">
        <v>5</v>
      </c>
      <c r="H108">
        <f t="shared" si="16"/>
        <v>483</v>
      </c>
      <c r="I108" s="7">
        <f t="shared" si="27"/>
        <v>3.3333333333333333E-2</v>
      </c>
      <c r="J108">
        <v>150</v>
      </c>
      <c r="L108" s="30">
        <v>0.99895956609584136</v>
      </c>
      <c r="M108" s="30">
        <v>1.4507174697418112E-3</v>
      </c>
    </row>
    <row r="109" spans="1:33" x14ac:dyDescent="0.3">
      <c r="A109" s="6">
        <v>2</v>
      </c>
      <c r="B109" s="36">
        <v>29</v>
      </c>
      <c r="D109" s="36">
        <f t="shared" si="25"/>
        <v>33.567700000000002</v>
      </c>
      <c r="E109" s="36">
        <f t="shared" si="26"/>
        <v>32.567700000000002</v>
      </c>
      <c r="F109" s="61">
        <f t="shared" si="12"/>
        <v>0.95740145934363929</v>
      </c>
      <c r="G109">
        <v>5</v>
      </c>
      <c r="H109">
        <f t="shared" si="16"/>
        <v>488</v>
      </c>
      <c r="I109" s="7">
        <f t="shared" si="27"/>
        <v>3.3333333333333333E-2</v>
      </c>
      <c r="J109">
        <v>150</v>
      </c>
      <c r="L109" s="30">
        <v>8641.2371405103968</v>
      </c>
      <c r="M109" s="30">
        <v>9</v>
      </c>
      <c r="Z109" s="2" t="s">
        <v>152</v>
      </c>
      <c r="AA109" s="2" t="s">
        <v>37</v>
      </c>
      <c r="AB109" s="2" t="s">
        <v>38</v>
      </c>
      <c r="AC109" s="2" t="s">
        <v>36</v>
      </c>
      <c r="AD109" s="2" t="s">
        <v>39</v>
      </c>
      <c r="AE109" s="2" t="s">
        <v>40</v>
      </c>
      <c r="AF109" s="2" t="s">
        <v>41</v>
      </c>
      <c r="AG109" s="2" t="s">
        <v>42</v>
      </c>
    </row>
    <row r="110" spans="1:33" x14ac:dyDescent="0.3">
      <c r="A110" s="6">
        <v>2</v>
      </c>
      <c r="B110" s="36">
        <v>29</v>
      </c>
      <c r="D110" s="36">
        <f t="shared" si="25"/>
        <v>33.567700000000002</v>
      </c>
      <c r="E110" s="36">
        <f t="shared" si="26"/>
        <v>32.567700000000002</v>
      </c>
      <c r="F110" s="61">
        <f t="shared" si="12"/>
        <v>0.95740145934363929</v>
      </c>
      <c r="G110">
        <v>5</v>
      </c>
      <c r="H110">
        <f t="shared" si="16"/>
        <v>493</v>
      </c>
      <c r="I110" s="7">
        <f t="shared" si="27"/>
        <v>3.3333333333333333E-2</v>
      </c>
      <c r="J110">
        <v>150</v>
      </c>
      <c r="L110" s="30">
        <v>1.8186185032033182E-2</v>
      </c>
      <c r="M110" s="30">
        <v>1.8941230593126747E-5</v>
      </c>
      <c r="Z110" s="15">
        <v>6000000</v>
      </c>
      <c r="AA110" s="19">
        <f>Z107*Z110^4+AA107*Z110+AB107</f>
        <v>1.1327733829106457E-2</v>
      </c>
      <c r="AB110" s="19">
        <f>4*Z107*Z110^3+AA107</f>
        <v>-9.4991764819014785E-7</v>
      </c>
      <c r="AC110" s="52">
        <f>Z110-AA110/AB110</f>
        <v>6011924.9640752422</v>
      </c>
      <c r="AD110" s="15">
        <f>Z107*AC110^4+AA107*AC110+AB107</f>
        <v>2.984431302088808E-6</v>
      </c>
      <c r="AE110" s="15">
        <f>4*Z107*AC110^3+AA107</f>
        <v>-9.4941678163715127E-7</v>
      </c>
      <c r="AF110" s="52">
        <f>AC110-AD110/AE110</f>
        <v>6011928.1075116759</v>
      </c>
      <c r="AG110" s="15">
        <f>Z107*AF110^4+AA107*AF110+AB107</f>
        <v>2.0694557179012918E-13</v>
      </c>
    </row>
    <row r="111" spans="1:33" x14ac:dyDescent="0.3">
      <c r="A111" s="6">
        <v>2</v>
      </c>
      <c r="B111" s="36">
        <v>29</v>
      </c>
      <c r="D111" s="36">
        <f t="shared" si="25"/>
        <v>33.567700000000002</v>
      </c>
      <c r="E111" s="36">
        <f t="shared" si="26"/>
        <v>32.567700000000002</v>
      </c>
      <c r="F111" s="61">
        <f t="shared" si="12"/>
        <v>0.95740145934363929</v>
      </c>
      <c r="G111">
        <v>5</v>
      </c>
      <c r="H111">
        <f t="shared" si="16"/>
        <v>498</v>
      </c>
      <c r="I111" s="7">
        <f t="shared" si="27"/>
        <v>3.3333333333333333E-2</v>
      </c>
      <c r="J111">
        <v>150</v>
      </c>
      <c r="Z111" s="2" t="s">
        <v>43</v>
      </c>
      <c r="AA111" s="13" t="s">
        <v>44</v>
      </c>
      <c r="AB111" s="13" t="s">
        <v>45</v>
      </c>
    </row>
    <row r="112" spans="1:33" x14ac:dyDescent="0.3">
      <c r="A112" s="6">
        <v>1</v>
      </c>
      <c r="B112" s="36">
        <v>16.5</v>
      </c>
      <c r="D112" s="36">
        <f t="shared" si="25"/>
        <v>21.231449999999999</v>
      </c>
      <c r="E112" s="36">
        <f t="shared" si="26"/>
        <v>20.231449999999999</v>
      </c>
      <c r="F112" s="61">
        <f t="shared" si="12"/>
        <v>0.77059141849609991</v>
      </c>
      <c r="G112">
        <v>5</v>
      </c>
      <c r="H112">
        <f t="shared" si="16"/>
        <v>503</v>
      </c>
      <c r="I112" s="7">
        <f t="shared" si="27"/>
        <v>1.6666666666666666E-2</v>
      </c>
      <c r="J112">
        <v>150</v>
      </c>
      <c r="Z112" s="15">
        <f>4*Z107*AF110^3+AA107</f>
        <v>-9.4941664934575759E-7</v>
      </c>
      <c r="AA112" s="70">
        <f>AF110-AG110/Z112</f>
        <v>6011928.1075118938</v>
      </c>
      <c r="AB112" s="26">
        <f>Z107*AA112^4+AA107*AA112+AB107</f>
        <v>0</v>
      </c>
    </row>
    <row r="113" spans="1:34" x14ac:dyDescent="0.3">
      <c r="A113" s="6">
        <v>1</v>
      </c>
      <c r="B113" s="36">
        <v>16.5</v>
      </c>
      <c r="D113" s="36">
        <f t="shared" si="25"/>
        <v>21.231449999999999</v>
      </c>
      <c r="E113" s="36">
        <f t="shared" si="26"/>
        <v>20.231449999999999</v>
      </c>
      <c r="F113" s="61">
        <f t="shared" si="12"/>
        <v>0.77059141849609991</v>
      </c>
      <c r="G113">
        <v>5</v>
      </c>
      <c r="H113">
        <f t="shared" si="16"/>
        <v>508</v>
      </c>
      <c r="I113" s="7">
        <f t="shared" si="27"/>
        <v>1.6666666666666666E-2</v>
      </c>
      <c r="J113">
        <v>150</v>
      </c>
      <c r="L113" s="34"/>
      <c r="M113" s="33"/>
    </row>
    <row r="114" spans="1:34" x14ac:dyDescent="0.3">
      <c r="A114" s="6">
        <v>1</v>
      </c>
      <c r="B114" s="36">
        <v>16.5</v>
      </c>
      <c r="D114" s="36">
        <f t="shared" si="25"/>
        <v>21.231449999999999</v>
      </c>
      <c r="E114" s="36">
        <f t="shared" si="26"/>
        <v>20.231449999999999</v>
      </c>
      <c r="F114" s="61">
        <f t="shared" si="12"/>
        <v>0.77059141849609991</v>
      </c>
      <c r="G114">
        <v>5</v>
      </c>
      <c r="H114">
        <f t="shared" si="16"/>
        <v>513</v>
      </c>
      <c r="I114" s="7">
        <f t="shared" si="27"/>
        <v>1.6666666666666666E-2</v>
      </c>
      <c r="J114">
        <v>150</v>
      </c>
      <c r="Z114" s="2" t="s">
        <v>56</v>
      </c>
      <c r="AA114" s="2" t="s">
        <v>72</v>
      </c>
      <c r="AB114" s="2" t="s">
        <v>153</v>
      </c>
      <c r="AC114" s="2" t="s">
        <v>154</v>
      </c>
      <c r="AD114" s="2" t="s">
        <v>155</v>
      </c>
      <c r="AF114" s="2" t="s">
        <v>262</v>
      </c>
      <c r="AG114" s="2" t="s">
        <v>261</v>
      </c>
      <c r="AH114" s="2" t="s">
        <v>263</v>
      </c>
    </row>
    <row r="115" spans="1:34" x14ac:dyDescent="0.3">
      <c r="A115" s="6">
        <v>1</v>
      </c>
      <c r="B115" s="36">
        <v>16.5</v>
      </c>
      <c r="D115" s="36">
        <f t="shared" si="25"/>
        <v>21.231449999999999</v>
      </c>
      <c r="E115" s="36">
        <f t="shared" si="26"/>
        <v>20.231449999999999</v>
      </c>
      <c r="F115" s="61">
        <f t="shared" si="12"/>
        <v>0.77059141849609991</v>
      </c>
      <c r="G115">
        <v>5</v>
      </c>
      <c r="H115">
        <f t="shared" si="16"/>
        <v>518</v>
      </c>
      <c r="I115" s="7">
        <f t="shared" si="27"/>
        <v>1.6666666666666666E-2</v>
      </c>
      <c r="J115">
        <v>150</v>
      </c>
      <c r="Z115" s="15">
        <f>SQRT(AE97*8*100/(AA92*(1-4/3*(2*Z92*AA112/AD97)+1/3*(2*Z92*AA112/AD97)^4)))</f>
        <v>2.3767723438901329E-7</v>
      </c>
      <c r="AA115" s="9">
        <f>Z115*10^6</f>
        <v>0.23767723438901328</v>
      </c>
      <c r="AB115" s="6">
        <f>Z115*AA112</f>
        <v>1.4288984459390015</v>
      </c>
      <c r="AC115" s="15">
        <f>AA92/100*Z115^2/8</f>
        <v>1.2933068912124041E-15</v>
      </c>
      <c r="AD115" s="55">
        <f>AC115/AA89</f>
        <v>1.3104432075209855</v>
      </c>
      <c r="AF115" s="6">
        <v>1.4288984459390015</v>
      </c>
      <c r="AG115" s="6">
        <v>4.5603707933652133</v>
      </c>
      <c r="AH115" s="6">
        <v>1.2390970095122642</v>
      </c>
    </row>
    <row r="116" spans="1:34" x14ac:dyDescent="0.3">
      <c r="A116" s="6">
        <v>0.5</v>
      </c>
      <c r="B116" s="36">
        <v>9.5</v>
      </c>
      <c r="D116" s="36">
        <f t="shared" ref="D116:D123" si="28">$O$4*(B116-$C$3)+1</f>
        <v>14.32315</v>
      </c>
      <c r="E116" s="36">
        <f t="shared" ref="E116:E123" si="29">D116-1</f>
        <v>13.32315</v>
      </c>
      <c r="F116" s="28">
        <f t="shared" si="12"/>
        <v>0.58507866959889077</v>
      </c>
      <c r="G116">
        <v>5</v>
      </c>
      <c r="H116">
        <f t="shared" si="16"/>
        <v>523</v>
      </c>
      <c r="I116" s="7">
        <f t="shared" ref="I116:I123" si="30">A116/60</f>
        <v>8.3333333333333332E-3</v>
      </c>
      <c r="J116">
        <v>150</v>
      </c>
    </row>
    <row r="117" spans="1:34" x14ac:dyDescent="0.3">
      <c r="A117" s="6">
        <v>0.5</v>
      </c>
      <c r="B117" s="36">
        <v>9.5</v>
      </c>
      <c r="D117" s="36">
        <f t="shared" si="28"/>
        <v>14.32315</v>
      </c>
      <c r="E117" s="36">
        <f t="shared" si="29"/>
        <v>13.32315</v>
      </c>
      <c r="F117" s="28">
        <f t="shared" si="12"/>
        <v>0.58507866959889077</v>
      </c>
      <c r="G117">
        <v>5</v>
      </c>
      <c r="H117">
        <f t="shared" si="16"/>
        <v>528</v>
      </c>
      <c r="I117" s="7">
        <f t="shared" si="30"/>
        <v>8.3333333333333332E-3</v>
      </c>
      <c r="J117">
        <v>150</v>
      </c>
      <c r="Z117" s="2" t="s">
        <v>11</v>
      </c>
      <c r="AA117" s="2" t="s">
        <v>30</v>
      </c>
      <c r="AB117" s="2" t="s">
        <v>151</v>
      </c>
      <c r="AC117" s="2" t="s">
        <v>149</v>
      </c>
    </row>
    <row r="118" spans="1:34" x14ac:dyDescent="0.3">
      <c r="A118" s="6">
        <v>0.5</v>
      </c>
      <c r="B118" s="36">
        <v>9.5</v>
      </c>
      <c r="D118" s="36">
        <f t="shared" si="28"/>
        <v>14.32315</v>
      </c>
      <c r="E118" s="36">
        <f t="shared" si="29"/>
        <v>13.32315</v>
      </c>
      <c r="F118" s="28">
        <f t="shared" si="12"/>
        <v>0.58507866959889077</v>
      </c>
      <c r="G118">
        <v>5</v>
      </c>
      <c r="H118">
        <f t="shared" si="16"/>
        <v>533</v>
      </c>
      <c r="I118" s="7">
        <f t="shared" si="30"/>
        <v>8.3333333333333332E-3</v>
      </c>
      <c r="J118">
        <v>150</v>
      </c>
      <c r="Z118">
        <v>10</v>
      </c>
      <c r="AA118">
        <f>Z118*$Z$89</f>
        <v>1013250</v>
      </c>
      <c r="AB118" s="15">
        <f>$AA$92/100*$Z$115^2/8*(1-4/3*(2*$Z$92*$AA$112/AA118)+1/3*(2*$Z$92*$AA$112/AA118)^4)</f>
        <v>3.6466792863694306E-16</v>
      </c>
      <c r="AC118" s="9">
        <f>AB118/$AA$89</f>
        <v>0.36949977869138739</v>
      </c>
    </row>
    <row r="119" spans="1:34" x14ac:dyDescent="0.3">
      <c r="A119" s="6">
        <v>0.5</v>
      </c>
      <c r="B119" s="36">
        <v>9.5</v>
      </c>
      <c r="D119" s="36">
        <f t="shared" si="28"/>
        <v>14.32315</v>
      </c>
      <c r="E119" s="36">
        <f t="shared" si="29"/>
        <v>13.32315</v>
      </c>
      <c r="F119" s="28">
        <f t="shared" si="12"/>
        <v>0.58507866959889077</v>
      </c>
      <c r="G119">
        <v>5</v>
      </c>
      <c r="H119">
        <f t="shared" si="16"/>
        <v>538</v>
      </c>
      <c r="I119" s="7">
        <f t="shared" si="30"/>
        <v>8.3333333333333332E-3</v>
      </c>
      <c r="J119">
        <v>150</v>
      </c>
      <c r="Z119">
        <v>20</v>
      </c>
      <c r="AA119">
        <f t="shared" ref="AA119:AA136" si="31">Z119*$Z$89</f>
        <v>2026500</v>
      </c>
      <c r="AB119" s="15">
        <f t="shared" ref="AB119:AB136" si="32">$AA$92/100*$Z$115^2/8*(1-4/3*(2*$Z$92*$AA$112/AA119)+1/3*(2*$Z$92*$AA$112/AA119)^4)</f>
        <v>8.099324884646256E-16</v>
      </c>
      <c r="AC119" s="9">
        <f t="shared" ref="AC119:AC136" si="33">AB119/$AA$89</f>
        <v>0.82066409393679263</v>
      </c>
    </row>
    <row r="120" spans="1:34" x14ac:dyDescent="0.3">
      <c r="A120" s="6">
        <v>0.1</v>
      </c>
      <c r="B120" s="36">
        <v>3.5</v>
      </c>
      <c r="D120" s="36">
        <f t="shared" si="28"/>
        <v>8.4017499999999998</v>
      </c>
      <c r="E120" s="36">
        <f t="shared" si="29"/>
        <v>7.4017499999999998</v>
      </c>
      <c r="F120" s="28">
        <f t="shared" si="12"/>
        <v>0.21062832105560064</v>
      </c>
      <c r="G120">
        <v>5</v>
      </c>
      <c r="H120">
        <f t="shared" si="16"/>
        <v>543</v>
      </c>
      <c r="I120" s="7">
        <f t="shared" si="30"/>
        <v>1.6666666666666668E-3</v>
      </c>
      <c r="J120">
        <v>150</v>
      </c>
      <c r="Z120">
        <v>30</v>
      </c>
      <c r="AA120">
        <f>Z120*$Z$89</f>
        <v>3039750</v>
      </c>
      <c r="AB120" s="15">
        <f t="shared" si="32"/>
        <v>9.6978023997053103E-16</v>
      </c>
      <c r="AC120" s="9">
        <f t="shared" si="33"/>
        <v>0.98262982815015343</v>
      </c>
    </row>
    <row r="121" spans="1:34" x14ac:dyDescent="0.3">
      <c r="A121" s="6">
        <v>0.1</v>
      </c>
      <c r="B121" s="36">
        <v>3.5</v>
      </c>
      <c r="D121" s="36">
        <f t="shared" si="28"/>
        <v>8.4017499999999998</v>
      </c>
      <c r="E121" s="36">
        <f t="shared" si="29"/>
        <v>7.4017499999999998</v>
      </c>
      <c r="F121" s="28">
        <f t="shared" si="12"/>
        <v>0.21062832105560064</v>
      </c>
      <c r="G121">
        <v>5</v>
      </c>
      <c r="H121">
        <f t="shared" si="16"/>
        <v>548</v>
      </c>
      <c r="I121" s="7">
        <f t="shared" si="30"/>
        <v>1.6666666666666668E-3</v>
      </c>
      <c r="J121">
        <v>150</v>
      </c>
      <c r="Z121">
        <v>40</v>
      </c>
      <c r="AA121">
        <f t="shared" si="31"/>
        <v>4053000</v>
      </c>
      <c r="AB121" s="15">
        <f t="shared" si="32"/>
        <v>1.050428757247262E-15</v>
      </c>
      <c r="AC121" s="9">
        <f t="shared" si="33"/>
        <v>1.0643469382808022</v>
      </c>
    </row>
    <row r="122" spans="1:34" x14ac:dyDescent="0.3">
      <c r="A122" s="6">
        <v>0.1</v>
      </c>
      <c r="B122" s="36">
        <v>3.5</v>
      </c>
      <c r="D122" s="36">
        <f t="shared" si="28"/>
        <v>8.4017499999999998</v>
      </c>
      <c r="E122" s="36">
        <f t="shared" si="29"/>
        <v>7.4017499999999998</v>
      </c>
      <c r="F122" s="28">
        <f t="shared" si="12"/>
        <v>0.21062832105560064</v>
      </c>
      <c r="G122">
        <v>5</v>
      </c>
      <c r="H122">
        <f t="shared" si="16"/>
        <v>553</v>
      </c>
      <c r="I122" s="7">
        <f t="shared" si="30"/>
        <v>1.6666666666666668E-3</v>
      </c>
      <c r="J122">
        <v>150</v>
      </c>
      <c r="Z122">
        <v>50</v>
      </c>
      <c r="AA122">
        <f t="shared" si="31"/>
        <v>5066250</v>
      </c>
      <c r="AB122" s="15">
        <f t="shared" si="32"/>
        <v>1.0989379640283439E-15</v>
      </c>
      <c r="AC122" s="6">
        <f t="shared" si="33"/>
        <v>1.1134988920517339</v>
      </c>
    </row>
    <row r="123" spans="1:34" x14ac:dyDescent="0.3">
      <c r="A123" s="6">
        <v>0.1</v>
      </c>
      <c r="B123" s="36">
        <v>3.5</v>
      </c>
      <c r="D123" s="36">
        <f t="shared" si="28"/>
        <v>8.4017499999999998</v>
      </c>
      <c r="E123" s="36">
        <f t="shared" si="29"/>
        <v>7.4017499999999998</v>
      </c>
      <c r="F123" s="28">
        <f t="shared" si="12"/>
        <v>0.21062832105560064</v>
      </c>
      <c r="G123">
        <v>5</v>
      </c>
      <c r="H123">
        <f t="shared" si="16"/>
        <v>558</v>
      </c>
      <c r="I123" s="7">
        <f t="shared" si="30"/>
        <v>1.6666666666666668E-3</v>
      </c>
      <c r="J123">
        <v>150</v>
      </c>
      <c r="Z123">
        <v>60</v>
      </c>
      <c r="AA123">
        <f t="shared" si="31"/>
        <v>6079500</v>
      </c>
      <c r="AB123" s="15">
        <f t="shared" si="32"/>
        <v>1.1313083196475164E-15</v>
      </c>
      <c r="AC123" s="6">
        <f t="shared" si="33"/>
        <v>1.146298154882861</v>
      </c>
    </row>
    <row r="124" spans="1:34" x14ac:dyDescent="0.3">
      <c r="A124" s="6">
        <v>0.05</v>
      </c>
      <c r="B124" s="36">
        <v>2.5</v>
      </c>
      <c r="D124" s="36">
        <f t="shared" ref="D124:D131" si="34">$O$4*(B124-$C$3)+1</f>
        <v>7.4148500000000004</v>
      </c>
      <c r="E124" s="36">
        <f t="shared" ref="E124:E131" si="35">D124-1</f>
        <v>6.4148500000000004</v>
      </c>
      <c r="F124" s="28">
        <f t="shared" si="12"/>
        <v>0.1215163390705388</v>
      </c>
      <c r="G124">
        <v>5</v>
      </c>
      <c r="H124">
        <f t="shared" si="16"/>
        <v>563</v>
      </c>
      <c r="I124" s="7">
        <f t="shared" ref="I124:I131" si="36">A124/60</f>
        <v>8.3333333333333339E-4</v>
      </c>
      <c r="J124">
        <v>150</v>
      </c>
      <c r="Z124">
        <v>70</v>
      </c>
      <c r="AA124">
        <f t="shared" si="31"/>
        <v>7092750</v>
      </c>
      <c r="AB124" s="15">
        <f t="shared" si="32"/>
        <v>1.154440307088345E-15</v>
      </c>
      <c r="AC124" s="6">
        <f t="shared" si="33"/>
        <v>1.1697366411572809</v>
      </c>
    </row>
    <row r="125" spans="1:34" x14ac:dyDescent="0.3">
      <c r="A125" s="6">
        <v>0.05</v>
      </c>
      <c r="B125" s="36">
        <v>2.5</v>
      </c>
      <c r="D125" s="36">
        <f t="shared" si="34"/>
        <v>7.4148500000000004</v>
      </c>
      <c r="E125" s="36">
        <f t="shared" si="35"/>
        <v>6.4148500000000004</v>
      </c>
      <c r="F125" s="28">
        <f t="shared" si="12"/>
        <v>0.1215163390705388</v>
      </c>
      <c r="G125">
        <v>5</v>
      </c>
      <c r="H125">
        <f t="shared" si="16"/>
        <v>568</v>
      </c>
      <c r="I125" s="7">
        <f t="shared" si="36"/>
        <v>8.3333333333333339E-4</v>
      </c>
      <c r="J125">
        <v>150</v>
      </c>
      <c r="Z125">
        <v>80</v>
      </c>
      <c r="AA125">
        <f t="shared" si="31"/>
        <v>8106000</v>
      </c>
      <c r="AB125" s="15">
        <f t="shared" si="32"/>
        <v>1.1717933909428797E-15</v>
      </c>
      <c r="AC125" s="6">
        <f t="shared" si="33"/>
        <v>1.1873196533728885</v>
      </c>
    </row>
    <row r="126" spans="1:34" x14ac:dyDescent="0.3">
      <c r="A126" s="6">
        <v>0.05</v>
      </c>
      <c r="B126" s="36">
        <v>2.5</v>
      </c>
      <c r="D126" s="36">
        <f t="shared" si="34"/>
        <v>7.4148500000000004</v>
      </c>
      <c r="E126" s="36">
        <f t="shared" si="35"/>
        <v>6.4148500000000004</v>
      </c>
      <c r="F126" s="28">
        <f t="shared" si="12"/>
        <v>0.1215163390705388</v>
      </c>
      <c r="G126">
        <v>5</v>
      </c>
      <c r="H126">
        <f t="shared" si="16"/>
        <v>573</v>
      </c>
      <c r="I126" s="7">
        <f t="shared" si="36"/>
        <v>8.3333333333333339E-4</v>
      </c>
      <c r="J126">
        <v>150</v>
      </c>
      <c r="Z126">
        <v>90</v>
      </c>
      <c r="AA126">
        <f t="shared" si="31"/>
        <v>9119250</v>
      </c>
      <c r="AB126" s="15">
        <f t="shared" si="32"/>
        <v>1.1852920774603799E-15</v>
      </c>
      <c r="AC126" s="6">
        <f t="shared" si="33"/>
        <v>1.2009971974867455</v>
      </c>
    </row>
    <row r="127" spans="1:34" x14ac:dyDescent="0.3">
      <c r="A127" s="6">
        <v>0.05</v>
      </c>
      <c r="B127" s="36">
        <v>2.5</v>
      </c>
      <c r="D127" s="36">
        <f t="shared" si="34"/>
        <v>7.4148500000000004</v>
      </c>
      <c r="E127" s="36">
        <f t="shared" si="35"/>
        <v>6.4148500000000004</v>
      </c>
      <c r="F127" s="28">
        <f t="shared" si="12"/>
        <v>0.1215163390705388</v>
      </c>
      <c r="G127">
        <v>5</v>
      </c>
      <c r="H127">
        <f t="shared" si="16"/>
        <v>578</v>
      </c>
      <c r="I127" s="7">
        <f t="shared" si="36"/>
        <v>8.3333333333333339E-4</v>
      </c>
      <c r="J127">
        <v>150</v>
      </c>
      <c r="Z127">
        <v>100</v>
      </c>
      <c r="AA127">
        <f t="shared" si="31"/>
        <v>10132500</v>
      </c>
      <c r="AB127" s="15">
        <f t="shared" si="32"/>
        <v>1.196091939746038E-15</v>
      </c>
      <c r="AC127" s="6">
        <f t="shared" si="33"/>
        <v>1.2119401579476887</v>
      </c>
    </row>
    <row r="128" spans="1:34" x14ac:dyDescent="0.3">
      <c r="A128" s="6">
        <v>0.02</v>
      </c>
      <c r="B128" s="36">
        <v>2</v>
      </c>
      <c r="D128" s="36">
        <f t="shared" si="34"/>
        <v>6.9214000000000002</v>
      </c>
      <c r="E128" s="36">
        <f t="shared" si="35"/>
        <v>5.9214000000000002</v>
      </c>
      <c r="F128" s="28">
        <f t="shared" si="12"/>
        <v>5.2657080263900154E-2</v>
      </c>
      <c r="G128">
        <v>5</v>
      </c>
      <c r="H128">
        <f t="shared" si="16"/>
        <v>583</v>
      </c>
      <c r="I128" s="7">
        <f t="shared" si="36"/>
        <v>3.3333333333333332E-4</v>
      </c>
      <c r="J128">
        <v>150</v>
      </c>
      <c r="Z128">
        <v>200</v>
      </c>
      <c r="AA128">
        <f t="shared" si="31"/>
        <v>20265000</v>
      </c>
      <c r="AB128" s="15">
        <f t="shared" si="32"/>
        <v>1.2446975099870749E-15</v>
      </c>
      <c r="AC128" s="6">
        <f t="shared" si="33"/>
        <v>1.2611897519944202</v>
      </c>
    </row>
    <row r="129" spans="1:29" x14ac:dyDescent="0.3">
      <c r="A129" s="6">
        <v>0.02</v>
      </c>
      <c r="B129" s="36">
        <v>2</v>
      </c>
      <c r="D129" s="36">
        <f t="shared" si="34"/>
        <v>6.9214000000000002</v>
      </c>
      <c r="E129" s="36">
        <f t="shared" si="35"/>
        <v>5.9214000000000002</v>
      </c>
      <c r="F129" s="28">
        <f t="shared" si="12"/>
        <v>5.2657080263900154E-2</v>
      </c>
      <c r="G129">
        <v>5</v>
      </c>
      <c r="H129">
        <f t="shared" si="16"/>
        <v>588</v>
      </c>
      <c r="I129" s="7">
        <f t="shared" si="36"/>
        <v>3.3333333333333332E-4</v>
      </c>
      <c r="J129">
        <v>150</v>
      </c>
      <c r="Z129">
        <v>300</v>
      </c>
      <c r="AA129">
        <f t="shared" si="31"/>
        <v>30397500</v>
      </c>
      <c r="AB129" s="15">
        <f t="shared" si="32"/>
        <v>1.2609005093572438E-15</v>
      </c>
      <c r="AC129" s="6">
        <f t="shared" si="33"/>
        <v>1.2776074411062439</v>
      </c>
    </row>
    <row r="130" spans="1:29" x14ac:dyDescent="0.3">
      <c r="A130" s="6">
        <v>0.02</v>
      </c>
      <c r="B130" s="36">
        <v>2</v>
      </c>
      <c r="D130" s="36">
        <f t="shared" si="34"/>
        <v>6.9214000000000002</v>
      </c>
      <c r="E130" s="36">
        <f t="shared" si="35"/>
        <v>5.9214000000000002</v>
      </c>
      <c r="F130" s="28">
        <f t="shared" si="12"/>
        <v>5.2657080263900154E-2</v>
      </c>
      <c r="G130">
        <v>5</v>
      </c>
      <c r="H130">
        <f t="shared" si="16"/>
        <v>593</v>
      </c>
      <c r="I130" s="7">
        <f t="shared" si="36"/>
        <v>3.3333333333333332E-4</v>
      </c>
      <c r="J130">
        <v>150</v>
      </c>
      <c r="Z130">
        <v>400</v>
      </c>
      <c r="AA130">
        <f t="shared" si="31"/>
        <v>40530000</v>
      </c>
      <c r="AB130" s="15">
        <f t="shared" si="32"/>
        <v>1.2690020815064805E-15</v>
      </c>
      <c r="AC130" s="6">
        <f t="shared" si="33"/>
        <v>1.2858163590864582</v>
      </c>
    </row>
    <row r="131" spans="1:29" x14ac:dyDescent="0.3">
      <c r="A131" s="6">
        <v>0.02</v>
      </c>
      <c r="B131" s="36">
        <v>2</v>
      </c>
      <c r="D131" s="36">
        <f t="shared" si="34"/>
        <v>6.9214000000000002</v>
      </c>
      <c r="E131" s="36">
        <f t="shared" si="35"/>
        <v>5.9214000000000002</v>
      </c>
      <c r="F131" s="28">
        <f t="shared" si="12"/>
        <v>5.2657080263900154E-2</v>
      </c>
      <c r="G131">
        <v>5</v>
      </c>
      <c r="H131">
        <f t="shared" si="16"/>
        <v>598</v>
      </c>
      <c r="I131" s="7">
        <f t="shared" si="36"/>
        <v>3.3333333333333332E-4</v>
      </c>
      <c r="J131">
        <v>150</v>
      </c>
      <c r="Z131">
        <v>500</v>
      </c>
      <c r="AA131">
        <f t="shared" si="31"/>
        <v>50662500</v>
      </c>
      <c r="AB131" s="15">
        <f t="shared" si="32"/>
        <v>1.273863036805664E-15</v>
      </c>
      <c r="AC131" s="6">
        <f t="shared" si="33"/>
        <v>1.2907417220433559</v>
      </c>
    </row>
    <row r="132" spans="1:29" x14ac:dyDescent="0.3">
      <c r="Z132">
        <v>600</v>
      </c>
      <c r="AA132">
        <f t="shared" si="31"/>
        <v>60795000</v>
      </c>
      <c r="AB132" s="15">
        <f t="shared" si="32"/>
        <v>1.2771036767602294E-15</v>
      </c>
      <c r="AC132" s="6">
        <f t="shared" si="33"/>
        <v>1.2940253004773195</v>
      </c>
    </row>
    <row r="133" spans="1:29" x14ac:dyDescent="0.3">
      <c r="Z133">
        <v>700</v>
      </c>
      <c r="AA133">
        <f t="shared" si="31"/>
        <v>70927500</v>
      </c>
      <c r="AB133" s="15">
        <f t="shared" si="32"/>
        <v>1.2794184206154049E-15</v>
      </c>
      <c r="AC133" s="6">
        <f t="shared" si="33"/>
        <v>1.2963707146885759</v>
      </c>
    </row>
    <row r="134" spans="1:29" x14ac:dyDescent="0.3">
      <c r="H134" t="s">
        <v>158</v>
      </c>
      <c r="Z134">
        <v>800</v>
      </c>
      <c r="AA134">
        <f t="shared" si="31"/>
        <v>81060000</v>
      </c>
      <c r="AB134" s="15">
        <f t="shared" si="32"/>
        <v>1.2811544789161135E-15</v>
      </c>
      <c r="AC134" s="6">
        <f t="shared" si="33"/>
        <v>1.2981297757617689</v>
      </c>
    </row>
    <row r="135" spans="1:29" x14ac:dyDescent="0.3">
      <c r="D135" t="s">
        <v>161</v>
      </c>
      <c r="H135">
        <f>H131/60</f>
        <v>9.9666666666666668</v>
      </c>
      <c r="Z135">
        <v>900</v>
      </c>
      <c r="AA135">
        <f t="shared" si="31"/>
        <v>91192500</v>
      </c>
      <c r="AB135" s="15">
        <f t="shared" si="32"/>
        <v>1.2825047466676837E-15</v>
      </c>
      <c r="AC135" s="6">
        <f t="shared" si="33"/>
        <v>1.2994979345610476</v>
      </c>
    </row>
    <row r="136" spans="1:29" x14ac:dyDescent="0.3">
      <c r="Z136">
        <v>1000</v>
      </c>
      <c r="AA136">
        <f t="shared" si="31"/>
        <v>101325000</v>
      </c>
      <c r="AB136" s="15">
        <f t="shared" si="32"/>
        <v>1.2835849609602466E-15</v>
      </c>
      <c r="AC136" s="6">
        <f t="shared" si="33"/>
        <v>1.3005924616929869</v>
      </c>
    </row>
    <row r="139" spans="1:29" x14ac:dyDescent="0.3">
      <c r="AA139" t="b">
        <v>1</v>
      </c>
      <c r="AB139" t="s">
        <v>223</v>
      </c>
    </row>
    <row r="140" spans="1:29" x14ac:dyDescent="0.3">
      <c r="C140" s="6"/>
      <c r="X140">
        <v>0.45579945333159988</v>
      </c>
      <c r="Y140">
        <v>4.0252241538482938</v>
      </c>
    </row>
    <row r="141" spans="1:29" x14ac:dyDescent="0.3">
      <c r="C141" s="6"/>
      <c r="X141">
        <f>X140/AC118</f>
        <v>1.2335581226756065</v>
      </c>
      <c r="Y141">
        <f>Y140/AC127</f>
        <v>3.321306029387332</v>
      </c>
      <c r="AA141">
        <f>3.91/1.18</f>
        <v>3.3135593220338988</v>
      </c>
      <c r="AB141">
        <f>4.5/1.3</f>
        <v>3.4615384615384612</v>
      </c>
    </row>
    <row r="142" spans="1:29" x14ac:dyDescent="0.3">
      <c r="C142" s="6"/>
    </row>
    <row r="143" spans="1:29" x14ac:dyDescent="0.3">
      <c r="C143" s="6"/>
    </row>
    <row r="144" spans="1:29" x14ac:dyDescent="0.3">
      <c r="C144" s="6"/>
      <c r="AC144">
        <f>3.97/1.31</f>
        <v>3.0305343511450382</v>
      </c>
    </row>
    <row r="145" spans="3:32" x14ac:dyDescent="0.3">
      <c r="C145" s="6"/>
    </row>
    <row r="146" spans="3:32" x14ac:dyDescent="0.3">
      <c r="C146" s="6"/>
    </row>
    <row r="147" spans="3:32" x14ac:dyDescent="0.3">
      <c r="C147" s="6"/>
    </row>
    <row r="148" spans="3:32" x14ac:dyDescent="0.3">
      <c r="C148" s="6"/>
    </row>
    <row r="149" spans="3:32" x14ac:dyDescent="0.3">
      <c r="C149" s="6"/>
    </row>
    <row r="150" spans="3:32" x14ac:dyDescent="0.3">
      <c r="C150" s="6"/>
    </row>
    <row r="151" spans="3:32" x14ac:dyDescent="0.3">
      <c r="C151" s="6"/>
    </row>
    <row r="152" spans="3:32" x14ac:dyDescent="0.3">
      <c r="C152" s="6"/>
    </row>
    <row r="153" spans="3:32" x14ac:dyDescent="0.3">
      <c r="C153" s="6"/>
      <c r="S153" s="30"/>
      <c r="T153" s="30"/>
    </row>
    <row r="154" spans="3:32" x14ac:dyDescent="0.3">
      <c r="C154" s="6"/>
      <c r="S154" s="30"/>
      <c r="T154" s="30"/>
      <c r="AE154" s="2"/>
      <c r="AF154" s="2"/>
    </row>
    <row r="155" spans="3:32" x14ac:dyDescent="0.3">
      <c r="C155" s="6"/>
      <c r="S155" s="30"/>
      <c r="T155" s="30"/>
    </row>
    <row r="156" spans="3:32" x14ac:dyDescent="0.3">
      <c r="C156" s="6"/>
      <c r="S156" s="30"/>
      <c r="T156" s="30"/>
    </row>
    <row r="157" spans="3:32" x14ac:dyDescent="0.3">
      <c r="C157" s="6"/>
      <c r="O157" t="s">
        <v>11</v>
      </c>
      <c r="P157" t="s">
        <v>10</v>
      </c>
      <c r="S157" s="30"/>
      <c r="T157" s="30"/>
    </row>
    <row r="158" spans="3:32" x14ac:dyDescent="0.3">
      <c r="C158" s="6"/>
      <c r="O158">
        <v>80.925799999999995</v>
      </c>
      <c r="P158">
        <v>0.1</v>
      </c>
    </row>
    <row r="159" spans="3:32" x14ac:dyDescent="0.3">
      <c r="C159" s="6"/>
      <c r="O159">
        <v>90.794799999999995</v>
      </c>
      <c r="P159">
        <v>0.116666666666667</v>
      </c>
    </row>
    <row r="160" spans="3:32" x14ac:dyDescent="0.3">
      <c r="C160" s="6"/>
      <c r="O160">
        <v>68.096100000000007</v>
      </c>
      <c r="P160">
        <v>8.3333333333333301E-2</v>
      </c>
      <c r="S160" s="34"/>
      <c r="T160" s="33"/>
    </row>
    <row r="161" spans="3:44" x14ac:dyDescent="0.3">
      <c r="C161" s="6"/>
      <c r="O161">
        <v>55.266399999999997</v>
      </c>
      <c r="P161">
        <v>6.6666666666666666E-2</v>
      </c>
    </row>
    <row r="162" spans="3:44" x14ac:dyDescent="0.3">
      <c r="C162" s="6"/>
      <c r="O162">
        <v>44.410499999999999</v>
      </c>
      <c r="P162">
        <v>0.05</v>
      </c>
    </row>
    <row r="163" spans="3:44" x14ac:dyDescent="0.3">
      <c r="C163" s="6"/>
      <c r="O163">
        <v>32.567700000000002</v>
      </c>
      <c r="P163">
        <v>3.3333333333333333E-2</v>
      </c>
      <c r="AQ163">
        <v>7</v>
      </c>
      <c r="AR163">
        <f>0.0112560726/0.0013930632</f>
        <v>8.080087536588433</v>
      </c>
    </row>
    <row r="164" spans="3:44" x14ac:dyDescent="0.3">
      <c r="C164" s="6"/>
      <c r="O164">
        <v>20.231449999999999</v>
      </c>
      <c r="P164">
        <v>1.6666666666666701E-2</v>
      </c>
      <c r="T164">
        <v>3</v>
      </c>
      <c r="U164">
        <f>0.0109164115/0.0013905653</f>
        <v>7.8503407930573275</v>
      </c>
      <c r="AA164">
        <v>1</v>
      </c>
      <c r="AB164">
        <f>0.03666666666667/0.00168878981321987</f>
        <v>21.711800000001674</v>
      </c>
      <c r="AH164">
        <f>0.0092716749/0.0013631514</f>
        <v>6.8016471978094293</v>
      </c>
    </row>
    <row r="165" spans="3:44" x14ac:dyDescent="0.3">
      <c r="C165" s="6"/>
      <c r="O165">
        <v>13.32315</v>
      </c>
      <c r="P165">
        <v>8.3333333333333297E-3</v>
      </c>
    </row>
    <row r="166" spans="3:44" x14ac:dyDescent="0.3">
      <c r="C166" s="6"/>
      <c r="O166">
        <v>7.4017499999999998</v>
      </c>
      <c r="P166">
        <v>1.6666666666666668E-3</v>
      </c>
    </row>
    <row r="167" spans="3:44" x14ac:dyDescent="0.3">
      <c r="C167" s="6"/>
      <c r="O167">
        <v>6.4148500000000004</v>
      </c>
      <c r="P167">
        <v>8.3333333333333339E-4</v>
      </c>
    </row>
    <row r="168" spans="3:44" x14ac:dyDescent="0.3">
      <c r="C168" s="6"/>
      <c r="O168">
        <v>5.9214000000000002</v>
      </c>
      <c r="P168">
        <v>3.3333333333333332E-4</v>
      </c>
    </row>
    <row r="169" spans="3:44" x14ac:dyDescent="0.3">
      <c r="C169" s="6"/>
    </row>
    <row r="170" spans="3:44" x14ac:dyDescent="0.3">
      <c r="C170" s="6"/>
    </row>
    <row r="171" spans="3:44" x14ac:dyDescent="0.3">
      <c r="C171" s="6"/>
    </row>
    <row r="172" spans="3:44" x14ac:dyDescent="0.3">
      <c r="C172" s="6"/>
    </row>
    <row r="173" spans="3:44" x14ac:dyDescent="0.3">
      <c r="C173" s="6"/>
    </row>
    <row r="174" spans="3:44" x14ac:dyDescent="0.3">
      <c r="C174" s="6"/>
    </row>
    <row r="175" spans="3:44" x14ac:dyDescent="0.3">
      <c r="C175" s="6"/>
    </row>
    <row r="176" spans="3:44" x14ac:dyDescent="0.3">
      <c r="C176" s="6"/>
    </row>
    <row r="177" spans="3:50" x14ac:dyDescent="0.3">
      <c r="C177" s="6"/>
    </row>
    <row r="178" spans="3:50" x14ac:dyDescent="0.3">
      <c r="C178" s="6"/>
    </row>
    <row r="179" spans="3:50" x14ac:dyDescent="0.3">
      <c r="C179" s="6"/>
    </row>
    <row r="180" spans="3:50" x14ac:dyDescent="0.3">
      <c r="C180" s="6"/>
    </row>
    <row r="181" spans="3:50" x14ac:dyDescent="0.3">
      <c r="C181" s="6"/>
    </row>
    <row r="182" spans="3:50" x14ac:dyDescent="0.3">
      <c r="C182" s="6"/>
      <c r="T182">
        <v>2</v>
      </c>
      <c r="U182">
        <f>0.0167293233/0.0014602318</f>
        <v>11.456621681571379</v>
      </c>
      <c r="AA182">
        <v>4</v>
      </c>
      <c r="AB182">
        <f>0.0120367803/0.0014045937</f>
        <v>8.5695815807802642</v>
      </c>
      <c r="AO182">
        <v>6</v>
      </c>
      <c r="AP182">
        <f>0.0120283754/0.0014042199</f>
        <v>8.5658773244845765</v>
      </c>
    </row>
    <row r="183" spans="3:50" x14ac:dyDescent="0.3">
      <c r="C183" s="6"/>
      <c r="AG183">
        <v>5</v>
      </c>
      <c r="AH183">
        <f>0.0123785817/0.0014090998</f>
        <v>8.7847444872251064</v>
      </c>
    </row>
    <row r="184" spans="3:50" x14ac:dyDescent="0.3">
      <c r="C184" s="6"/>
      <c r="AX184">
        <f>0.0103256481/0.0013791118</f>
        <v>7.4871726135618593</v>
      </c>
    </row>
    <row r="185" spans="3:50" x14ac:dyDescent="0.3">
      <c r="C185" s="6"/>
      <c r="AE185" s="9"/>
    </row>
    <row r="186" spans="3:50" x14ac:dyDescent="0.3">
      <c r="C186" s="6"/>
      <c r="J186" t="s">
        <v>30</v>
      </c>
      <c r="K186" t="s">
        <v>151</v>
      </c>
      <c r="M186" t="s">
        <v>238</v>
      </c>
      <c r="N186" t="s">
        <v>239</v>
      </c>
      <c r="P186" s="1" t="s">
        <v>240</v>
      </c>
      <c r="Q186" s="1" t="s">
        <v>241</v>
      </c>
      <c r="R186" s="1" t="s">
        <v>242</v>
      </c>
      <c r="S186" t="s">
        <v>243</v>
      </c>
      <c r="T186" s="1" t="s">
        <v>244</v>
      </c>
      <c r="U186" s="3" t="s">
        <v>245</v>
      </c>
      <c r="V186" s="1" t="s">
        <v>246</v>
      </c>
      <c r="W186" s="3" t="s">
        <v>247</v>
      </c>
      <c r="X186" s="1" t="s">
        <v>248</v>
      </c>
      <c r="Y186" s="3" t="s">
        <v>249</v>
      </c>
      <c r="Z186" s="1" t="s">
        <v>250</v>
      </c>
      <c r="AE186" s="9"/>
    </row>
    <row r="187" spans="3:50" x14ac:dyDescent="0.3">
      <c r="C187" s="6"/>
      <c r="J187">
        <v>8199806.6849999996</v>
      </c>
      <c r="K187" s="15">
        <v>1.1407719000682308E-15</v>
      </c>
      <c r="M187">
        <v>1.1407719000682308E-15</v>
      </c>
      <c r="N187">
        <f>1/J187</f>
        <v>1.2195409457997485E-7</v>
      </c>
      <c r="P187" s="64">
        <f>SUM(M187:M194)</f>
        <v>7.8925640417150316E-15</v>
      </c>
      <c r="Q187" s="1">
        <v>8</v>
      </c>
      <c r="R187" s="64">
        <f>SUM(N187:N194)</f>
        <v>2.3079983915935494E-6</v>
      </c>
      <c r="S187">
        <f>N187^4</f>
        <v>2.212002150832263E-28</v>
      </c>
      <c r="T187" s="64">
        <f>SUM(S187:S194)</f>
        <v>3.704147535115212E-25</v>
      </c>
      <c r="U187">
        <f>M187*N187</f>
        <v>1.3912180419509864E-22</v>
      </c>
      <c r="V187" s="64">
        <f>SUM(U187:U194)</f>
        <v>1.9467000986830692E-21</v>
      </c>
      <c r="W187">
        <f>N187^2</f>
        <v>1.487280118482145E-14</v>
      </c>
      <c r="X187" s="64">
        <f>SUM(W187:W194)</f>
        <v>1.0074866176817379E-12</v>
      </c>
      <c r="Y187">
        <f>N187^5</f>
        <v>2.6976271951370557E-35</v>
      </c>
      <c r="Z187" s="64">
        <f>SUM(Y187:Y194)</f>
        <v>2.5404870731660145E-31</v>
      </c>
      <c r="AE187" s="9"/>
    </row>
    <row r="188" spans="3:50" x14ac:dyDescent="0.3">
      <c r="C188" s="6"/>
      <c r="J188">
        <v>9199783.1099999994</v>
      </c>
      <c r="K188" s="15">
        <v>1.1862374468100806E-15</v>
      </c>
      <c r="M188">
        <v>1.1862374468100806E-15</v>
      </c>
      <c r="N188">
        <f t="shared" ref="N188:N193" si="37">1/J188</f>
        <v>1.0869821473432541E-7</v>
      </c>
      <c r="S188">
        <f t="shared" ref="S188:S194" si="38">N188^4</f>
        <v>1.3960135866746493E-28</v>
      </c>
      <c r="U188">
        <f t="shared" ref="U188:U194" si="39">M188*N188</f>
        <v>1.2894189271926006E-22</v>
      </c>
      <c r="W188">
        <f t="shared" ref="W188:W194" si="40">N188^2</f>
        <v>1.1815301886429518E-14</v>
      </c>
      <c r="Y188">
        <f t="shared" ref="Y188:Y194" si="41">N188^5</f>
        <v>1.5174418461639684E-35</v>
      </c>
      <c r="AE188" s="9"/>
    </row>
    <row r="189" spans="3:50" x14ac:dyDescent="0.3">
      <c r="C189" s="6"/>
      <c r="J189" s="6">
        <v>6899837.3325000005</v>
      </c>
      <c r="K189" s="15">
        <v>1.1297499493429336E-15</v>
      </c>
      <c r="L189" s="7"/>
      <c r="M189">
        <v>1.1297499493429336E-15</v>
      </c>
      <c r="N189">
        <f t="shared" si="37"/>
        <v>1.4493095297910052E-7</v>
      </c>
      <c r="S189">
        <f t="shared" si="38"/>
        <v>4.4120923233174076E-28</v>
      </c>
      <c r="U189">
        <f t="shared" si="39"/>
        <v>1.6373573678636189E-22</v>
      </c>
      <c r="W189">
        <f t="shared" si="40"/>
        <v>2.1004981131430249E-14</v>
      </c>
      <c r="Y189">
        <f t="shared" si="41"/>
        <v>6.394487450501656E-35</v>
      </c>
      <c r="AE189" s="6"/>
    </row>
    <row r="190" spans="3:50" x14ac:dyDescent="0.3">
      <c r="C190" s="6"/>
      <c r="J190" s="6">
        <v>5599867.9799999995</v>
      </c>
      <c r="K190" s="15">
        <v>1.1136106643523206E-15</v>
      </c>
      <c r="L190" s="7"/>
      <c r="M190">
        <v>1.1136106643523206E-15</v>
      </c>
      <c r="N190">
        <f t="shared" si="37"/>
        <v>1.7857563849210603E-7</v>
      </c>
      <c r="S190">
        <f t="shared" si="38"/>
        <v>1.0169248180670046E-27</v>
      </c>
      <c r="U190">
        <f t="shared" si="39"/>
        <v>1.9886373541833403E-22</v>
      </c>
      <c r="W190">
        <f>N190^2</f>
        <v>3.1889258662863339E-14</v>
      </c>
      <c r="Y190">
        <f t="shared" si="41"/>
        <v>1.8159799868478411E-34</v>
      </c>
      <c r="AE190" s="6"/>
    </row>
    <row r="191" spans="3:50" x14ac:dyDescent="0.3">
      <c r="C191" s="6"/>
      <c r="J191" s="6">
        <v>4499893.9124999996</v>
      </c>
      <c r="K191" s="15">
        <v>1.0393699533954991E-15</v>
      </c>
      <c r="L191" s="7"/>
      <c r="M191">
        <v>1.0393699533954991E-15</v>
      </c>
      <c r="N191">
        <f t="shared" si="37"/>
        <v>2.2222746123462085E-7</v>
      </c>
      <c r="S191">
        <f>N191^4</f>
        <v>2.4388826229125282E-27</v>
      </c>
      <c r="U191">
        <f t="shared" si="39"/>
        <v>2.3097654602662796E-22</v>
      </c>
      <c r="W191">
        <f t="shared" si="40"/>
        <v>4.9385044526784911E-14</v>
      </c>
      <c r="Y191">
        <f t="shared" si="41"/>
        <v>5.419866935390843E-34</v>
      </c>
    </row>
    <row r="192" spans="3:50" x14ac:dyDescent="0.3">
      <c r="C192" s="6"/>
      <c r="J192" s="6">
        <v>3299922.2025000001</v>
      </c>
      <c r="K192" s="15">
        <v>9.4488177581409002E-16</v>
      </c>
      <c r="L192" s="7"/>
      <c r="M192">
        <v>9.4488177581409002E-16</v>
      </c>
      <c r="N192">
        <f t="shared" si="37"/>
        <v>3.0303744713811931E-7</v>
      </c>
      <c r="S192">
        <f t="shared" si="38"/>
        <v>8.4330600904956413E-27</v>
      </c>
      <c r="U192">
        <f t="shared" si="39"/>
        <v>2.8633456119003461E-22</v>
      </c>
      <c r="W192">
        <f t="shared" si="40"/>
        <v>9.183169436798845E-14</v>
      </c>
      <c r="Y192">
        <f t="shared" si="41"/>
        <v>2.5555330013861566E-33</v>
      </c>
      <c r="AE192" s="6"/>
    </row>
    <row r="193" spans="3:37" x14ac:dyDescent="0.3">
      <c r="C193" s="6"/>
      <c r="J193" s="6">
        <v>2049951.6712499999</v>
      </c>
      <c r="K193" s="15">
        <v>7.6051460004548717E-16</v>
      </c>
      <c r="L193" s="7"/>
      <c r="M193">
        <v>7.6051460004548717E-16</v>
      </c>
      <c r="N193">
        <f t="shared" si="37"/>
        <v>4.8781637831989938E-7</v>
      </c>
      <c r="S193">
        <f t="shared" si="38"/>
        <v>5.6627255061305932E-26</v>
      </c>
      <c r="U193">
        <f>M193*N193</f>
        <v>3.7099147785359635E-22</v>
      </c>
      <c r="W193">
        <f t="shared" si="40"/>
        <v>2.3796481895714319E-13</v>
      </c>
      <c r="Y193">
        <f>N193^5</f>
        <v>2.7623702478203451E-32</v>
      </c>
      <c r="AE193" s="6"/>
    </row>
    <row r="194" spans="3:37" x14ac:dyDescent="0.3">
      <c r="C194" s="6"/>
      <c r="J194" s="6">
        <v>1349968.1737500001</v>
      </c>
      <c r="K194" s="15">
        <v>5.774277518863885E-16</v>
      </c>
      <c r="L194" s="7"/>
      <c r="M194">
        <v>5.774277518863885E-16</v>
      </c>
      <c r="N194">
        <f>1/J194</f>
        <v>7.407582041154027E-7</v>
      </c>
      <c r="S194">
        <f t="shared" si="38"/>
        <v>3.0109662011265767E-25</v>
      </c>
      <c r="U194">
        <f t="shared" si="39"/>
        <v>4.2773434449375549E-22</v>
      </c>
      <c r="W194">
        <f t="shared" si="40"/>
        <v>5.4872271696427666E-13</v>
      </c>
      <c r="Y194">
        <f t="shared" si="41"/>
        <v>2.2303979157986995E-31</v>
      </c>
      <c r="AE194" s="6"/>
    </row>
    <row r="195" spans="3:37" x14ac:dyDescent="0.3">
      <c r="C195" s="6"/>
      <c r="J195" s="6"/>
      <c r="K195" s="6"/>
      <c r="L195" s="7"/>
    </row>
    <row r="196" spans="3:37" x14ac:dyDescent="0.3">
      <c r="C196" s="6"/>
      <c r="J196" s="6"/>
      <c r="K196" s="6"/>
      <c r="L196" s="7"/>
      <c r="S196" t="s">
        <v>251</v>
      </c>
      <c r="T196" s="1" t="s">
        <v>252</v>
      </c>
      <c r="U196" t="s">
        <v>253</v>
      </c>
      <c r="V196" s="1" t="s">
        <v>254</v>
      </c>
    </row>
    <row r="197" spans="3:37" x14ac:dyDescent="0.3">
      <c r="C197" s="6"/>
      <c r="J197" s="6"/>
      <c r="K197" s="6"/>
      <c r="L197" s="7"/>
      <c r="S197">
        <f>M187*N187^4</f>
        <v>2.5233898965599338E-43</v>
      </c>
      <c r="T197" s="64">
        <f>SUM(S197:S204)</f>
        <v>2.2947939857788618E-40</v>
      </c>
      <c r="U197">
        <f>N187^8</f>
        <v>4.8929535152865573E-56</v>
      </c>
      <c r="V197" s="64">
        <f>SUM(U197:U204)</f>
        <v>9.3944182529729333E-50</v>
      </c>
      <c r="X197" s="15">
        <f>V197-Z187^2/X187</f>
        <v>2.988303813681744E-50</v>
      </c>
      <c r="Y197" s="15">
        <f>-T187+Z187*R187/X187</f>
        <v>2.11572140986725E-25</v>
      </c>
      <c r="Z197" s="15">
        <f>T197-Z187*V187/X187</f>
        <v>-2.6140220215396911E-40</v>
      </c>
      <c r="AA197" s="71">
        <f>Z197/X197</f>
        <v>-8747510910.9440975</v>
      </c>
      <c r="AB197" s="71">
        <f>Y197/X197</f>
        <v>7.0800077294034315E+24</v>
      </c>
      <c r="AC197" s="2" t="s">
        <v>256</v>
      </c>
      <c r="AD197" s="13" t="s">
        <v>255</v>
      </c>
      <c r="AE197" s="2" t="s">
        <v>32</v>
      </c>
      <c r="AF197" s="2" t="s">
        <v>33</v>
      </c>
      <c r="AH197" t="s">
        <v>11</v>
      </c>
      <c r="AI197" t="s">
        <v>30</v>
      </c>
      <c r="AJ197" t="s">
        <v>257</v>
      </c>
      <c r="AK197" t="s">
        <v>258</v>
      </c>
    </row>
    <row r="198" spans="3:37" x14ac:dyDescent="0.3">
      <c r="C198" s="6"/>
      <c r="J198" s="6"/>
      <c r="K198" s="6"/>
      <c r="L198" s="7"/>
      <c r="S198">
        <f t="shared" ref="S198:S203" si="42">M188*N188^4</f>
        <v>1.6560035927691192E-43</v>
      </c>
      <c r="U198">
        <f t="shared" ref="U198:U204" si="43">N188^8</f>
        <v>1.9488539341802187E-56</v>
      </c>
      <c r="X198" s="15">
        <f>T187-R187*Z187/X187</f>
        <v>-2.11572140986725E-25</v>
      </c>
      <c r="Y198" s="15">
        <f>-8+R187^2/X187</f>
        <v>-2.7127272143269803</v>
      </c>
      <c r="Z198" s="15">
        <f>P187-R187*V187/X187</f>
        <v>3.4329706160335728E-15</v>
      </c>
      <c r="AA198" s="71">
        <f>Y198/X198</f>
        <v>1.2821759999570025E+25</v>
      </c>
      <c r="AB198" s="71">
        <f>Z198/X198</f>
        <v>-16226004993.015471</v>
      </c>
      <c r="AC198" s="44">
        <f>(-AA197+AB198)/(AB197-AA198)</f>
        <v>1.3024759220157699E-15</v>
      </c>
      <c r="AD198" s="59">
        <f>AC198/AA89</f>
        <v>1.3197337279824961</v>
      </c>
      <c r="AE198" s="44">
        <f>AA198*AC198+AB198</f>
        <v>474028684.28941536</v>
      </c>
      <c r="AF198" s="44">
        <f>(P187-8*AC198-T187*AE198)/(-R187)</f>
        <v>1.1710712461950297E-9</v>
      </c>
      <c r="AH198">
        <v>10</v>
      </c>
      <c r="AI198">
        <v>1013250</v>
      </c>
      <c r="AJ198" s="15">
        <f>$AE$198/AI198^4-$AF$198/AI198+$AC$198</f>
        <v>5.9643428979606913E-16</v>
      </c>
      <c r="AK198" s="9">
        <f>AJ198/$AA$89</f>
        <v>0.60433704413587497</v>
      </c>
    </row>
    <row r="199" spans="3:37" x14ac:dyDescent="0.3">
      <c r="C199" s="6"/>
      <c r="J199" s="6"/>
      <c r="K199" s="6"/>
      <c r="L199" s="7"/>
      <c r="S199">
        <f t="shared" si="42"/>
        <v>4.9845610787641872E-43</v>
      </c>
      <c r="U199">
        <f t="shared" si="43"/>
        <v>1.94665586694764E-55</v>
      </c>
      <c r="AH199">
        <v>20</v>
      </c>
      <c r="AI199">
        <v>2026500</v>
      </c>
      <c r="AJ199" s="15">
        <f t="shared" ref="AJ199:AJ216" si="44">$AE$198/AI199^4-$AF$198/AI199+$AC$198</f>
        <v>7.5270443131679263E-16</v>
      </c>
      <c r="AK199" s="9">
        <f t="shared" ref="AK199:AK216" si="45">AJ199/$AA$89</f>
        <v>0.76267776503175011</v>
      </c>
    </row>
    <row r="200" spans="3:37" x14ac:dyDescent="0.3">
      <c r="C200" s="6"/>
      <c r="S200">
        <f t="shared" si="42"/>
        <v>1.1324583222439598E-42</v>
      </c>
      <c r="U200">
        <f t="shared" si="43"/>
        <v>1.0341360856006103E-54</v>
      </c>
      <c r="AH200">
        <v>30</v>
      </c>
      <c r="AI200">
        <v>3039750</v>
      </c>
      <c r="AJ200" s="15">
        <f t="shared" si="44"/>
        <v>9.2277548265315932E-16</v>
      </c>
      <c r="AK200" s="9">
        <f t="shared" si="45"/>
        <v>0.93500225779832591</v>
      </c>
    </row>
    <row r="201" spans="3:37" x14ac:dyDescent="0.3">
      <c r="C201" s="6"/>
      <c r="S201">
        <f t="shared" si="42"/>
        <v>2.5349013181136871E-42</v>
      </c>
      <c r="U201">
        <f t="shared" si="43"/>
        <v>5.9481484483446928E-54</v>
      </c>
      <c r="AH201">
        <v>40</v>
      </c>
      <c r="AI201">
        <v>4053000</v>
      </c>
      <c r="AJ201" s="15">
        <f t="shared" si="44"/>
        <v>1.0152932595044608E-15</v>
      </c>
      <c r="AK201" s="9">
        <f t="shared" si="45"/>
        <v>1.0287458951929085</v>
      </c>
    </row>
    <row r="202" spans="3:37" x14ac:dyDescent="0.3">
      <c r="C202" s="6"/>
      <c r="S202">
        <f>M192*N192^4</f>
        <v>7.9682447938544518E-42</v>
      </c>
      <c r="U202">
        <f t="shared" si="43"/>
        <v>7.1116502489910351E-53</v>
      </c>
      <c r="AH202">
        <v>50</v>
      </c>
      <c r="AI202">
        <v>5066250</v>
      </c>
      <c r="AJ202" s="15">
        <f t="shared" si="44"/>
        <v>1.0720439753695833E-15</v>
      </c>
      <c r="AK202" s="9">
        <f t="shared" si="45"/>
        <v>1.0862485580432446</v>
      </c>
    </row>
    <row r="203" spans="3:37" x14ac:dyDescent="0.3">
      <c r="C203" s="6"/>
      <c r="S203">
        <f t="shared" si="42"/>
        <v>4.3065854234622871E-41</v>
      </c>
      <c r="U203">
        <f t="shared" si="43"/>
        <v>3.2066460157781982E-51</v>
      </c>
      <c r="AH203">
        <v>60</v>
      </c>
      <c r="AI203">
        <v>6079500</v>
      </c>
      <c r="AJ203" s="15">
        <f t="shared" si="44"/>
        <v>1.1101966816605248E-15</v>
      </c>
      <c r="AK203" s="9">
        <f t="shared" si="45"/>
        <v>1.1249067876925414</v>
      </c>
    </row>
    <row r="204" spans="3:37" x14ac:dyDescent="0.3">
      <c r="C204" s="6"/>
      <c r="S204">
        <f>M194*N194^4</f>
        <v>1.7386154445224187E-40</v>
      </c>
      <c r="U204">
        <f t="shared" si="43"/>
        <v>9.0659174643266086E-50</v>
      </c>
      <c r="AH204">
        <v>70</v>
      </c>
      <c r="AI204">
        <v>7092750</v>
      </c>
      <c r="AJ204" s="15">
        <f t="shared" si="44"/>
        <v>1.1375550170171858E-15</v>
      </c>
      <c r="AK204" s="9">
        <f t="shared" si="45"/>
        <v>1.1526276209926785</v>
      </c>
    </row>
    <row r="205" spans="3:37" x14ac:dyDescent="0.3">
      <c r="C205" s="6"/>
      <c r="AH205">
        <v>80</v>
      </c>
      <c r="AI205">
        <v>8106000</v>
      </c>
      <c r="AJ205" s="15">
        <f t="shared" si="44"/>
        <v>1.1581160334375015E-15</v>
      </c>
      <c r="AK205" s="9">
        <f t="shared" si="45"/>
        <v>1.1734610708805637</v>
      </c>
    </row>
    <row r="206" spans="3:37" x14ac:dyDescent="0.3">
      <c r="C206" s="6"/>
      <c r="AH206">
        <v>90</v>
      </c>
      <c r="AI206">
        <v>9119250</v>
      </c>
      <c r="AJ206" s="15">
        <f t="shared" si="44"/>
        <v>1.174126970269928E-15</v>
      </c>
      <c r="AK206" s="9">
        <f t="shared" si="45"/>
        <v>1.1896841526260202</v>
      </c>
    </row>
    <row r="207" spans="3:37" x14ac:dyDescent="0.3">
      <c r="C207" s="6"/>
      <c r="AH207">
        <v>100</v>
      </c>
      <c r="AI207">
        <v>10132500</v>
      </c>
      <c r="AJ207" s="15">
        <f t="shared" si="44"/>
        <v>1.186945147613334E-15</v>
      </c>
      <c r="AK207" s="9">
        <f t="shared" si="45"/>
        <v>1.2026721708192265</v>
      </c>
    </row>
    <row r="208" spans="3:37" x14ac:dyDescent="0.3">
      <c r="C208" s="6"/>
      <c r="AH208">
        <v>200</v>
      </c>
      <c r="AI208">
        <v>20265000</v>
      </c>
      <c r="AJ208" s="15">
        <f t="shared" si="44"/>
        <v>1.2446908597470931E-15</v>
      </c>
      <c r="AK208" s="9">
        <f t="shared" si="45"/>
        <v>1.2611830136387585</v>
      </c>
    </row>
    <row r="209" spans="3:37" x14ac:dyDescent="0.3">
      <c r="C209" s="6"/>
      <c r="AH209">
        <v>300</v>
      </c>
      <c r="AI209">
        <v>30397500</v>
      </c>
      <c r="AJ209" s="15">
        <f t="shared" si="44"/>
        <v>1.2639512285587623E-15</v>
      </c>
      <c r="AK209" s="9">
        <f t="shared" si="45"/>
        <v>1.2806985823371826</v>
      </c>
    </row>
    <row r="210" spans="3:37" x14ac:dyDescent="0.3">
      <c r="C210" s="6"/>
      <c r="AH210">
        <v>400</v>
      </c>
      <c r="AI210">
        <v>40530000</v>
      </c>
      <c r="AJ210" s="15">
        <f t="shared" si="44"/>
        <v>1.2735821611897153E-15</v>
      </c>
      <c r="AK210" s="9">
        <f t="shared" si="45"/>
        <v>1.2904571248254959</v>
      </c>
    </row>
    <row r="211" spans="3:37" x14ac:dyDescent="0.3">
      <c r="C211" s="6"/>
      <c r="AH211">
        <v>500</v>
      </c>
      <c r="AI211">
        <v>50662500</v>
      </c>
      <c r="AJ211" s="15">
        <f t="shared" si="44"/>
        <v>1.2793608447732624E-15</v>
      </c>
      <c r="AK211" s="9">
        <f t="shared" si="45"/>
        <v>1.2963123759665252</v>
      </c>
    </row>
    <row r="212" spans="3:37" x14ac:dyDescent="0.3">
      <c r="C212" s="6"/>
      <c r="AH212">
        <v>600</v>
      </c>
      <c r="AI212">
        <v>60795000</v>
      </c>
      <c r="AJ212" s="15">
        <f t="shared" si="44"/>
        <v>1.2832133323851988E-15</v>
      </c>
      <c r="AK212" s="9">
        <f t="shared" si="45"/>
        <v>1.3002159090393197</v>
      </c>
    </row>
    <row r="213" spans="3:37" x14ac:dyDescent="0.3">
      <c r="C213" s="6"/>
      <c r="AH213">
        <v>700</v>
      </c>
      <c r="AI213">
        <v>70927500</v>
      </c>
      <c r="AJ213" s="15">
        <f t="shared" si="44"/>
        <v>1.2859651198910967E-15</v>
      </c>
      <c r="AK213" s="9">
        <f t="shared" si="45"/>
        <v>1.3030041577296707</v>
      </c>
    </row>
    <row r="214" spans="3:37" x14ac:dyDescent="0.3">
      <c r="C214" s="6"/>
      <c r="AH214">
        <v>800</v>
      </c>
      <c r="AI214">
        <v>81060000</v>
      </c>
      <c r="AJ214" s="15">
        <f t="shared" si="44"/>
        <v>1.2880289647470103E-15</v>
      </c>
      <c r="AK214" s="9">
        <f t="shared" si="45"/>
        <v>1.3050953485299253</v>
      </c>
    </row>
    <row r="215" spans="3:37" x14ac:dyDescent="0.3">
      <c r="C215" s="6"/>
      <c r="AH215">
        <v>900</v>
      </c>
      <c r="AI215">
        <v>91192500</v>
      </c>
      <c r="AJ215" s="15">
        <f t="shared" si="44"/>
        <v>1.2896341793162383E-15</v>
      </c>
      <c r="AK215" s="9">
        <f t="shared" si="45"/>
        <v>1.3067218321921956</v>
      </c>
    </row>
    <row r="216" spans="3:37" x14ac:dyDescent="0.3">
      <c r="C216" s="6"/>
      <c r="AH216">
        <v>1000</v>
      </c>
      <c r="AI216">
        <v>101325000</v>
      </c>
      <c r="AJ216" s="15">
        <f t="shared" si="44"/>
        <v>1.2909183519144082E-15</v>
      </c>
      <c r="AK216" s="9">
        <f t="shared" si="45"/>
        <v>1.3080230200772913</v>
      </c>
    </row>
    <row r="217" spans="3:37" x14ac:dyDescent="0.3">
      <c r="C217" s="6"/>
    </row>
    <row r="218" spans="3:37" x14ac:dyDescent="0.3">
      <c r="C218" s="6"/>
    </row>
    <row r="219" spans="3:37" x14ac:dyDescent="0.3">
      <c r="C219" s="6"/>
    </row>
    <row r="220" spans="3:37" x14ac:dyDescent="0.3">
      <c r="C220" s="6"/>
    </row>
    <row r="221" spans="3:37" x14ac:dyDescent="0.3">
      <c r="C221" s="6"/>
    </row>
    <row r="222" spans="3:37" x14ac:dyDescent="0.3">
      <c r="C222" s="6"/>
    </row>
    <row r="223" spans="3:37" x14ac:dyDescent="0.3">
      <c r="C223" s="6"/>
    </row>
    <row r="224" spans="3:37"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row r="240" spans="3:3" x14ac:dyDescent="0.3">
      <c r="C240" s="6"/>
    </row>
    <row r="241" spans="3:3" x14ac:dyDescent="0.3">
      <c r="C241" s="6"/>
    </row>
    <row r="242" spans="3:3" x14ac:dyDescent="0.3">
      <c r="C242" s="6"/>
    </row>
    <row r="243" spans="3:3" x14ac:dyDescent="0.3">
      <c r="C243" s="6"/>
    </row>
    <row r="244" spans="3:3" x14ac:dyDescent="0.3">
      <c r="C244" s="6"/>
    </row>
    <row r="245" spans="3:3" x14ac:dyDescent="0.3">
      <c r="C245" s="6"/>
    </row>
    <row r="246" spans="3:3" x14ac:dyDescent="0.3">
      <c r="C246" s="6"/>
    </row>
    <row r="247" spans="3:3" x14ac:dyDescent="0.3">
      <c r="C247" s="6"/>
    </row>
    <row r="248" spans="3:3" x14ac:dyDescent="0.3">
      <c r="C248" s="6"/>
    </row>
    <row r="249" spans="3:3" x14ac:dyDescent="0.3">
      <c r="C249" s="6"/>
    </row>
    <row r="250" spans="3:3" x14ac:dyDescent="0.3">
      <c r="C250" s="6"/>
    </row>
    <row r="251" spans="3:3" x14ac:dyDescent="0.3">
      <c r="C251" s="6"/>
    </row>
    <row r="252" spans="3:3" x14ac:dyDescent="0.3">
      <c r="C252" s="6"/>
    </row>
    <row r="253" spans="3:3" x14ac:dyDescent="0.3">
      <c r="C253" s="6"/>
    </row>
    <row r="254" spans="3:3" x14ac:dyDescent="0.3">
      <c r="C254" s="6"/>
    </row>
    <row r="255" spans="3:3" x14ac:dyDescent="0.3">
      <c r="C255" s="6"/>
    </row>
    <row r="256" spans="3:3" x14ac:dyDescent="0.3">
      <c r="C256" s="6"/>
    </row>
    <row r="257" spans="3:3" x14ac:dyDescent="0.3">
      <c r="C257" s="6"/>
    </row>
    <row r="258" spans="3:3" x14ac:dyDescent="0.3">
      <c r="C258" s="6"/>
    </row>
    <row r="259" spans="3:3" x14ac:dyDescent="0.3">
      <c r="C259" s="6"/>
    </row>
    <row r="260" spans="3:3" x14ac:dyDescent="0.3">
      <c r="C260" s="6"/>
    </row>
    <row r="261" spans="3:3" x14ac:dyDescent="0.3">
      <c r="C261" s="6"/>
    </row>
    <row r="262" spans="3:3" x14ac:dyDescent="0.3">
      <c r="C262" s="6"/>
    </row>
    <row r="263" spans="3:3" x14ac:dyDescent="0.3">
      <c r="C263" s="6"/>
    </row>
    <row r="264" spans="3:3" x14ac:dyDescent="0.3">
      <c r="C264" s="6"/>
    </row>
    <row r="265" spans="3:3" x14ac:dyDescent="0.3">
      <c r="C265" s="6"/>
    </row>
    <row r="266" spans="3:3" x14ac:dyDescent="0.3">
      <c r="C266" s="6"/>
    </row>
    <row r="267" spans="3:3" x14ac:dyDescent="0.3">
      <c r="C267" s="6"/>
    </row>
    <row r="268" spans="3:3" x14ac:dyDescent="0.3">
      <c r="C268" s="6"/>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10"/>
  <sheetViews>
    <sheetView topLeftCell="I1" zoomScale="80" zoomScaleNormal="80" workbookViewId="0">
      <selection activeCell="P35" sqref="P35"/>
    </sheetView>
  </sheetViews>
  <sheetFormatPr defaultRowHeight="14.4" x14ac:dyDescent="0.3"/>
  <cols>
    <col min="1" max="1" width="12.33203125" customWidth="1"/>
    <col min="2" max="2" width="14" customWidth="1"/>
    <col min="3" max="3" width="14.6640625" customWidth="1"/>
    <col min="4" max="4" width="14.88671875" customWidth="1"/>
    <col min="7" max="7" width="11.44140625" customWidth="1"/>
    <col min="9" max="9" width="15.109375" customWidth="1"/>
    <col min="10" max="10" width="15.33203125" customWidth="1"/>
    <col min="11" max="11" width="12" bestFit="1" customWidth="1"/>
    <col min="12" max="12" width="15.6640625" customWidth="1"/>
    <col min="13" max="13" width="16.44140625" customWidth="1"/>
    <col min="14" max="14" width="17.6640625" customWidth="1"/>
    <col min="15" max="15" width="20" customWidth="1"/>
    <col min="16" max="16" width="18.44140625" customWidth="1"/>
    <col min="17" max="17" width="17" customWidth="1"/>
    <col min="33" max="33" width="10.5546875" customWidth="1"/>
    <col min="35" max="35" width="13" customWidth="1"/>
  </cols>
  <sheetData>
    <row r="1" spans="1:16" x14ac:dyDescent="0.3">
      <c r="A1" s="2" t="s">
        <v>0</v>
      </c>
      <c r="B1" s="2" t="s">
        <v>164</v>
      </c>
      <c r="C1" s="2" t="s">
        <v>123</v>
      </c>
      <c r="D1" s="2" t="s">
        <v>7</v>
      </c>
      <c r="E1" s="2" t="s">
        <v>11</v>
      </c>
      <c r="F1" s="2" t="s">
        <v>19</v>
      </c>
      <c r="G1" s="2" t="s">
        <v>9</v>
      </c>
      <c r="H1" s="8" t="s">
        <v>13</v>
      </c>
      <c r="I1" s="5" t="s">
        <v>10</v>
      </c>
      <c r="K1" s="5" t="s">
        <v>10</v>
      </c>
      <c r="L1" s="2" t="s">
        <v>11</v>
      </c>
      <c r="M1" s="2" t="s">
        <v>157</v>
      </c>
    </row>
    <row r="2" spans="1:16" x14ac:dyDescent="0.3">
      <c r="A2" s="6">
        <v>20</v>
      </c>
      <c r="B2" s="36">
        <v>51</v>
      </c>
      <c r="C2">
        <v>-3.5</v>
      </c>
      <c r="D2" s="36">
        <f>0.9869*(B2-$C$2)+1</f>
        <v>54.786050000000003</v>
      </c>
      <c r="E2" s="36">
        <f t="shared" ref="E2:E66" si="0">D2-1</f>
        <v>53.786050000000003</v>
      </c>
      <c r="F2" s="28">
        <f>(1000*I2*0.386*4.751)/(PI()*(2.543^2)/4*E2)</f>
        <v>2.2376843649760136</v>
      </c>
      <c r="G2">
        <v>0</v>
      </c>
      <c r="H2">
        <v>0</v>
      </c>
      <c r="I2" s="7">
        <f t="shared" ref="I2:I68" si="1">A2/60</f>
        <v>0.33333333333333331</v>
      </c>
      <c r="J2">
        <v>5</v>
      </c>
      <c r="K2" s="7">
        <v>8.3333333333333301E-2</v>
      </c>
      <c r="L2" s="36">
        <v>14.8035</v>
      </c>
      <c r="M2" s="6">
        <f>F54</f>
        <v>2.0325632981865462</v>
      </c>
      <c r="P2" s="7">
        <f>J2/60</f>
        <v>8.3333333333333329E-2</v>
      </c>
    </row>
    <row r="3" spans="1:16" x14ac:dyDescent="0.3">
      <c r="A3" s="6">
        <v>20</v>
      </c>
      <c r="B3" s="36">
        <v>46.5</v>
      </c>
      <c r="D3" s="36">
        <f t="shared" ref="D3:D66" si="2">0.9869*(B3-$C$2)+1</f>
        <v>50.344999999999999</v>
      </c>
      <c r="E3" s="36">
        <f t="shared" si="0"/>
        <v>49.344999999999999</v>
      </c>
      <c r="F3" s="28">
        <f t="shared" ref="F3:F66" si="3">(1000*I3*0.386*4.751)/(PI()*(2.543^2)/4*E3)</f>
        <v>2.4390759578238552</v>
      </c>
      <c r="G3">
        <v>3</v>
      </c>
      <c r="H3">
        <f>H2+G3</f>
        <v>3</v>
      </c>
      <c r="I3" s="7">
        <f t="shared" si="1"/>
        <v>0.33333333333333331</v>
      </c>
      <c r="J3">
        <v>7</v>
      </c>
      <c r="K3" s="7">
        <v>0.11666666666666667</v>
      </c>
      <c r="L3" s="36">
        <v>19.24455</v>
      </c>
      <c r="M3" s="6">
        <f>F47</f>
        <v>2.1889143211239728</v>
      </c>
      <c r="P3" s="7">
        <f t="shared" ref="P3:P9" si="4">J3/60</f>
        <v>0.11666666666666667</v>
      </c>
    </row>
    <row r="4" spans="1:16" x14ac:dyDescent="0.3">
      <c r="A4" s="6">
        <v>20</v>
      </c>
      <c r="B4" s="36">
        <v>41</v>
      </c>
      <c r="D4" s="36">
        <f t="shared" si="2"/>
        <v>44.917050000000003</v>
      </c>
      <c r="E4" s="36">
        <f t="shared" si="0"/>
        <v>43.917050000000003</v>
      </c>
      <c r="F4" s="28">
        <f t="shared" si="3"/>
        <v>2.7405347840717473</v>
      </c>
      <c r="G4">
        <v>3</v>
      </c>
      <c r="H4">
        <f t="shared" ref="H4:H67" si="5">H3+G4</f>
        <v>6</v>
      </c>
      <c r="I4" s="7">
        <f t="shared" si="1"/>
        <v>0.33333333333333331</v>
      </c>
      <c r="J4">
        <v>10</v>
      </c>
      <c r="K4" s="7">
        <v>0.16666666666666666</v>
      </c>
      <c r="L4" s="36">
        <v>24.17905</v>
      </c>
      <c r="M4" s="6">
        <f>F40</f>
        <v>2.4888530181876072</v>
      </c>
      <c r="P4" s="7">
        <f t="shared" si="4"/>
        <v>0.16666666666666666</v>
      </c>
    </row>
    <row r="5" spans="1:16" x14ac:dyDescent="0.3">
      <c r="A5" s="6">
        <v>20</v>
      </c>
      <c r="B5" s="36">
        <v>40</v>
      </c>
      <c r="D5" s="36">
        <f t="shared" si="2"/>
        <v>43.930149999999998</v>
      </c>
      <c r="E5" s="36">
        <f t="shared" si="0"/>
        <v>42.930149999999998</v>
      </c>
      <c r="F5" s="28">
        <f t="shared" si="3"/>
        <v>2.8035355837055809</v>
      </c>
      <c r="G5">
        <v>3</v>
      </c>
      <c r="H5">
        <f t="shared" si="5"/>
        <v>9</v>
      </c>
      <c r="I5" s="7">
        <f t="shared" si="1"/>
        <v>0.33333333333333331</v>
      </c>
      <c r="J5">
        <v>15</v>
      </c>
      <c r="K5" s="7">
        <v>0.25</v>
      </c>
      <c r="L5" s="36">
        <v>30.100449999999999</v>
      </c>
      <c r="M5" s="6">
        <f>F61</f>
        <v>2.9988638825703138</v>
      </c>
      <c r="P5" s="7">
        <f t="shared" si="4"/>
        <v>0.25</v>
      </c>
    </row>
    <row r="6" spans="1:16" x14ac:dyDescent="0.3">
      <c r="A6" s="6">
        <v>20</v>
      </c>
      <c r="B6" s="36">
        <v>38</v>
      </c>
      <c r="D6" s="36">
        <f t="shared" si="2"/>
        <v>41.95635</v>
      </c>
      <c r="E6" s="36">
        <f t="shared" si="0"/>
        <v>40.95635</v>
      </c>
      <c r="F6" s="28">
        <f t="shared" si="3"/>
        <v>2.9386457323178976</v>
      </c>
      <c r="G6">
        <v>3</v>
      </c>
      <c r="H6">
        <f t="shared" si="5"/>
        <v>12</v>
      </c>
      <c r="I6" s="7">
        <f t="shared" si="1"/>
        <v>0.33333333333333331</v>
      </c>
      <c r="J6">
        <v>20</v>
      </c>
      <c r="K6" s="7">
        <v>0.33333333333333331</v>
      </c>
      <c r="L6" s="36">
        <v>38.982550000000003</v>
      </c>
      <c r="M6" s="6">
        <f>F68</f>
        <v>3.087437921296019</v>
      </c>
      <c r="P6" s="7">
        <f t="shared" si="4"/>
        <v>0.33333333333333331</v>
      </c>
    </row>
    <row r="7" spans="1:16" x14ac:dyDescent="0.3">
      <c r="A7" s="6">
        <v>20</v>
      </c>
      <c r="B7" s="36">
        <v>37</v>
      </c>
      <c r="D7" s="36">
        <f t="shared" si="2"/>
        <v>40.969450000000002</v>
      </c>
      <c r="E7" s="36">
        <f t="shared" si="0"/>
        <v>39.969450000000002</v>
      </c>
      <c r="F7" s="28">
        <f t="shared" si="3"/>
        <v>3.01120488620229</v>
      </c>
      <c r="G7">
        <v>3</v>
      </c>
      <c r="H7">
        <f t="shared" si="5"/>
        <v>15</v>
      </c>
      <c r="I7" s="7">
        <f t="shared" si="1"/>
        <v>0.33333333333333331</v>
      </c>
      <c r="J7">
        <v>25</v>
      </c>
      <c r="K7" s="7">
        <v>0.41666666666666669</v>
      </c>
      <c r="L7" s="36">
        <v>44.903950000000002</v>
      </c>
      <c r="M7" s="6">
        <f>F74</f>
        <v>3.3503790629448558</v>
      </c>
      <c r="P7" s="7">
        <f t="shared" si="4"/>
        <v>0.41666666666666669</v>
      </c>
    </row>
    <row r="8" spans="1:16" x14ac:dyDescent="0.3">
      <c r="A8" s="6">
        <v>20</v>
      </c>
      <c r="B8" s="36">
        <v>36</v>
      </c>
      <c r="D8" s="36">
        <f t="shared" si="2"/>
        <v>39.982550000000003</v>
      </c>
      <c r="E8" s="36">
        <f t="shared" si="0"/>
        <v>38.982550000000003</v>
      </c>
      <c r="F8" s="28">
        <f t="shared" si="3"/>
        <v>3.087437921296019</v>
      </c>
      <c r="G8">
        <v>3</v>
      </c>
      <c r="H8">
        <f t="shared" si="5"/>
        <v>18</v>
      </c>
      <c r="I8" s="7">
        <f t="shared" si="1"/>
        <v>0.33333333333333331</v>
      </c>
      <c r="J8">
        <v>40</v>
      </c>
      <c r="K8" s="7">
        <v>0.66666666666666663</v>
      </c>
      <c r="L8" s="36">
        <v>65.135400000000004</v>
      </c>
      <c r="M8" s="6">
        <f>F81</f>
        <v>3.6955696330664467</v>
      </c>
      <c r="N8" s="6">
        <f>M9-M8</f>
        <v>0.27334094919130481</v>
      </c>
      <c r="P8" s="7">
        <f t="shared" si="4"/>
        <v>0.66666666666666663</v>
      </c>
    </row>
    <row r="9" spans="1:16" x14ac:dyDescent="0.3">
      <c r="A9" s="6">
        <v>20</v>
      </c>
      <c r="B9" s="36">
        <v>35</v>
      </c>
      <c r="D9" s="36">
        <f t="shared" si="2"/>
        <v>38.995649999999998</v>
      </c>
      <c r="E9" s="36">
        <f t="shared" si="0"/>
        <v>37.995649999999998</v>
      </c>
      <c r="F9" s="28">
        <f t="shared" si="3"/>
        <v>3.1676311140569551</v>
      </c>
      <c r="G9">
        <v>3</v>
      </c>
      <c r="H9">
        <f t="shared" si="5"/>
        <v>21</v>
      </c>
      <c r="I9" s="7">
        <f t="shared" si="1"/>
        <v>0.33333333333333331</v>
      </c>
      <c r="J9">
        <v>55</v>
      </c>
      <c r="K9" s="7">
        <v>0.91666666666666696</v>
      </c>
      <c r="L9" s="36">
        <v>83.393050000000002</v>
      </c>
      <c r="M9" s="6">
        <f>F87</f>
        <v>3.9689105822577515</v>
      </c>
      <c r="N9" s="6">
        <f>(M8-M9)/M9*100</f>
        <v>-6.8870523415977862</v>
      </c>
      <c r="P9" s="7">
        <f t="shared" si="4"/>
        <v>0.91666666666666663</v>
      </c>
    </row>
    <row r="10" spans="1:16" x14ac:dyDescent="0.3">
      <c r="A10" s="6">
        <v>15</v>
      </c>
      <c r="B10" s="36">
        <v>54</v>
      </c>
      <c r="D10" s="36">
        <f t="shared" si="2"/>
        <v>57.746749999999999</v>
      </c>
      <c r="E10" s="36">
        <f t="shared" si="0"/>
        <v>56.746749999999999</v>
      </c>
      <c r="F10" s="28">
        <f t="shared" si="3"/>
        <v>1.5907017116242534</v>
      </c>
      <c r="G10">
        <v>5</v>
      </c>
      <c r="H10">
        <f t="shared" si="5"/>
        <v>26</v>
      </c>
      <c r="I10" s="7">
        <f t="shared" si="1"/>
        <v>0.25</v>
      </c>
    </row>
    <row r="11" spans="1:16" x14ac:dyDescent="0.3">
      <c r="A11" s="6">
        <v>15</v>
      </c>
      <c r="B11" s="36">
        <v>50</v>
      </c>
      <c r="D11" s="36">
        <f>0.9869*(B11-$C$2)+1</f>
        <v>53.799149999999997</v>
      </c>
      <c r="E11" s="36">
        <f>D11-1</f>
        <v>52.799149999999997</v>
      </c>
      <c r="F11" s="28">
        <f t="shared" si="3"/>
        <v>1.7096326807176556</v>
      </c>
      <c r="G11">
        <v>5</v>
      </c>
      <c r="H11">
        <f t="shared" si="5"/>
        <v>31</v>
      </c>
      <c r="I11" s="7">
        <f>A11/60</f>
        <v>0.25</v>
      </c>
    </row>
    <row r="12" spans="1:16" x14ac:dyDescent="0.3">
      <c r="A12" s="6">
        <v>15</v>
      </c>
      <c r="B12" s="36">
        <v>46</v>
      </c>
      <c r="D12" s="36">
        <f t="shared" si="2"/>
        <v>49.851550000000003</v>
      </c>
      <c r="E12" s="36">
        <f t="shared" si="0"/>
        <v>48.851550000000003</v>
      </c>
      <c r="F12" s="28">
        <f t="shared" si="3"/>
        <v>1.8477848165332234</v>
      </c>
      <c r="G12">
        <v>3</v>
      </c>
      <c r="H12">
        <f t="shared" si="5"/>
        <v>34</v>
      </c>
      <c r="I12" s="7">
        <f t="shared" si="1"/>
        <v>0.25</v>
      </c>
    </row>
    <row r="13" spans="1:16" x14ac:dyDescent="0.3">
      <c r="A13" s="6">
        <v>15</v>
      </c>
      <c r="B13" s="36">
        <v>45</v>
      </c>
      <c r="D13" s="36">
        <f t="shared" si="2"/>
        <v>48.864649999999997</v>
      </c>
      <c r="E13" s="36">
        <f t="shared" si="0"/>
        <v>47.864649999999997</v>
      </c>
      <c r="F13" s="28">
        <f t="shared" si="3"/>
        <v>1.885883472544218</v>
      </c>
      <c r="G13">
        <v>3</v>
      </c>
      <c r="H13">
        <f t="shared" si="5"/>
        <v>37</v>
      </c>
      <c r="I13" s="7">
        <f t="shared" si="1"/>
        <v>0.25</v>
      </c>
    </row>
    <row r="14" spans="1:16" x14ac:dyDescent="0.3">
      <c r="A14" s="6">
        <v>25</v>
      </c>
      <c r="B14" s="36">
        <v>62</v>
      </c>
      <c r="D14" s="36">
        <f t="shared" si="2"/>
        <v>65.641949999999994</v>
      </c>
      <c r="E14" s="36">
        <f t="shared" si="0"/>
        <v>64.641949999999994</v>
      </c>
      <c r="F14" s="28">
        <f t="shared" si="3"/>
        <v>2.3273625551754344</v>
      </c>
      <c r="G14">
        <v>3</v>
      </c>
      <c r="H14">
        <f t="shared" si="5"/>
        <v>40</v>
      </c>
      <c r="I14" s="7">
        <f t="shared" si="1"/>
        <v>0.41666666666666669</v>
      </c>
    </row>
    <row r="15" spans="1:16" x14ac:dyDescent="0.3">
      <c r="A15" s="6">
        <v>25</v>
      </c>
      <c r="B15" s="36">
        <v>57</v>
      </c>
      <c r="D15" s="36">
        <f t="shared" si="2"/>
        <v>60.707450000000001</v>
      </c>
      <c r="E15" s="36">
        <f t="shared" si="0"/>
        <v>59.707450000000001</v>
      </c>
      <c r="F15" s="28">
        <f t="shared" si="3"/>
        <v>2.5197065679998505</v>
      </c>
      <c r="G15">
        <v>3</v>
      </c>
      <c r="H15">
        <f t="shared" si="5"/>
        <v>43</v>
      </c>
      <c r="I15" s="7">
        <f t="shared" si="1"/>
        <v>0.41666666666666669</v>
      </c>
    </row>
    <row r="16" spans="1:16" x14ac:dyDescent="0.3">
      <c r="A16" s="6">
        <v>25</v>
      </c>
      <c r="B16" s="36">
        <v>56</v>
      </c>
      <c r="D16" s="36">
        <f t="shared" si="2"/>
        <v>59.720550000000003</v>
      </c>
      <c r="E16" s="36">
        <f t="shared" si="0"/>
        <v>58.720550000000003</v>
      </c>
      <c r="F16" s="28">
        <f t="shared" si="3"/>
        <v>2.5620545775460659</v>
      </c>
      <c r="G16">
        <v>3</v>
      </c>
      <c r="H16">
        <f t="shared" si="5"/>
        <v>46</v>
      </c>
      <c r="I16" s="7">
        <f t="shared" si="1"/>
        <v>0.41666666666666669</v>
      </c>
    </row>
    <row r="17" spans="1:9" x14ac:dyDescent="0.3">
      <c r="A17" s="6">
        <v>25</v>
      </c>
      <c r="B17" s="36">
        <v>54.5</v>
      </c>
      <c r="D17" s="36">
        <f t="shared" si="2"/>
        <v>58.240200000000002</v>
      </c>
      <c r="E17" s="36">
        <f t="shared" si="0"/>
        <v>57.240200000000002</v>
      </c>
      <c r="F17" s="28">
        <f t="shared" si="3"/>
        <v>2.6283146097239816</v>
      </c>
      <c r="G17">
        <v>3</v>
      </c>
      <c r="H17">
        <f t="shared" si="5"/>
        <v>49</v>
      </c>
      <c r="I17" s="7">
        <f t="shared" si="1"/>
        <v>0.41666666666666669</v>
      </c>
    </row>
    <row r="18" spans="1:9" x14ac:dyDescent="0.3">
      <c r="A18" s="6">
        <v>25</v>
      </c>
      <c r="B18" s="36">
        <v>54</v>
      </c>
      <c r="D18" s="36">
        <f t="shared" si="2"/>
        <v>57.746749999999999</v>
      </c>
      <c r="E18" s="36">
        <f t="shared" si="0"/>
        <v>56.746749999999999</v>
      </c>
      <c r="F18" s="28">
        <f t="shared" si="3"/>
        <v>2.6511695193737559</v>
      </c>
      <c r="G18">
        <v>3</v>
      </c>
      <c r="H18">
        <f t="shared" si="5"/>
        <v>52</v>
      </c>
      <c r="I18" s="7">
        <f t="shared" si="1"/>
        <v>0.41666666666666669</v>
      </c>
    </row>
    <row r="19" spans="1:9" x14ac:dyDescent="0.3">
      <c r="A19" s="6">
        <v>25</v>
      </c>
      <c r="B19" s="36">
        <v>52</v>
      </c>
      <c r="D19" s="36">
        <f t="shared" si="2"/>
        <v>55.772950000000002</v>
      </c>
      <c r="E19" s="36">
        <f t="shared" si="0"/>
        <v>54.772950000000002</v>
      </c>
      <c r="F19" s="28">
        <f t="shared" si="3"/>
        <v>2.7467071597115487</v>
      </c>
      <c r="G19">
        <v>3</v>
      </c>
      <c r="H19">
        <f t="shared" si="5"/>
        <v>55</v>
      </c>
      <c r="I19" s="7">
        <f t="shared" si="1"/>
        <v>0.41666666666666669</v>
      </c>
    </row>
    <row r="20" spans="1:9" x14ac:dyDescent="0.3">
      <c r="A20" s="6">
        <v>15</v>
      </c>
      <c r="B20" s="36">
        <v>80</v>
      </c>
      <c r="D20" s="36">
        <f t="shared" si="2"/>
        <v>83.406149999999997</v>
      </c>
      <c r="E20" s="36">
        <f t="shared" si="0"/>
        <v>82.406149999999997</v>
      </c>
      <c r="F20" s="28">
        <f t="shared" si="3"/>
        <v>1.0953933942322702</v>
      </c>
      <c r="G20">
        <v>2</v>
      </c>
      <c r="H20">
        <f t="shared" si="5"/>
        <v>57</v>
      </c>
      <c r="I20" s="7">
        <f t="shared" si="1"/>
        <v>0.25</v>
      </c>
    </row>
    <row r="21" spans="1:9" x14ac:dyDescent="0.3">
      <c r="A21" s="6">
        <v>15</v>
      </c>
      <c r="B21" s="36">
        <v>62</v>
      </c>
      <c r="D21" s="36">
        <f t="shared" si="2"/>
        <v>65.641949999999994</v>
      </c>
      <c r="E21" s="36">
        <f t="shared" si="0"/>
        <v>64.641949999999994</v>
      </c>
      <c r="F21" s="28">
        <f t="shared" si="3"/>
        <v>1.3964175331052606</v>
      </c>
      <c r="G21">
        <v>2</v>
      </c>
      <c r="H21">
        <f t="shared" si="5"/>
        <v>59</v>
      </c>
      <c r="I21" s="7">
        <f t="shared" si="1"/>
        <v>0.25</v>
      </c>
    </row>
    <row r="22" spans="1:9" x14ac:dyDescent="0.3">
      <c r="A22" s="6">
        <v>15</v>
      </c>
      <c r="B22" s="36">
        <v>58</v>
      </c>
      <c r="D22" s="36">
        <f t="shared" si="2"/>
        <v>61.69435</v>
      </c>
      <c r="E22" s="36">
        <f t="shared" si="0"/>
        <v>60.69435</v>
      </c>
      <c r="F22" s="28">
        <f t="shared" si="3"/>
        <v>1.4872414376974727</v>
      </c>
      <c r="G22">
        <v>2</v>
      </c>
      <c r="H22">
        <f t="shared" si="5"/>
        <v>61</v>
      </c>
      <c r="I22" s="7">
        <f t="shared" si="1"/>
        <v>0.25</v>
      </c>
    </row>
    <row r="23" spans="1:9" x14ac:dyDescent="0.3">
      <c r="A23" s="6">
        <v>15</v>
      </c>
      <c r="B23" s="36">
        <v>51</v>
      </c>
      <c r="D23" s="36">
        <f t="shared" si="2"/>
        <v>54.786050000000003</v>
      </c>
      <c r="E23" s="36">
        <f t="shared" si="0"/>
        <v>53.786050000000003</v>
      </c>
      <c r="F23" s="28">
        <f t="shared" si="3"/>
        <v>1.6782632737320105</v>
      </c>
      <c r="G23">
        <v>2</v>
      </c>
      <c r="H23">
        <f t="shared" si="5"/>
        <v>63</v>
      </c>
      <c r="I23" s="7">
        <f t="shared" si="1"/>
        <v>0.25</v>
      </c>
    </row>
    <row r="24" spans="1:9" x14ac:dyDescent="0.3">
      <c r="A24" s="6">
        <v>15</v>
      </c>
      <c r="B24" s="36">
        <v>48</v>
      </c>
      <c r="D24" s="36">
        <f t="shared" si="2"/>
        <v>51.82535</v>
      </c>
      <c r="E24" s="36">
        <f t="shared" si="0"/>
        <v>50.82535</v>
      </c>
      <c r="F24" s="28">
        <f t="shared" si="3"/>
        <v>1.7760261828814481</v>
      </c>
      <c r="G24">
        <v>2</v>
      </c>
      <c r="H24">
        <f t="shared" si="5"/>
        <v>65</v>
      </c>
      <c r="I24" s="7">
        <f t="shared" si="1"/>
        <v>0.25</v>
      </c>
    </row>
    <row r="25" spans="1:9" x14ac:dyDescent="0.3">
      <c r="A25" s="6">
        <v>15</v>
      </c>
      <c r="B25" s="36">
        <v>46</v>
      </c>
      <c r="D25" s="36">
        <f t="shared" si="2"/>
        <v>49.851550000000003</v>
      </c>
      <c r="E25" s="36">
        <f t="shared" si="0"/>
        <v>48.851550000000003</v>
      </c>
      <c r="F25" s="28">
        <f t="shared" si="3"/>
        <v>1.8477848165332234</v>
      </c>
      <c r="G25">
        <v>3</v>
      </c>
      <c r="H25">
        <f t="shared" si="5"/>
        <v>68</v>
      </c>
      <c r="I25" s="7">
        <f t="shared" si="1"/>
        <v>0.25</v>
      </c>
    </row>
    <row r="26" spans="1:9" x14ac:dyDescent="0.3">
      <c r="A26" s="6">
        <v>15</v>
      </c>
      <c r="B26" s="36">
        <v>43</v>
      </c>
      <c r="D26" s="36">
        <f t="shared" si="2"/>
        <v>46.89085</v>
      </c>
      <c r="E26" s="36">
        <f t="shared" si="0"/>
        <v>45.89085</v>
      </c>
      <c r="F26" s="28">
        <f t="shared" si="3"/>
        <v>1.9669967401805284</v>
      </c>
      <c r="G26">
        <v>3</v>
      </c>
      <c r="H26">
        <f t="shared" si="5"/>
        <v>71</v>
      </c>
      <c r="I26" s="7">
        <f t="shared" si="1"/>
        <v>0.25</v>
      </c>
    </row>
    <row r="27" spans="1:9" x14ac:dyDescent="0.3">
      <c r="A27" s="6">
        <v>15</v>
      </c>
      <c r="B27" s="36">
        <v>42</v>
      </c>
      <c r="D27" s="36">
        <f t="shared" si="2"/>
        <v>45.903950000000002</v>
      </c>
      <c r="E27" s="36">
        <f t="shared" si="0"/>
        <v>44.903950000000002</v>
      </c>
      <c r="F27" s="28">
        <f t="shared" si="3"/>
        <v>2.0102274377669138</v>
      </c>
      <c r="G27">
        <v>3</v>
      </c>
      <c r="H27">
        <f t="shared" si="5"/>
        <v>74</v>
      </c>
      <c r="I27" s="7">
        <f t="shared" si="1"/>
        <v>0.25</v>
      </c>
    </row>
    <row r="28" spans="1:9" x14ac:dyDescent="0.3">
      <c r="A28" s="6">
        <v>15</v>
      </c>
      <c r="B28" s="36">
        <v>40</v>
      </c>
      <c r="D28" s="36">
        <f t="shared" si="2"/>
        <v>43.930149999999998</v>
      </c>
      <c r="E28" s="36">
        <f t="shared" si="0"/>
        <v>42.930149999999998</v>
      </c>
      <c r="F28" s="28">
        <f t="shared" si="3"/>
        <v>2.1026516877791859</v>
      </c>
      <c r="G28">
        <v>3</v>
      </c>
      <c r="H28">
        <f t="shared" si="5"/>
        <v>77</v>
      </c>
      <c r="I28" s="7">
        <f t="shared" si="1"/>
        <v>0.25</v>
      </c>
    </row>
    <row r="29" spans="1:9" x14ac:dyDescent="0.3">
      <c r="A29" s="6">
        <v>15</v>
      </c>
      <c r="B29" s="36">
        <v>38.5</v>
      </c>
      <c r="D29" s="36">
        <f t="shared" si="2"/>
        <v>42.449800000000003</v>
      </c>
      <c r="E29" s="36">
        <f t="shared" si="0"/>
        <v>41.449800000000003</v>
      </c>
      <c r="F29" s="28">
        <f t="shared" si="3"/>
        <v>2.1777463909141561</v>
      </c>
      <c r="G29">
        <v>4</v>
      </c>
      <c r="H29">
        <f t="shared" si="5"/>
        <v>81</v>
      </c>
      <c r="I29" s="7">
        <f t="shared" si="1"/>
        <v>0.25</v>
      </c>
    </row>
    <row r="30" spans="1:9" x14ac:dyDescent="0.3">
      <c r="A30" s="6">
        <v>15</v>
      </c>
      <c r="B30" s="36">
        <v>38</v>
      </c>
      <c r="D30" s="36">
        <f t="shared" si="2"/>
        <v>41.95635</v>
      </c>
      <c r="E30" s="36">
        <f t="shared" si="0"/>
        <v>40.95635</v>
      </c>
      <c r="F30" s="28">
        <f t="shared" si="3"/>
        <v>2.2039842992384231</v>
      </c>
      <c r="G30">
        <v>4</v>
      </c>
      <c r="H30">
        <f t="shared" si="5"/>
        <v>85</v>
      </c>
      <c r="I30" s="7">
        <f t="shared" si="1"/>
        <v>0.25</v>
      </c>
    </row>
    <row r="31" spans="1:9" x14ac:dyDescent="0.3">
      <c r="A31" s="6">
        <v>15</v>
      </c>
      <c r="B31" s="36">
        <v>37</v>
      </c>
      <c r="D31" s="36">
        <f t="shared" si="2"/>
        <v>40.969450000000002</v>
      </c>
      <c r="E31" s="36">
        <f t="shared" si="0"/>
        <v>39.969450000000002</v>
      </c>
      <c r="F31" s="28">
        <f t="shared" si="3"/>
        <v>2.2584036646517176</v>
      </c>
      <c r="G31">
        <v>4</v>
      </c>
      <c r="H31">
        <f t="shared" si="5"/>
        <v>89</v>
      </c>
      <c r="I31" s="7">
        <f t="shared" si="1"/>
        <v>0.25</v>
      </c>
    </row>
    <row r="32" spans="1:9" x14ac:dyDescent="0.3">
      <c r="A32" s="6">
        <v>10</v>
      </c>
      <c r="B32" s="36">
        <v>18</v>
      </c>
      <c r="D32" s="36">
        <f t="shared" si="2"/>
        <v>22.218350000000001</v>
      </c>
      <c r="E32" s="36">
        <f t="shared" si="0"/>
        <v>21.218350000000001</v>
      </c>
      <c r="F32" s="28">
        <f t="shared" si="3"/>
        <v>2.836134834678901</v>
      </c>
      <c r="G32">
        <v>0</v>
      </c>
      <c r="H32">
        <f t="shared" si="5"/>
        <v>89</v>
      </c>
      <c r="I32" s="7">
        <f t="shared" si="1"/>
        <v>0.16666666666666666</v>
      </c>
    </row>
    <row r="33" spans="1:34" x14ac:dyDescent="0.3">
      <c r="A33" s="6">
        <v>10</v>
      </c>
      <c r="B33" s="36">
        <v>20</v>
      </c>
      <c r="D33" s="36">
        <f t="shared" si="2"/>
        <v>24.192150000000002</v>
      </c>
      <c r="E33" s="36">
        <f t="shared" si="0"/>
        <v>23.192150000000002</v>
      </c>
      <c r="F33" s="28">
        <f t="shared" si="3"/>
        <v>2.5947616572594203</v>
      </c>
      <c r="G33">
        <v>5</v>
      </c>
      <c r="H33">
        <f t="shared" si="5"/>
        <v>94</v>
      </c>
      <c r="I33" s="7">
        <f t="shared" si="1"/>
        <v>0.16666666666666666</v>
      </c>
    </row>
    <row r="34" spans="1:34" x14ac:dyDescent="0.3">
      <c r="A34" s="6">
        <v>10</v>
      </c>
      <c r="B34" s="36">
        <v>20</v>
      </c>
      <c r="D34" s="36">
        <f t="shared" si="2"/>
        <v>24.192150000000002</v>
      </c>
      <c r="E34" s="36">
        <f t="shared" si="0"/>
        <v>23.192150000000002</v>
      </c>
      <c r="F34" s="28">
        <f t="shared" si="3"/>
        <v>2.5947616572594203</v>
      </c>
      <c r="G34">
        <v>5</v>
      </c>
      <c r="H34">
        <f t="shared" si="5"/>
        <v>99</v>
      </c>
      <c r="I34" s="7">
        <f t="shared" si="1"/>
        <v>0.16666666666666666</v>
      </c>
      <c r="AG34" s="5"/>
      <c r="AH34" s="2"/>
    </row>
    <row r="35" spans="1:34" x14ac:dyDescent="0.3">
      <c r="A35" s="6">
        <v>10</v>
      </c>
      <c r="B35" s="36">
        <v>20.5</v>
      </c>
      <c r="D35" s="36">
        <f t="shared" si="2"/>
        <v>24.685600000000001</v>
      </c>
      <c r="E35" s="36">
        <f t="shared" si="0"/>
        <v>23.685600000000001</v>
      </c>
      <c r="F35" s="28">
        <f t="shared" si="3"/>
        <v>2.5407041227331821</v>
      </c>
      <c r="G35">
        <v>5</v>
      </c>
      <c r="H35">
        <f t="shared" si="5"/>
        <v>104</v>
      </c>
      <c r="I35" s="7">
        <f t="shared" si="1"/>
        <v>0.16666666666666666</v>
      </c>
      <c r="K35" t="s">
        <v>31</v>
      </c>
      <c r="L35" t="s">
        <v>26</v>
      </c>
      <c r="N35" t="s">
        <v>128</v>
      </c>
      <c r="O35" t="s">
        <v>219</v>
      </c>
      <c r="P35" t="s">
        <v>129</v>
      </c>
      <c r="Q35" t="s">
        <v>220</v>
      </c>
    </row>
    <row r="36" spans="1:34" x14ac:dyDescent="0.3">
      <c r="A36" s="6">
        <v>10</v>
      </c>
      <c r="B36" s="36">
        <v>21</v>
      </c>
      <c r="D36" s="36">
        <f t="shared" si="2"/>
        <v>25.17905</v>
      </c>
      <c r="E36" s="36">
        <f t="shared" si="0"/>
        <v>24.17905</v>
      </c>
      <c r="F36" s="28">
        <f t="shared" si="3"/>
        <v>2.4888530181876072</v>
      </c>
      <c r="G36">
        <v>5</v>
      </c>
      <c r="H36">
        <f t="shared" si="5"/>
        <v>109</v>
      </c>
      <c r="I36" s="7">
        <f t="shared" si="1"/>
        <v>0.16666666666666666</v>
      </c>
      <c r="K36">
        <v>101325</v>
      </c>
      <c r="L36">
        <v>9.8692326671599993E-16</v>
      </c>
      <c r="N36" s="6">
        <f>M2</f>
        <v>2.0325632981865462</v>
      </c>
      <c r="O36" s="36">
        <f>L2</f>
        <v>14.8035</v>
      </c>
      <c r="P36" s="6">
        <f>M3</f>
        <v>2.1889143211239728</v>
      </c>
      <c r="Q36" s="36">
        <f>L3</f>
        <v>19.24455</v>
      </c>
    </row>
    <row r="37" spans="1:34" x14ac:dyDescent="0.3">
      <c r="A37" s="6">
        <v>10</v>
      </c>
      <c r="B37" s="36">
        <v>21</v>
      </c>
      <c r="D37" s="36">
        <f t="shared" si="2"/>
        <v>25.17905</v>
      </c>
      <c r="E37" s="36">
        <f t="shared" si="0"/>
        <v>24.17905</v>
      </c>
      <c r="F37" s="28">
        <f t="shared" si="3"/>
        <v>2.4888530181876072</v>
      </c>
      <c r="G37">
        <v>5</v>
      </c>
      <c r="H37">
        <f t="shared" si="5"/>
        <v>114</v>
      </c>
      <c r="I37" s="7">
        <f t="shared" si="1"/>
        <v>0.16666666666666666</v>
      </c>
    </row>
    <row r="38" spans="1:34" x14ac:dyDescent="0.3">
      <c r="A38" s="6">
        <v>10</v>
      </c>
      <c r="B38" s="36">
        <v>21</v>
      </c>
      <c r="D38" s="36">
        <f t="shared" si="2"/>
        <v>25.17905</v>
      </c>
      <c r="E38" s="36">
        <f t="shared" si="0"/>
        <v>24.17905</v>
      </c>
      <c r="F38" s="28">
        <f t="shared" si="3"/>
        <v>2.4888530181876072</v>
      </c>
      <c r="G38">
        <v>5</v>
      </c>
      <c r="H38">
        <f t="shared" si="5"/>
        <v>119</v>
      </c>
      <c r="I38" s="7">
        <f t="shared" si="1"/>
        <v>0.16666666666666666</v>
      </c>
      <c r="K38" t="s">
        <v>29</v>
      </c>
      <c r="L38" t="s">
        <v>133</v>
      </c>
      <c r="N38" s="2" t="s">
        <v>130</v>
      </c>
      <c r="O38" s="2" t="s">
        <v>131</v>
      </c>
      <c r="P38" s="2" t="s">
        <v>132</v>
      </c>
      <c r="Q38" s="2" t="s">
        <v>134</v>
      </c>
    </row>
    <row r="39" spans="1:34" x14ac:dyDescent="0.3">
      <c r="A39" s="6">
        <v>10</v>
      </c>
      <c r="B39" s="36">
        <v>21</v>
      </c>
      <c r="D39" s="36">
        <f t="shared" si="2"/>
        <v>25.17905</v>
      </c>
      <c r="E39" s="36">
        <f t="shared" si="0"/>
        <v>24.17905</v>
      </c>
      <c r="F39" s="28">
        <f t="shared" si="3"/>
        <v>2.4888530181876072</v>
      </c>
      <c r="G39">
        <v>5</v>
      </c>
      <c r="H39">
        <f t="shared" si="5"/>
        <v>124</v>
      </c>
      <c r="I39" s="7">
        <f t="shared" si="1"/>
        <v>0.16666666666666666</v>
      </c>
      <c r="K39">
        <v>4.7509999999999997E-2</v>
      </c>
      <c r="L39">
        <v>18.3154</v>
      </c>
      <c r="N39" s="44">
        <f>N36*L36</f>
        <v>2.0059840100533132E-15</v>
      </c>
      <c r="O39" s="44">
        <f>O36*K36</f>
        <v>1499964.6375</v>
      </c>
      <c r="P39" s="44">
        <f>P36*L36</f>
        <v>2.1602904723651065E-15</v>
      </c>
      <c r="Q39" s="44">
        <f>Q36*K36</f>
        <v>1949954.0287500001</v>
      </c>
    </row>
    <row r="40" spans="1:34" x14ac:dyDescent="0.3">
      <c r="A40" s="6">
        <v>10</v>
      </c>
      <c r="B40" s="36">
        <v>21</v>
      </c>
      <c r="D40" s="36">
        <f t="shared" si="2"/>
        <v>25.17905</v>
      </c>
      <c r="E40" s="36">
        <f t="shared" si="0"/>
        <v>24.17905</v>
      </c>
      <c r="F40" s="28">
        <f t="shared" si="3"/>
        <v>2.4888530181876072</v>
      </c>
      <c r="G40">
        <v>5</v>
      </c>
      <c r="H40">
        <f t="shared" si="5"/>
        <v>129</v>
      </c>
      <c r="I40" s="7">
        <f t="shared" si="1"/>
        <v>0.16666666666666666</v>
      </c>
    </row>
    <row r="41" spans="1:34" x14ac:dyDescent="0.3">
      <c r="A41" s="6">
        <v>7</v>
      </c>
      <c r="B41" s="36">
        <v>16</v>
      </c>
      <c r="D41" s="36">
        <f t="shared" si="2"/>
        <v>20.24455</v>
      </c>
      <c r="E41" s="36">
        <f t="shared" si="0"/>
        <v>19.24455</v>
      </c>
      <c r="F41" s="28">
        <f t="shared" si="3"/>
        <v>2.1889143211239728</v>
      </c>
      <c r="G41">
        <v>0</v>
      </c>
      <c r="H41">
        <f t="shared" si="5"/>
        <v>129</v>
      </c>
      <c r="I41" s="7">
        <f t="shared" si="1"/>
        <v>0.11666666666666667</v>
      </c>
      <c r="K41" t="s">
        <v>32</v>
      </c>
      <c r="L41" t="s">
        <v>33</v>
      </c>
      <c r="M41" t="s">
        <v>34</v>
      </c>
    </row>
    <row r="42" spans="1:34" x14ac:dyDescent="0.3">
      <c r="A42" s="6">
        <v>7</v>
      </c>
      <c r="B42" s="36">
        <v>16</v>
      </c>
      <c r="D42" s="36">
        <f t="shared" si="2"/>
        <v>20.24455</v>
      </c>
      <c r="E42" s="36">
        <f t="shared" si="0"/>
        <v>19.24455</v>
      </c>
      <c r="F42" s="28">
        <f t="shared" si="3"/>
        <v>2.1889143211239728</v>
      </c>
      <c r="G42">
        <v>5</v>
      </c>
      <c r="H42">
        <f t="shared" si="5"/>
        <v>134</v>
      </c>
      <c r="I42" s="7">
        <f t="shared" si="1"/>
        <v>0.11666666666666667</v>
      </c>
      <c r="K42" s="15">
        <f>16/3*K39^4*(P39/O39^4-N39/Q39^4)*10^15</f>
        <v>7.8262611064830754E-30</v>
      </c>
      <c r="L42" s="15">
        <f>8/3*K39*(N39/Q39-P39/O39)*10^15</f>
        <v>-5.213349588758014E-8</v>
      </c>
      <c r="M42" s="6">
        <f>(P39-N39)*10^15</f>
        <v>0.15430646231179335</v>
      </c>
    </row>
    <row r="43" spans="1:34" x14ac:dyDescent="0.3">
      <c r="A43" s="6">
        <v>7</v>
      </c>
      <c r="B43" s="36">
        <v>16</v>
      </c>
      <c r="D43" s="36">
        <f t="shared" si="2"/>
        <v>20.24455</v>
      </c>
      <c r="E43" s="36">
        <f t="shared" si="0"/>
        <v>19.24455</v>
      </c>
      <c r="F43" s="28">
        <f t="shared" si="3"/>
        <v>2.1889143211239728</v>
      </c>
      <c r="G43">
        <v>5</v>
      </c>
      <c r="H43">
        <f t="shared" si="5"/>
        <v>139</v>
      </c>
      <c r="I43" s="7">
        <f t="shared" si="1"/>
        <v>0.11666666666666667</v>
      </c>
    </row>
    <row r="44" spans="1:34" x14ac:dyDescent="0.3">
      <c r="A44" s="6">
        <v>7</v>
      </c>
      <c r="B44" s="36">
        <v>16</v>
      </c>
      <c r="D44" s="36">
        <f t="shared" si="2"/>
        <v>20.24455</v>
      </c>
      <c r="E44" s="36">
        <f t="shared" si="0"/>
        <v>19.24455</v>
      </c>
      <c r="F44" s="28">
        <f t="shared" si="3"/>
        <v>2.1889143211239728</v>
      </c>
      <c r="G44">
        <v>5</v>
      </c>
      <c r="H44">
        <f t="shared" si="5"/>
        <v>144</v>
      </c>
      <c r="I44" s="7">
        <f t="shared" si="1"/>
        <v>0.11666666666666667</v>
      </c>
      <c r="K44" t="s">
        <v>35</v>
      </c>
      <c r="L44" t="s">
        <v>37</v>
      </c>
      <c r="M44" t="s">
        <v>38</v>
      </c>
      <c r="N44" t="s">
        <v>36</v>
      </c>
      <c r="O44" t="s">
        <v>39</v>
      </c>
      <c r="P44" t="s">
        <v>40</v>
      </c>
      <c r="Q44" t="s">
        <v>41</v>
      </c>
    </row>
    <row r="45" spans="1:34" x14ac:dyDescent="0.3">
      <c r="A45" s="6">
        <v>7</v>
      </c>
      <c r="B45" s="36">
        <v>16</v>
      </c>
      <c r="D45" s="36">
        <f t="shared" si="2"/>
        <v>20.24455</v>
      </c>
      <c r="E45" s="36">
        <f t="shared" si="0"/>
        <v>19.24455</v>
      </c>
      <c r="F45" s="28">
        <f t="shared" si="3"/>
        <v>2.1889143211239728</v>
      </c>
      <c r="G45">
        <v>5</v>
      </c>
      <c r="H45">
        <f t="shared" si="5"/>
        <v>149</v>
      </c>
      <c r="I45" s="7">
        <f t="shared" si="1"/>
        <v>0.11666666666666667</v>
      </c>
      <c r="K45">
        <v>5000000</v>
      </c>
      <c r="L45" s="15">
        <f>K42*K45^4+L42*K45+M42</f>
        <v>-0.10146960393455545</v>
      </c>
      <c r="M45" s="15">
        <f>4*K42*K45^3+L42</f>
        <v>-4.82203653343386E-8</v>
      </c>
      <c r="N45" s="7">
        <f>K45-L45/M45</f>
        <v>2895710.593832911</v>
      </c>
      <c r="O45" s="15">
        <f>K42*N45^4+L42*N45+M42</f>
        <v>3.8932148574405967E-3</v>
      </c>
      <c r="P45" s="15">
        <f>4*K42*N45^3+L42</f>
        <v>-5.1373380036183284E-8</v>
      </c>
      <c r="Q45" s="7">
        <f>N45-O45/P45</f>
        <v>2971493.32128239</v>
      </c>
    </row>
    <row r="46" spans="1:34" x14ac:dyDescent="0.3">
      <c r="A46" s="6">
        <v>7</v>
      </c>
      <c r="B46" s="36">
        <v>16</v>
      </c>
      <c r="D46" s="36">
        <f t="shared" si="2"/>
        <v>20.24455</v>
      </c>
      <c r="E46" s="36">
        <f t="shared" si="0"/>
        <v>19.24455</v>
      </c>
      <c r="F46" s="28">
        <f t="shared" si="3"/>
        <v>2.1889143211239728</v>
      </c>
      <c r="G46">
        <v>5</v>
      </c>
      <c r="H46">
        <f t="shared" si="5"/>
        <v>154</v>
      </c>
      <c r="I46" s="7">
        <f t="shared" si="1"/>
        <v>0.11666666666666667</v>
      </c>
      <c r="K46" t="s">
        <v>42</v>
      </c>
      <c r="L46" t="s">
        <v>43</v>
      </c>
      <c r="M46" t="s">
        <v>44</v>
      </c>
      <c r="N46" t="s">
        <v>45</v>
      </c>
      <c r="O46" t="s">
        <v>46</v>
      </c>
      <c r="P46" s="1" t="s">
        <v>47</v>
      </c>
      <c r="Q46" s="1" t="s">
        <v>48</v>
      </c>
    </row>
    <row r="47" spans="1:34" x14ac:dyDescent="0.3">
      <c r="A47" s="6">
        <v>7</v>
      </c>
      <c r="B47" s="36">
        <v>16</v>
      </c>
      <c r="D47" s="36">
        <f t="shared" si="2"/>
        <v>20.24455</v>
      </c>
      <c r="E47" s="36">
        <f t="shared" si="0"/>
        <v>19.24455</v>
      </c>
      <c r="F47" s="28">
        <f t="shared" si="3"/>
        <v>2.1889143211239728</v>
      </c>
      <c r="G47">
        <v>5</v>
      </c>
      <c r="H47">
        <f t="shared" si="5"/>
        <v>159</v>
      </c>
      <c r="I47" s="7">
        <f t="shared" si="1"/>
        <v>0.11666666666666667</v>
      </c>
      <c r="K47" s="15">
        <f>K42*Q45^4+L42*Q45+M42</f>
        <v>2.3010016333424588E-6</v>
      </c>
      <c r="L47" s="15">
        <f>4*K42*Q45^3+L42</f>
        <v>-5.131212633508322E-8</v>
      </c>
      <c r="M47" s="7">
        <f>Q45-K47/L47</f>
        <v>2971538.1645153193</v>
      </c>
      <c r="N47" s="15">
        <f>K42*M47^4+L42*M47+M42</f>
        <v>8.3377749149349256E-13</v>
      </c>
      <c r="O47" s="15">
        <f>4*K42*M47^3+L42</f>
        <v>-5.1312089148304016E-8</v>
      </c>
      <c r="P47" s="25">
        <f>M47-N47/O47</f>
        <v>2971538.1645315685</v>
      </c>
      <c r="Q47" s="65">
        <f>K42*P47^4+L42*P47+M42</f>
        <v>0</v>
      </c>
    </row>
    <row r="48" spans="1:34" x14ac:dyDescent="0.3">
      <c r="A48" s="6">
        <v>5</v>
      </c>
      <c r="B48" s="36">
        <v>11.5</v>
      </c>
      <c r="D48" s="36">
        <f t="shared" si="2"/>
        <v>15.8035</v>
      </c>
      <c r="E48" s="36">
        <f t="shared" si="0"/>
        <v>14.8035</v>
      </c>
      <c r="F48" s="28">
        <f t="shared" si="3"/>
        <v>2.0325632981865462</v>
      </c>
      <c r="G48">
        <v>0</v>
      </c>
      <c r="H48">
        <f t="shared" si="5"/>
        <v>159</v>
      </c>
      <c r="I48" s="7">
        <f t="shared" si="1"/>
        <v>8.3333333333333329E-2</v>
      </c>
    </row>
    <row r="49" spans="1:37" x14ac:dyDescent="0.3">
      <c r="A49" s="6">
        <v>5</v>
      </c>
      <c r="B49" s="36">
        <v>11.5</v>
      </c>
      <c r="D49" s="36">
        <f t="shared" si="2"/>
        <v>15.8035</v>
      </c>
      <c r="E49" s="36">
        <f t="shared" si="0"/>
        <v>14.8035</v>
      </c>
      <c r="F49" s="28">
        <f t="shared" si="3"/>
        <v>2.0325632981865462</v>
      </c>
      <c r="G49">
        <v>5</v>
      </c>
      <c r="H49">
        <f t="shared" si="5"/>
        <v>164</v>
      </c>
      <c r="I49" s="7">
        <f t="shared" si="1"/>
        <v>8.3333333333333329E-2</v>
      </c>
      <c r="K49" t="s">
        <v>56</v>
      </c>
      <c r="L49" t="s">
        <v>72</v>
      </c>
      <c r="M49" t="s">
        <v>135</v>
      </c>
    </row>
    <row r="50" spans="1:37" x14ac:dyDescent="0.3">
      <c r="A50" s="6">
        <v>5</v>
      </c>
      <c r="B50" s="36">
        <v>11.5</v>
      </c>
      <c r="D50" s="36">
        <f t="shared" si="2"/>
        <v>15.8035</v>
      </c>
      <c r="E50" s="36">
        <f t="shared" si="0"/>
        <v>14.8035</v>
      </c>
      <c r="F50" s="28">
        <f t="shared" si="3"/>
        <v>2.0325632981865462</v>
      </c>
      <c r="G50">
        <v>5</v>
      </c>
      <c r="H50">
        <f t="shared" si="5"/>
        <v>169</v>
      </c>
      <c r="I50" s="7">
        <f t="shared" si="1"/>
        <v>8.3333333333333329E-2</v>
      </c>
      <c r="K50" s="15">
        <f>SQRT(8*P39/(L39/100*(1-4/3*(2*K39/Q39*P47)+1/3*(2*K39/Q39*P47)^4)))</f>
        <v>3.4192827262398156E-7</v>
      </c>
      <c r="L50" s="9">
        <f>K50*10^6</f>
        <v>0.34192827262398157</v>
      </c>
      <c r="M50" s="6">
        <f>P47*K50</f>
        <v>1.0160529116345158</v>
      </c>
    </row>
    <row r="51" spans="1:37" x14ac:dyDescent="0.3">
      <c r="A51" s="6">
        <v>5</v>
      </c>
      <c r="B51" s="36">
        <v>11.5</v>
      </c>
      <c r="D51" s="36">
        <f t="shared" si="2"/>
        <v>15.8035</v>
      </c>
      <c r="E51" s="36">
        <f t="shared" si="0"/>
        <v>14.8035</v>
      </c>
      <c r="F51" s="28">
        <f t="shared" si="3"/>
        <v>2.0325632981865462</v>
      </c>
      <c r="G51">
        <v>5</v>
      </c>
      <c r="H51">
        <f t="shared" si="5"/>
        <v>174</v>
      </c>
      <c r="I51" s="7">
        <f t="shared" si="1"/>
        <v>8.3333333333333329E-2</v>
      </c>
    </row>
    <row r="52" spans="1:37" x14ac:dyDescent="0.3">
      <c r="A52" s="6">
        <v>5</v>
      </c>
      <c r="B52" s="36">
        <v>11.5</v>
      </c>
      <c r="D52" s="36">
        <f t="shared" si="2"/>
        <v>15.8035</v>
      </c>
      <c r="E52" s="36">
        <f t="shared" si="0"/>
        <v>14.8035</v>
      </c>
      <c r="F52" s="28">
        <f t="shared" si="3"/>
        <v>2.0325632981865462</v>
      </c>
      <c r="G52">
        <v>5</v>
      </c>
      <c r="H52">
        <f t="shared" si="5"/>
        <v>179</v>
      </c>
      <c r="I52" s="7">
        <f t="shared" si="1"/>
        <v>8.3333333333333329E-2</v>
      </c>
      <c r="K52" s="2" t="s">
        <v>11</v>
      </c>
      <c r="L52" t="s">
        <v>30</v>
      </c>
      <c r="M52" t="s">
        <v>221</v>
      </c>
      <c r="N52" s="2" t="s">
        <v>157</v>
      </c>
    </row>
    <row r="53" spans="1:37" x14ac:dyDescent="0.3">
      <c r="A53" s="6">
        <v>5</v>
      </c>
      <c r="B53" s="36">
        <v>11.5</v>
      </c>
      <c r="D53" s="36">
        <f t="shared" si="2"/>
        <v>15.8035</v>
      </c>
      <c r="E53" s="36">
        <f t="shared" si="0"/>
        <v>14.8035</v>
      </c>
      <c r="F53" s="28">
        <f t="shared" si="3"/>
        <v>2.0325632981865462</v>
      </c>
      <c r="G53">
        <v>5</v>
      </c>
      <c r="H53">
        <f t="shared" si="5"/>
        <v>184</v>
      </c>
      <c r="I53" s="7">
        <f t="shared" si="1"/>
        <v>8.3333333333333329E-2</v>
      </c>
      <c r="K53" s="36">
        <v>10</v>
      </c>
      <c r="L53">
        <f>K53*$K$36</f>
        <v>1013250</v>
      </c>
      <c r="M53" s="15">
        <f>$L$39/100*$K$50^2/8*(1-4/3*(2*$K$39*$P$47/L53)+1/3*(2*$K$39*$P$47/L53)^4)</f>
        <v>1.6875369184712055E-15</v>
      </c>
      <c r="N53" s="6">
        <f>M53/$L$36</f>
        <v>1.7098967826409712</v>
      </c>
    </row>
    <row r="54" spans="1:37" x14ac:dyDescent="0.3">
      <c r="A54" s="6">
        <v>5</v>
      </c>
      <c r="B54" s="36">
        <v>11.5</v>
      </c>
      <c r="D54" s="36">
        <f t="shared" si="2"/>
        <v>15.8035</v>
      </c>
      <c r="E54" s="36">
        <f t="shared" si="0"/>
        <v>14.8035</v>
      </c>
      <c r="F54" s="28">
        <f t="shared" si="3"/>
        <v>2.0325632981865462</v>
      </c>
      <c r="G54">
        <v>5</v>
      </c>
      <c r="H54">
        <f t="shared" si="5"/>
        <v>189</v>
      </c>
      <c r="I54" s="7">
        <f t="shared" si="1"/>
        <v>8.3333333333333329E-2</v>
      </c>
      <c r="K54" s="36">
        <v>20</v>
      </c>
      <c r="L54">
        <f t="shared" ref="L54:L75" si="6">K54*$K$36</f>
        <v>2026500</v>
      </c>
      <c r="M54" s="15">
        <f t="shared" ref="M54:M75" si="7">$L$39/100*$K$50^2/8*(1-4/3*(2*$K$39*$P$47/L54)+1/3*(2*$K$39*$P$47/L54)^4)</f>
        <v>2.1797546191583098E-15</v>
      </c>
      <c r="N54" s="6">
        <f>M54/$L$36</f>
        <v>2.2086363678621863</v>
      </c>
    </row>
    <row r="55" spans="1:37" x14ac:dyDescent="0.3">
      <c r="A55" s="6">
        <v>15</v>
      </c>
      <c r="B55" s="36">
        <v>24</v>
      </c>
      <c r="D55" s="36">
        <f t="shared" si="2"/>
        <v>28.139749999999999</v>
      </c>
      <c r="E55" s="36">
        <f t="shared" si="0"/>
        <v>27.139749999999999</v>
      </c>
      <c r="F55" s="28">
        <f t="shared" si="3"/>
        <v>3.3260126697598027</v>
      </c>
      <c r="G55">
        <v>5</v>
      </c>
      <c r="H55">
        <f t="shared" si="5"/>
        <v>194</v>
      </c>
      <c r="I55" s="7">
        <f t="shared" si="1"/>
        <v>0.25</v>
      </c>
      <c r="K55" s="36">
        <v>30</v>
      </c>
      <c r="L55">
        <f t="shared" si="6"/>
        <v>3039750</v>
      </c>
      <c r="M55" s="15">
        <f t="shared" si="7"/>
        <v>2.3452386442199223E-15</v>
      </c>
      <c r="N55" s="6">
        <f t="shared" ref="N55:N75" si="8">M55/$L$36</f>
        <v>2.3763130562558672</v>
      </c>
    </row>
    <row r="56" spans="1:37" x14ac:dyDescent="0.3">
      <c r="A56" s="6">
        <v>15</v>
      </c>
      <c r="B56" s="36">
        <v>26.5</v>
      </c>
      <c r="D56" s="36">
        <f t="shared" si="2"/>
        <v>30.606999999999999</v>
      </c>
      <c r="E56" s="36">
        <f t="shared" si="0"/>
        <v>29.606999999999999</v>
      </c>
      <c r="F56" s="28">
        <f t="shared" si="3"/>
        <v>3.0488449472798194</v>
      </c>
      <c r="G56">
        <v>5</v>
      </c>
      <c r="H56">
        <f t="shared" si="5"/>
        <v>199</v>
      </c>
      <c r="I56" s="7">
        <f t="shared" si="1"/>
        <v>0.25</v>
      </c>
      <c r="K56" s="36">
        <v>40</v>
      </c>
      <c r="L56">
        <f t="shared" si="6"/>
        <v>4053000</v>
      </c>
      <c r="M56" s="15">
        <f>$L$39/100*$K$50^2/8*(1-4/3*(2*$K$39*$P$47/L56)+1/3*(2*$K$39*$P$47/L56)^4)</f>
        <v>2.428070170182206E-15</v>
      </c>
      <c r="N56" s="6">
        <f>M56/$L$36</f>
        <v>2.4602420999371524</v>
      </c>
    </row>
    <row r="57" spans="1:37" x14ac:dyDescent="0.3">
      <c r="A57" s="6">
        <v>15</v>
      </c>
      <c r="B57" s="36">
        <v>27</v>
      </c>
      <c r="D57" s="36">
        <f t="shared" si="2"/>
        <v>31.100449999999999</v>
      </c>
      <c r="E57" s="36">
        <f t="shared" si="0"/>
        <v>30.100449999999999</v>
      </c>
      <c r="F57" s="28">
        <f t="shared" si="3"/>
        <v>2.9988638825703138</v>
      </c>
      <c r="G57">
        <v>5</v>
      </c>
      <c r="H57">
        <f t="shared" si="5"/>
        <v>204</v>
      </c>
      <c r="I57" s="7">
        <f t="shared" si="1"/>
        <v>0.25</v>
      </c>
      <c r="K57" s="36">
        <v>50</v>
      </c>
      <c r="L57">
        <f t="shared" si="6"/>
        <v>5066250</v>
      </c>
      <c r="M57" s="15">
        <f t="shared" si="7"/>
        <v>2.47778392101517E-15</v>
      </c>
      <c r="N57" s="6">
        <f>M57/$L$36</f>
        <v>2.5106145579686538</v>
      </c>
    </row>
    <row r="58" spans="1:37" x14ac:dyDescent="0.3">
      <c r="A58" s="6">
        <v>15</v>
      </c>
      <c r="B58" s="36">
        <v>27</v>
      </c>
      <c r="D58" s="36">
        <f t="shared" si="2"/>
        <v>31.100449999999999</v>
      </c>
      <c r="E58" s="36">
        <f t="shared" si="0"/>
        <v>30.100449999999999</v>
      </c>
      <c r="F58" s="28">
        <f t="shared" si="3"/>
        <v>2.9988638825703138</v>
      </c>
      <c r="G58">
        <v>5</v>
      </c>
      <c r="H58">
        <f t="shared" si="5"/>
        <v>209</v>
      </c>
      <c r="I58" s="7">
        <f t="shared" si="1"/>
        <v>0.25</v>
      </c>
      <c r="K58" s="36">
        <v>60</v>
      </c>
      <c r="L58">
        <f t="shared" si="6"/>
        <v>6079500</v>
      </c>
      <c r="M58" s="15">
        <f t="shared" si="7"/>
        <v>2.5109302366588742E-15</v>
      </c>
      <c r="N58" s="6">
        <f t="shared" si="8"/>
        <v>2.5442000622946375</v>
      </c>
    </row>
    <row r="59" spans="1:37" x14ac:dyDescent="0.3">
      <c r="A59" s="6">
        <v>15</v>
      </c>
      <c r="B59" s="36">
        <v>27</v>
      </c>
      <c r="D59" s="36">
        <f t="shared" si="2"/>
        <v>31.100449999999999</v>
      </c>
      <c r="E59" s="36">
        <f t="shared" si="0"/>
        <v>30.100449999999999</v>
      </c>
      <c r="F59" s="28">
        <f t="shared" si="3"/>
        <v>2.9988638825703138</v>
      </c>
      <c r="G59">
        <v>5</v>
      </c>
      <c r="H59">
        <f t="shared" si="5"/>
        <v>214</v>
      </c>
      <c r="I59" s="7">
        <f t="shared" si="1"/>
        <v>0.25</v>
      </c>
      <c r="K59" s="36">
        <v>70</v>
      </c>
      <c r="L59">
        <f t="shared" si="6"/>
        <v>7092750</v>
      </c>
      <c r="M59" s="15">
        <f t="shared" si="7"/>
        <v>2.5346074493413607E-15</v>
      </c>
      <c r="N59" s="6">
        <f t="shared" si="8"/>
        <v>2.5681909980451674</v>
      </c>
    </row>
    <row r="60" spans="1:37" x14ac:dyDescent="0.3">
      <c r="A60" s="6">
        <v>15</v>
      </c>
      <c r="B60" s="36">
        <v>27</v>
      </c>
      <c r="D60" s="36">
        <f t="shared" si="2"/>
        <v>31.100449999999999</v>
      </c>
      <c r="E60" s="36">
        <f t="shared" si="0"/>
        <v>30.100449999999999</v>
      </c>
      <c r="F60" s="28">
        <f t="shared" si="3"/>
        <v>2.9988638825703138</v>
      </c>
      <c r="G60">
        <v>5</v>
      </c>
      <c r="H60">
        <f t="shared" si="5"/>
        <v>219</v>
      </c>
      <c r="I60" s="7">
        <f t="shared" si="1"/>
        <v>0.25</v>
      </c>
      <c r="J60" s="13" t="s">
        <v>236</v>
      </c>
      <c r="K60" s="60">
        <v>80</v>
      </c>
      <c r="L60" s="13">
        <f t="shared" si="6"/>
        <v>8106000</v>
      </c>
      <c r="M60" s="67">
        <f t="shared" si="7"/>
        <v>2.5523658644866756E-15</v>
      </c>
      <c r="N60" s="59">
        <f>M60/$L$36</f>
        <v>2.5861847121911579</v>
      </c>
    </row>
    <row r="61" spans="1:37" x14ac:dyDescent="0.3">
      <c r="A61" s="6">
        <v>15</v>
      </c>
      <c r="B61" s="36">
        <v>27</v>
      </c>
      <c r="D61" s="36">
        <f t="shared" si="2"/>
        <v>31.100449999999999</v>
      </c>
      <c r="E61" s="36">
        <f t="shared" si="0"/>
        <v>30.100449999999999</v>
      </c>
      <c r="F61" s="28">
        <f t="shared" si="3"/>
        <v>2.9988638825703138</v>
      </c>
      <c r="G61">
        <v>5</v>
      </c>
      <c r="H61">
        <f t="shared" si="5"/>
        <v>224</v>
      </c>
      <c r="I61" s="7">
        <f t="shared" si="1"/>
        <v>0.25</v>
      </c>
      <c r="K61" s="36">
        <v>90</v>
      </c>
      <c r="L61">
        <f>K61*$K$36</f>
        <v>9119250</v>
      </c>
      <c r="M61" s="15">
        <f t="shared" si="7"/>
        <v>2.5661781928813142E-15</v>
      </c>
      <c r="N61" s="6">
        <f t="shared" si="8"/>
        <v>2.6001800539370254</v>
      </c>
      <c r="AJ61" s="2" t="s">
        <v>163</v>
      </c>
    </row>
    <row r="62" spans="1:37" x14ac:dyDescent="0.3">
      <c r="A62" s="6">
        <v>20</v>
      </c>
      <c r="B62" s="36">
        <v>30</v>
      </c>
      <c r="D62" s="36">
        <f t="shared" si="2"/>
        <v>34.061149999999998</v>
      </c>
      <c r="E62" s="36">
        <f t="shared" si="0"/>
        <v>33.061149999999998</v>
      </c>
      <c r="F62" s="28">
        <f t="shared" si="3"/>
        <v>3.6404118773490377</v>
      </c>
      <c r="G62">
        <v>0</v>
      </c>
      <c r="H62">
        <f t="shared" si="5"/>
        <v>224</v>
      </c>
      <c r="I62" s="7">
        <f t="shared" si="1"/>
        <v>0.33333333333333331</v>
      </c>
      <c r="K62" s="36">
        <v>100</v>
      </c>
      <c r="L62">
        <f t="shared" si="6"/>
        <v>10132500</v>
      </c>
      <c r="M62" s="15">
        <f t="shared" si="7"/>
        <v>2.5772281683868313E-15</v>
      </c>
      <c r="N62" s="6">
        <f t="shared" si="8"/>
        <v>2.611376441617991</v>
      </c>
      <c r="AJ62" s="7">
        <f t="array" ref="AJ62:AK66">LINEST(K2:K9,L2:L9,TRUE,TRUE)</f>
        <v>1.2224290112196751E-2</v>
      </c>
      <c r="AK62" s="9">
        <v>-0.12135617141390825</v>
      </c>
    </row>
    <row r="63" spans="1:37" x14ac:dyDescent="0.3">
      <c r="A63" s="6">
        <v>20</v>
      </c>
      <c r="B63" s="36">
        <v>36</v>
      </c>
      <c r="D63" s="36">
        <f t="shared" si="2"/>
        <v>39.982550000000003</v>
      </c>
      <c r="E63" s="36">
        <f t="shared" si="0"/>
        <v>38.982550000000003</v>
      </c>
      <c r="F63" s="28">
        <f t="shared" si="3"/>
        <v>3.087437921296019</v>
      </c>
      <c r="G63">
        <v>5</v>
      </c>
      <c r="H63">
        <f t="shared" si="5"/>
        <v>229</v>
      </c>
      <c r="I63" s="7">
        <f t="shared" si="1"/>
        <v>0.33333333333333331</v>
      </c>
      <c r="K63" s="36">
        <v>200</v>
      </c>
      <c r="L63">
        <f t="shared" si="6"/>
        <v>20265000</v>
      </c>
      <c r="M63" s="15">
        <f t="shared" si="7"/>
        <v>2.6269538227937504E-15</v>
      </c>
      <c r="N63" s="6">
        <f t="shared" si="8"/>
        <v>2.6617609609458026</v>
      </c>
      <c r="AJ63" s="30">
        <v>2.6361829083119763E-4</v>
      </c>
      <c r="AK63" s="7">
        <v>1.2085247284396868E-2</v>
      </c>
    </row>
    <row r="64" spans="1:37" x14ac:dyDescent="0.3">
      <c r="A64" s="6">
        <v>20</v>
      </c>
      <c r="B64" s="36">
        <v>36</v>
      </c>
      <c r="D64" s="36">
        <f t="shared" si="2"/>
        <v>39.982550000000003</v>
      </c>
      <c r="E64" s="36">
        <f t="shared" si="0"/>
        <v>38.982550000000003</v>
      </c>
      <c r="F64" s="28">
        <f t="shared" si="3"/>
        <v>3.087437921296019</v>
      </c>
      <c r="G64">
        <v>5</v>
      </c>
      <c r="H64">
        <f t="shared" si="5"/>
        <v>234</v>
      </c>
      <c r="I64" s="7">
        <f t="shared" si="1"/>
        <v>0.33333333333333331</v>
      </c>
      <c r="K64" s="36">
        <v>300</v>
      </c>
      <c r="L64" s="4">
        <f t="shared" si="6"/>
        <v>30397500</v>
      </c>
      <c r="M64" s="15">
        <f t="shared" si="7"/>
        <v>2.643529182075207E-15</v>
      </c>
      <c r="N64" s="6">
        <f t="shared" si="8"/>
        <v>2.6785559437377384</v>
      </c>
      <c r="AJ64" s="9">
        <v>0.99721743769196225</v>
      </c>
      <c r="AK64">
        <v>1.6575944170019206E-2</v>
      </c>
    </row>
    <row r="65" spans="1:37" x14ac:dyDescent="0.3">
      <c r="A65" s="6">
        <v>20</v>
      </c>
      <c r="B65" s="36">
        <v>36</v>
      </c>
      <c r="D65" s="36">
        <f t="shared" si="2"/>
        <v>39.982550000000003</v>
      </c>
      <c r="E65" s="36">
        <f t="shared" si="0"/>
        <v>38.982550000000003</v>
      </c>
      <c r="F65" s="28">
        <f t="shared" si="3"/>
        <v>3.087437921296019</v>
      </c>
      <c r="G65">
        <v>5</v>
      </c>
      <c r="H65">
        <f t="shared" si="5"/>
        <v>239</v>
      </c>
      <c r="I65" s="7">
        <f t="shared" si="1"/>
        <v>0.33333333333333331</v>
      </c>
      <c r="K65" s="36">
        <v>400</v>
      </c>
      <c r="L65" s="4">
        <f t="shared" si="6"/>
        <v>40530000</v>
      </c>
      <c r="M65" s="15">
        <f t="shared" si="7"/>
        <v>2.6518168706672784E-15</v>
      </c>
      <c r="N65" s="6">
        <f t="shared" si="8"/>
        <v>2.6869534442036551</v>
      </c>
      <c r="AJ65">
        <v>2150.2859464703838</v>
      </c>
      <c r="AK65">
        <v>6</v>
      </c>
    </row>
    <row r="66" spans="1:37" x14ac:dyDescent="0.3">
      <c r="A66" s="6">
        <v>20</v>
      </c>
      <c r="B66" s="36">
        <v>36</v>
      </c>
      <c r="D66" s="36">
        <f t="shared" si="2"/>
        <v>39.982550000000003</v>
      </c>
      <c r="E66" s="36">
        <f t="shared" si="0"/>
        <v>38.982550000000003</v>
      </c>
      <c r="F66" s="28">
        <f t="shared" si="3"/>
        <v>3.087437921296019</v>
      </c>
      <c r="G66">
        <v>5</v>
      </c>
      <c r="H66">
        <f t="shared" si="5"/>
        <v>244</v>
      </c>
      <c r="I66" s="7">
        <f t="shared" si="1"/>
        <v>0.33333333333333331</v>
      </c>
      <c r="K66" s="36">
        <v>500</v>
      </c>
      <c r="L66">
        <f t="shared" si="6"/>
        <v>50662500</v>
      </c>
      <c r="M66" s="15">
        <f t="shared" si="7"/>
        <v>2.6567894853060465E-15</v>
      </c>
      <c r="N66" s="6">
        <f t="shared" si="8"/>
        <v>2.6919919459863868</v>
      </c>
      <c r="AJ66">
        <v>0.59081670622701254</v>
      </c>
      <c r="AK66">
        <v>1.6485715507655622E-3</v>
      </c>
    </row>
    <row r="67" spans="1:37" x14ac:dyDescent="0.3">
      <c r="A67" s="6">
        <v>20</v>
      </c>
      <c r="B67" s="36">
        <v>36</v>
      </c>
      <c r="D67" s="36">
        <f>0.9869*(B67-$C$2)+1</f>
        <v>39.982550000000003</v>
      </c>
      <c r="E67" s="36">
        <f>D67-1</f>
        <v>38.982550000000003</v>
      </c>
      <c r="F67" s="28">
        <f t="shared" ref="F67:F87" si="9">(1000*I67*0.386*4.751)/(PI()*(2.543^2)/4*E67)</f>
        <v>3.087437921296019</v>
      </c>
      <c r="G67">
        <v>5</v>
      </c>
      <c r="H67">
        <f t="shared" si="5"/>
        <v>249</v>
      </c>
      <c r="I67" s="7">
        <f t="shared" si="1"/>
        <v>0.33333333333333331</v>
      </c>
      <c r="K67" s="36">
        <v>600</v>
      </c>
      <c r="L67">
        <f t="shared" si="6"/>
        <v>60795000</v>
      </c>
      <c r="M67" s="15">
        <f t="shared" si="7"/>
        <v>2.6601045621134009E-15</v>
      </c>
      <c r="N67" s="6">
        <f t="shared" si="8"/>
        <v>2.6953509475614386</v>
      </c>
      <c r="Z67" s="2" t="s">
        <v>76</v>
      </c>
    </row>
    <row r="68" spans="1:37" x14ac:dyDescent="0.3">
      <c r="A68" s="6">
        <v>20</v>
      </c>
      <c r="B68" s="36">
        <v>36</v>
      </c>
      <c r="D68" s="36">
        <f>0.9869*(B68-$C$2)+1</f>
        <v>39.982550000000003</v>
      </c>
      <c r="E68" s="36">
        <f>D68-1</f>
        <v>38.982550000000003</v>
      </c>
      <c r="F68" s="28">
        <f t="shared" si="9"/>
        <v>3.087437921296019</v>
      </c>
      <c r="G68">
        <v>5</v>
      </c>
      <c r="H68">
        <f t="shared" ref="H68:H86" si="10">H67+G68</f>
        <v>254</v>
      </c>
      <c r="I68" s="7">
        <f t="shared" si="1"/>
        <v>0.33333333333333331</v>
      </c>
      <c r="K68" s="36">
        <v>700</v>
      </c>
      <c r="L68">
        <f t="shared" si="6"/>
        <v>70927500</v>
      </c>
      <c r="M68" s="15">
        <f t="shared" si="7"/>
        <v>2.662472474245948E-15</v>
      </c>
      <c r="N68" s="6">
        <f t="shared" si="8"/>
        <v>2.6977502345297419</v>
      </c>
      <c r="Z68" s="35">
        <f>-AK62/AJ62</f>
        <v>9.9274616603564958</v>
      </c>
    </row>
    <row r="69" spans="1:37" x14ac:dyDescent="0.3">
      <c r="A69" s="6">
        <v>25</v>
      </c>
      <c r="B69" s="36">
        <v>38</v>
      </c>
      <c r="D69" s="36">
        <f t="shared" ref="D69:D87" si="11">0.9869*(B69-$C$2)+1</f>
        <v>41.95635</v>
      </c>
      <c r="E69" s="36">
        <f t="shared" ref="E69:E87" si="12">D69-1</f>
        <v>40.95635</v>
      </c>
      <c r="F69" s="28">
        <f t="shared" si="9"/>
        <v>3.6733071653973721</v>
      </c>
      <c r="G69">
        <v>0</v>
      </c>
      <c r="H69">
        <f t="shared" si="10"/>
        <v>254</v>
      </c>
      <c r="I69" s="7">
        <f>A69/60</f>
        <v>0.41666666666666669</v>
      </c>
      <c r="K69" s="36">
        <v>800</v>
      </c>
      <c r="L69">
        <f t="shared" si="6"/>
        <v>81060000</v>
      </c>
      <c r="M69" s="15">
        <f t="shared" si="7"/>
        <v>2.6642484083959213E-15</v>
      </c>
      <c r="N69" s="6">
        <f t="shared" si="8"/>
        <v>2.6995496998072026</v>
      </c>
      <c r="P69" t="s">
        <v>136</v>
      </c>
      <c r="Q69" s="2" t="s">
        <v>137</v>
      </c>
    </row>
    <row r="70" spans="1:37" x14ac:dyDescent="0.3">
      <c r="A70" s="6">
        <v>25</v>
      </c>
      <c r="B70" s="36">
        <v>42</v>
      </c>
      <c r="D70" s="36">
        <f t="shared" si="11"/>
        <v>45.903950000000002</v>
      </c>
      <c r="E70" s="36">
        <f t="shared" si="12"/>
        <v>44.903950000000002</v>
      </c>
      <c r="F70" s="28">
        <f t="shared" si="9"/>
        <v>3.3503790629448558</v>
      </c>
      <c r="G70">
        <v>5</v>
      </c>
      <c r="H70">
        <f t="shared" si="10"/>
        <v>259</v>
      </c>
      <c r="I70" s="7">
        <f>A70/60</f>
        <v>0.41666666666666669</v>
      </c>
      <c r="K70" s="36">
        <v>900</v>
      </c>
      <c r="L70">
        <f t="shared" si="6"/>
        <v>91192500</v>
      </c>
      <c r="M70" s="15">
        <f t="shared" si="7"/>
        <v>2.6656296905353403E-15</v>
      </c>
      <c r="N70" s="6">
        <f t="shared" si="8"/>
        <v>2.7009492839349689</v>
      </c>
      <c r="P70" s="15">
        <f>L39/100*K50^2/8</f>
        <v>2.6766799479634818E-15</v>
      </c>
      <c r="Q70" s="59">
        <f>P70/L36</f>
        <v>2.7121459572740334</v>
      </c>
    </row>
    <row r="71" spans="1:37" x14ac:dyDescent="0.3">
      <c r="A71" s="6">
        <v>25</v>
      </c>
      <c r="B71" s="36">
        <v>42</v>
      </c>
      <c r="D71" s="36">
        <f t="shared" si="11"/>
        <v>45.903950000000002</v>
      </c>
      <c r="E71" s="36">
        <f t="shared" si="12"/>
        <v>44.903950000000002</v>
      </c>
      <c r="F71" s="28">
        <f t="shared" si="9"/>
        <v>3.3503790629448558</v>
      </c>
      <c r="G71">
        <v>5</v>
      </c>
      <c r="H71">
        <f t="shared" si="10"/>
        <v>264</v>
      </c>
      <c r="I71" s="7">
        <f t="shared" ref="I71:I87" si="13">A71/60</f>
        <v>0.41666666666666669</v>
      </c>
      <c r="K71" s="36">
        <v>1000</v>
      </c>
      <c r="L71">
        <f>K71*$K$36</f>
        <v>101325000</v>
      </c>
      <c r="M71" s="15">
        <f t="shared" si="7"/>
        <v>2.666734716258154E-15</v>
      </c>
      <c r="N71" s="6">
        <f t="shared" si="8"/>
        <v>2.7020689512486098</v>
      </c>
    </row>
    <row r="72" spans="1:37" x14ac:dyDescent="0.3">
      <c r="A72" s="6">
        <v>25</v>
      </c>
      <c r="B72" s="36">
        <v>42</v>
      </c>
      <c r="D72" s="36">
        <f t="shared" si="11"/>
        <v>45.903950000000002</v>
      </c>
      <c r="E72" s="36">
        <f t="shared" si="12"/>
        <v>44.903950000000002</v>
      </c>
      <c r="F72" s="28">
        <f t="shared" si="9"/>
        <v>3.3503790629448558</v>
      </c>
      <c r="G72">
        <v>5</v>
      </c>
      <c r="H72">
        <f>H71+G72</f>
        <v>269</v>
      </c>
      <c r="I72" s="7">
        <f t="shared" si="13"/>
        <v>0.41666666666666669</v>
      </c>
      <c r="J72" s="13" t="s">
        <v>167</v>
      </c>
      <c r="K72" s="60">
        <v>84.873400000000004</v>
      </c>
      <c r="L72" s="59">
        <f>K72*$K$36</f>
        <v>8599797.2550000008</v>
      </c>
      <c r="M72" s="67">
        <f>$L$39/100*$K$50^2/8*(1-4/3*(2*$K$39*$P$47/L72)+1/3*(2*$K$39*$P$47/L72)^4)</f>
        <v>2.5595037330385033E-15</v>
      </c>
      <c r="N72" s="59">
        <f>M72/$L$36</f>
        <v>2.5934171575012974</v>
      </c>
    </row>
    <row r="73" spans="1:37" x14ac:dyDescent="0.3">
      <c r="A73" s="6">
        <v>25</v>
      </c>
      <c r="B73" s="36">
        <v>42</v>
      </c>
      <c r="D73" s="36">
        <f t="shared" si="11"/>
        <v>45.903950000000002</v>
      </c>
      <c r="E73" s="36">
        <f t="shared" si="12"/>
        <v>44.903950000000002</v>
      </c>
      <c r="F73" s="28">
        <f t="shared" si="9"/>
        <v>3.3503790629448558</v>
      </c>
      <c r="G73">
        <v>5</v>
      </c>
      <c r="H73">
        <f t="shared" si="10"/>
        <v>274</v>
      </c>
      <c r="I73" s="7">
        <f t="shared" si="13"/>
        <v>0.41666666666666669</v>
      </c>
      <c r="J73" s="13" t="s">
        <v>168</v>
      </c>
      <c r="K73" s="60">
        <v>61.681249999999999</v>
      </c>
      <c r="L73" s="59">
        <f t="shared" si="6"/>
        <v>6249852.65625</v>
      </c>
      <c r="M73" s="67">
        <f t="shared" si="7"/>
        <v>2.5154477664529058E-15</v>
      </c>
      <c r="N73" s="59">
        <f t="shared" si="8"/>
        <v>2.5487774493584401</v>
      </c>
    </row>
    <row r="74" spans="1:37" x14ac:dyDescent="0.3">
      <c r="A74" s="6">
        <v>25</v>
      </c>
      <c r="B74" s="36">
        <v>42</v>
      </c>
      <c r="D74" s="36">
        <f t="shared" si="11"/>
        <v>45.903950000000002</v>
      </c>
      <c r="E74" s="36">
        <f t="shared" si="12"/>
        <v>44.903950000000002</v>
      </c>
      <c r="F74" s="28">
        <f t="shared" si="9"/>
        <v>3.3503790629448558</v>
      </c>
      <c r="G74">
        <v>5</v>
      </c>
      <c r="H74">
        <f t="shared" si="10"/>
        <v>279</v>
      </c>
      <c r="I74" s="7">
        <f t="shared" si="13"/>
        <v>0.41666666666666669</v>
      </c>
      <c r="J74" s="13" t="s">
        <v>224</v>
      </c>
      <c r="K74" s="60">
        <v>76.978200000000001</v>
      </c>
      <c r="L74" s="59">
        <f t="shared" si="6"/>
        <v>7799816.1150000002</v>
      </c>
      <c r="M74" s="67">
        <f t="shared" si="7"/>
        <v>2.5474860487678796E-15</v>
      </c>
      <c r="N74" s="59">
        <f t="shared" si="8"/>
        <v>2.5812402389140878</v>
      </c>
    </row>
    <row r="75" spans="1:37" x14ac:dyDescent="0.3">
      <c r="A75" s="6">
        <v>40</v>
      </c>
      <c r="B75" s="36">
        <v>60</v>
      </c>
      <c r="D75" s="36">
        <f t="shared" si="11"/>
        <v>63.668149999999997</v>
      </c>
      <c r="E75" s="36">
        <f t="shared" si="12"/>
        <v>62.668149999999997</v>
      </c>
      <c r="F75" s="28">
        <f t="shared" si="9"/>
        <v>3.8410645005100084</v>
      </c>
      <c r="G75">
        <v>0</v>
      </c>
      <c r="H75">
        <f t="shared" si="10"/>
        <v>279</v>
      </c>
      <c r="I75" s="7">
        <f t="shared" si="13"/>
        <v>0.66666666666666663</v>
      </c>
      <c r="J75" s="13" t="s">
        <v>225</v>
      </c>
      <c r="K75" s="60">
        <v>89.314449999999994</v>
      </c>
      <c r="L75" s="59">
        <f t="shared" si="6"/>
        <v>9049786.6462500002</v>
      </c>
      <c r="M75" s="67">
        <f t="shared" si="7"/>
        <v>2.5653300348768567E-15</v>
      </c>
      <c r="N75" s="59">
        <f t="shared" si="8"/>
        <v>2.5993206578390091</v>
      </c>
    </row>
    <row r="76" spans="1:37" ht="15" thickBot="1" x14ac:dyDescent="0.35">
      <c r="A76" s="6">
        <v>40</v>
      </c>
      <c r="B76" s="36">
        <v>62.5</v>
      </c>
      <c r="D76" s="36">
        <f t="shared" si="11"/>
        <v>66.135400000000004</v>
      </c>
      <c r="E76" s="36">
        <f t="shared" si="12"/>
        <v>65.135400000000004</v>
      </c>
      <c r="F76" s="28">
        <f t="shared" si="9"/>
        <v>3.6955696330664467</v>
      </c>
      <c r="G76">
        <v>5</v>
      </c>
      <c r="H76">
        <f t="shared" si="10"/>
        <v>284</v>
      </c>
      <c r="I76" s="7">
        <f t="shared" si="13"/>
        <v>0.66666666666666663</v>
      </c>
    </row>
    <row r="77" spans="1:37" ht="16.2" thickBot="1" x14ac:dyDescent="0.35">
      <c r="A77" s="6">
        <v>40</v>
      </c>
      <c r="B77" s="36">
        <v>62.5</v>
      </c>
      <c r="D77" s="36">
        <f t="shared" si="11"/>
        <v>66.135400000000004</v>
      </c>
      <c r="E77" s="36">
        <f t="shared" si="12"/>
        <v>65.135400000000004</v>
      </c>
      <c r="F77" s="28">
        <f t="shared" si="9"/>
        <v>3.6955696330664467</v>
      </c>
      <c r="G77">
        <v>5</v>
      </c>
      <c r="H77">
        <f t="shared" si="10"/>
        <v>289</v>
      </c>
      <c r="I77" s="7">
        <f t="shared" si="13"/>
        <v>0.66666666666666663</v>
      </c>
      <c r="M77" s="2"/>
      <c r="N77" s="41"/>
      <c r="O77" s="42"/>
    </row>
    <row r="78" spans="1:37" ht="16.2" thickBot="1" x14ac:dyDescent="0.35">
      <c r="A78" s="6">
        <v>40</v>
      </c>
      <c r="B78" s="36">
        <v>62.5</v>
      </c>
      <c r="D78" s="36">
        <f t="shared" si="11"/>
        <v>66.135400000000004</v>
      </c>
      <c r="E78" s="36">
        <f t="shared" si="12"/>
        <v>65.135400000000004</v>
      </c>
      <c r="F78" s="28">
        <f t="shared" si="9"/>
        <v>3.6955696330664467</v>
      </c>
      <c r="G78">
        <v>5</v>
      </c>
      <c r="H78">
        <f>H77+G78</f>
        <v>294</v>
      </c>
      <c r="I78" s="7">
        <f t="shared" si="13"/>
        <v>0.66666666666666663</v>
      </c>
      <c r="M78" s="43"/>
      <c r="N78" s="37"/>
      <c r="O78" s="38"/>
    </row>
    <row r="79" spans="1:37" ht="16.2" thickBot="1" x14ac:dyDescent="0.35">
      <c r="A79" s="6">
        <v>40</v>
      </c>
      <c r="B79" s="36">
        <v>62.5</v>
      </c>
      <c r="D79" s="36">
        <f t="shared" si="11"/>
        <v>66.135400000000004</v>
      </c>
      <c r="E79" s="36">
        <f t="shared" si="12"/>
        <v>65.135400000000004</v>
      </c>
      <c r="F79" s="28">
        <f t="shared" si="9"/>
        <v>3.6955696330664467</v>
      </c>
      <c r="G79">
        <v>5</v>
      </c>
      <c r="H79">
        <f t="shared" si="10"/>
        <v>299</v>
      </c>
      <c r="I79" s="7">
        <f t="shared" si="13"/>
        <v>0.66666666666666663</v>
      </c>
      <c r="M79" s="43"/>
      <c r="N79" s="39"/>
      <c r="O79" s="40"/>
    </row>
    <row r="80" spans="1:37" ht="16.2" thickBot="1" x14ac:dyDescent="0.35">
      <c r="A80" s="6">
        <v>40</v>
      </c>
      <c r="B80" s="36">
        <v>62.5</v>
      </c>
      <c r="D80" s="36">
        <f t="shared" si="11"/>
        <v>66.135400000000004</v>
      </c>
      <c r="E80" s="36">
        <f t="shared" si="12"/>
        <v>65.135400000000004</v>
      </c>
      <c r="F80" s="28">
        <f t="shared" si="9"/>
        <v>3.6955696330664467</v>
      </c>
      <c r="G80">
        <v>5</v>
      </c>
      <c r="H80">
        <f t="shared" si="10"/>
        <v>304</v>
      </c>
      <c r="I80" s="7">
        <f t="shared" si="13"/>
        <v>0.66666666666666663</v>
      </c>
      <c r="M80" s="43"/>
      <c r="N80" s="39"/>
      <c r="O80" s="40"/>
    </row>
    <row r="81" spans="1:18" ht="16.2" thickBot="1" x14ac:dyDescent="0.35">
      <c r="A81" s="6">
        <v>40</v>
      </c>
      <c r="B81" s="36">
        <v>62.5</v>
      </c>
      <c r="D81" s="36">
        <f t="shared" si="11"/>
        <v>66.135400000000004</v>
      </c>
      <c r="E81" s="36">
        <f t="shared" si="12"/>
        <v>65.135400000000004</v>
      </c>
      <c r="F81" s="28">
        <f t="shared" si="9"/>
        <v>3.6955696330664467</v>
      </c>
      <c r="G81">
        <v>5</v>
      </c>
      <c r="H81">
        <f t="shared" si="10"/>
        <v>309</v>
      </c>
      <c r="I81" s="7">
        <f t="shared" si="13"/>
        <v>0.66666666666666663</v>
      </c>
      <c r="M81" s="43"/>
      <c r="N81" s="39"/>
      <c r="O81" s="40"/>
      <c r="R81" s="6"/>
    </row>
    <row r="82" spans="1:18" ht="16.2" thickBot="1" x14ac:dyDescent="0.35">
      <c r="A82" s="6">
        <v>55</v>
      </c>
      <c r="B82" s="36">
        <v>80</v>
      </c>
      <c r="D82" s="36">
        <f t="shared" si="11"/>
        <v>83.406149999999997</v>
      </c>
      <c r="E82" s="36">
        <f t="shared" si="12"/>
        <v>82.406149999999997</v>
      </c>
      <c r="F82" s="28">
        <f t="shared" si="9"/>
        <v>4.0164424455183241</v>
      </c>
      <c r="G82">
        <v>0</v>
      </c>
      <c r="H82">
        <f t="shared" si="10"/>
        <v>309</v>
      </c>
      <c r="I82" s="7">
        <f t="shared" si="13"/>
        <v>0.91666666666666663</v>
      </c>
      <c r="M82" s="43"/>
      <c r="N82" s="39"/>
      <c r="O82" s="40"/>
      <c r="R82" s="6"/>
    </row>
    <row r="83" spans="1:18" ht="16.2" thickBot="1" x14ac:dyDescent="0.35">
      <c r="A83" s="6">
        <v>55</v>
      </c>
      <c r="B83" s="36">
        <v>81</v>
      </c>
      <c r="D83" s="36">
        <f t="shared" si="11"/>
        <v>84.393050000000002</v>
      </c>
      <c r="E83" s="36">
        <f t="shared" si="12"/>
        <v>83.393050000000002</v>
      </c>
      <c r="F83" s="28">
        <f t="shared" si="9"/>
        <v>3.9689105822577515</v>
      </c>
      <c r="G83">
        <v>5</v>
      </c>
      <c r="H83">
        <f t="shared" si="10"/>
        <v>314</v>
      </c>
      <c r="I83" s="7">
        <f t="shared" si="13"/>
        <v>0.91666666666666663</v>
      </c>
      <c r="M83" s="43"/>
      <c r="N83" s="39"/>
      <c r="O83" s="40"/>
      <c r="R83" s="6"/>
    </row>
    <row r="84" spans="1:18" ht="16.2" thickBot="1" x14ac:dyDescent="0.35">
      <c r="A84" s="6">
        <v>55</v>
      </c>
      <c r="B84" s="36">
        <v>81</v>
      </c>
      <c r="D84" s="36">
        <f t="shared" si="11"/>
        <v>84.393050000000002</v>
      </c>
      <c r="E84" s="36">
        <f t="shared" si="12"/>
        <v>83.393050000000002</v>
      </c>
      <c r="F84" s="28">
        <f t="shared" si="9"/>
        <v>3.9689105822577515</v>
      </c>
      <c r="G84">
        <v>5</v>
      </c>
      <c r="H84">
        <f t="shared" si="10"/>
        <v>319</v>
      </c>
      <c r="I84" s="7">
        <f t="shared" si="13"/>
        <v>0.91666666666666663</v>
      </c>
      <c r="M84" s="43"/>
      <c r="N84" s="39"/>
      <c r="O84" s="40"/>
      <c r="R84" s="6"/>
    </row>
    <row r="85" spans="1:18" ht="16.2" thickBot="1" x14ac:dyDescent="0.35">
      <c r="A85" s="6">
        <v>55</v>
      </c>
      <c r="B85" s="36">
        <v>81</v>
      </c>
      <c r="D85" s="36">
        <f t="shared" si="11"/>
        <v>84.393050000000002</v>
      </c>
      <c r="E85" s="36">
        <f t="shared" si="12"/>
        <v>83.393050000000002</v>
      </c>
      <c r="F85" s="28">
        <f t="shared" si="9"/>
        <v>3.9689105822577515</v>
      </c>
      <c r="G85">
        <v>5</v>
      </c>
      <c r="H85">
        <f t="shared" si="10"/>
        <v>324</v>
      </c>
      <c r="I85" s="7">
        <f t="shared" si="13"/>
        <v>0.91666666666666663</v>
      </c>
      <c r="M85" s="43"/>
      <c r="N85" s="39"/>
      <c r="O85" s="40"/>
      <c r="R85" s="6"/>
    </row>
    <row r="86" spans="1:18" x14ac:dyDescent="0.3">
      <c r="A86" s="6">
        <v>55</v>
      </c>
      <c r="B86" s="36">
        <v>81</v>
      </c>
      <c r="D86" s="36">
        <f t="shared" si="11"/>
        <v>84.393050000000002</v>
      </c>
      <c r="E86" s="36">
        <f t="shared" si="12"/>
        <v>83.393050000000002</v>
      </c>
      <c r="F86" s="28">
        <f t="shared" si="9"/>
        <v>3.9689105822577515</v>
      </c>
      <c r="G86">
        <v>5</v>
      </c>
      <c r="H86">
        <f t="shared" si="10"/>
        <v>329</v>
      </c>
      <c r="I86" s="7">
        <f t="shared" si="13"/>
        <v>0.91666666666666663</v>
      </c>
      <c r="R86" s="6"/>
    </row>
    <row r="87" spans="1:18" x14ac:dyDescent="0.3">
      <c r="A87" s="6">
        <v>55</v>
      </c>
      <c r="B87" s="36">
        <v>81</v>
      </c>
      <c r="D87" s="36">
        <f t="shared" si="11"/>
        <v>84.393050000000002</v>
      </c>
      <c r="E87" s="36">
        <f t="shared" si="12"/>
        <v>83.393050000000002</v>
      </c>
      <c r="F87" s="28">
        <f t="shared" si="9"/>
        <v>3.9689105822577515</v>
      </c>
      <c r="G87">
        <v>5</v>
      </c>
      <c r="H87">
        <f>H86+G87</f>
        <v>334</v>
      </c>
      <c r="I87" s="7">
        <f t="shared" si="13"/>
        <v>0.91666666666666663</v>
      </c>
      <c r="R87" s="6"/>
    </row>
    <row r="88" spans="1:18" x14ac:dyDescent="0.3">
      <c r="F88" s="4"/>
      <c r="I88" s="7"/>
      <c r="R88" s="6"/>
    </row>
    <row r="89" spans="1:18" x14ac:dyDescent="0.3">
      <c r="R89" s="6"/>
    </row>
    <row r="90" spans="1:18" x14ac:dyDescent="0.3">
      <c r="R90" s="6"/>
    </row>
    <row r="91" spans="1:18" x14ac:dyDescent="0.3">
      <c r="N91" t="s">
        <v>173</v>
      </c>
    </row>
    <row r="92" spans="1:18" x14ac:dyDescent="0.3">
      <c r="K92" s="2"/>
      <c r="L92" s="2"/>
      <c r="M92" s="2" t="s">
        <v>170</v>
      </c>
      <c r="N92" s="2" t="s">
        <v>171</v>
      </c>
      <c r="O92" s="2" t="s">
        <v>172</v>
      </c>
    </row>
    <row r="93" spans="1:18" x14ac:dyDescent="0.3">
      <c r="C93" s="2" t="s">
        <v>21</v>
      </c>
      <c r="D93" s="2" t="s">
        <v>109</v>
      </c>
      <c r="E93" s="2" t="s">
        <v>1</v>
      </c>
      <c r="G93" s="2" t="s">
        <v>110</v>
      </c>
      <c r="M93">
        <v>51.344900000000003</v>
      </c>
      <c r="N93" s="2">
        <v>55.307099999999998</v>
      </c>
      <c r="O93">
        <v>54.442900000000002</v>
      </c>
    </row>
    <row r="94" spans="1:18" x14ac:dyDescent="0.3">
      <c r="C94">
        <v>51.344900000000003</v>
      </c>
      <c r="D94">
        <v>55.307099999999998</v>
      </c>
      <c r="E94" s="7">
        <f>(D94-C94)</f>
        <v>3.9621999999999957</v>
      </c>
      <c r="G94" s="6">
        <f>C97-E94</f>
        <v>20.168372857278545</v>
      </c>
    </row>
    <row r="95" spans="1:18" x14ac:dyDescent="0.3">
      <c r="K95" s="2"/>
      <c r="L95" s="2"/>
    </row>
    <row r="96" spans="1:18" x14ac:dyDescent="0.3">
      <c r="C96" s="2" t="s">
        <v>2</v>
      </c>
      <c r="D96" s="2" t="s">
        <v>3</v>
      </c>
      <c r="E96" t="s">
        <v>235</v>
      </c>
    </row>
    <row r="97" spans="1:16" x14ac:dyDescent="0.3">
      <c r="C97" s="6">
        <v>24.130572857278541</v>
      </c>
      <c r="D97" s="6">
        <f>E94/C97*100</f>
        <v>16.419833973418793</v>
      </c>
      <c r="G97" s="2" t="s">
        <v>138</v>
      </c>
    </row>
    <row r="98" spans="1:16" x14ac:dyDescent="0.3">
      <c r="G98" s="14">
        <v>4.4196109411019897</v>
      </c>
      <c r="P98" s="2"/>
    </row>
    <row r="100" spans="1:16" x14ac:dyDescent="0.3">
      <c r="K100" s="2"/>
      <c r="L100" s="2"/>
      <c r="M100" s="2"/>
      <c r="N100" s="2"/>
    </row>
    <row r="101" spans="1:16" x14ac:dyDescent="0.3">
      <c r="A101" s="2" t="s">
        <v>125</v>
      </c>
      <c r="B101" s="2" t="s">
        <v>20</v>
      </c>
      <c r="C101" s="2" t="s">
        <v>109</v>
      </c>
      <c r="D101" s="2" t="s">
        <v>111</v>
      </c>
      <c r="E101" s="2" t="s">
        <v>112</v>
      </c>
      <c r="F101" s="2" t="s">
        <v>113</v>
      </c>
      <c r="J101" s="2"/>
      <c r="M101" t="s">
        <v>264</v>
      </c>
    </row>
    <row r="102" spans="1:16" x14ac:dyDescent="0.3">
      <c r="A102">
        <v>55.777700000000003</v>
      </c>
      <c r="B102">
        <v>0.96530000000000005</v>
      </c>
      <c r="C102">
        <f>A102-B102</f>
        <v>54.812400000000004</v>
      </c>
      <c r="D102">
        <f>0.684</f>
        <v>0.68400000000000005</v>
      </c>
      <c r="E102" s="6">
        <f>(C102-C94-D102*G98)/(1-D102)</f>
        <v>1.4066016338172158</v>
      </c>
      <c r="F102" s="56">
        <f>E102/G98*100</f>
        <v>31.82636780844091</v>
      </c>
      <c r="G102" t="s">
        <v>156</v>
      </c>
      <c r="M102" s="36">
        <f>(60.7-32.8)/32.8*100</f>
        <v>85.060975609756113</v>
      </c>
    </row>
    <row r="104" spans="1:16" x14ac:dyDescent="0.3">
      <c r="A104" t="s">
        <v>125</v>
      </c>
      <c r="B104" t="s">
        <v>20</v>
      </c>
      <c r="C104" t="s">
        <v>109</v>
      </c>
      <c r="D104" t="s">
        <v>111</v>
      </c>
      <c r="E104" t="s">
        <v>112</v>
      </c>
      <c r="F104" t="s">
        <v>113</v>
      </c>
    </row>
    <row r="105" spans="1:16" x14ac:dyDescent="0.3">
      <c r="A105">
        <v>55.474200000000003</v>
      </c>
      <c r="B105">
        <v>0.64170000000000005</v>
      </c>
      <c r="C105">
        <f>A105-B105</f>
        <v>54.832500000000003</v>
      </c>
      <c r="D105">
        <v>0.68400000000000005</v>
      </c>
      <c r="E105" s="6">
        <f>(C105-C94-D105*G98)/(1-D105)</f>
        <v>1.4702092287539226</v>
      </c>
      <c r="F105" s="56">
        <f>E105/G98*100</f>
        <v>33.265580349643606</v>
      </c>
      <c r="G105" t="s">
        <v>160</v>
      </c>
    </row>
    <row r="106" spans="1:16" x14ac:dyDescent="0.3">
      <c r="K106" s="2" t="s">
        <v>189</v>
      </c>
    </row>
    <row r="107" spans="1:16" x14ac:dyDescent="0.3">
      <c r="A107" t="s">
        <v>125</v>
      </c>
      <c r="B107" t="s">
        <v>20</v>
      </c>
      <c r="C107" t="s">
        <v>109</v>
      </c>
      <c r="D107" t="s">
        <v>111</v>
      </c>
      <c r="E107" t="s">
        <v>112</v>
      </c>
      <c r="F107" t="s">
        <v>113</v>
      </c>
      <c r="H107" s="2" t="s">
        <v>113</v>
      </c>
      <c r="I107" s="2" t="s">
        <v>184</v>
      </c>
      <c r="J107" s="2" t="s">
        <v>185</v>
      </c>
      <c r="K107" s="2" t="s">
        <v>180</v>
      </c>
      <c r="L107" s="2" t="s">
        <v>186</v>
      </c>
      <c r="M107" s="2" t="s">
        <v>187</v>
      </c>
      <c r="N107" s="2" t="s">
        <v>188</v>
      </c>
    </row>
    <row r="108" spans="1:16" x14ac:dyDescent="0.3">
      <c r="A108">
        <v>55.539900000000003</v>
      </c>
      <c r="B108">
        <v>0.64170000000000005</v>
      </c>
      <c r="C108">
        <f>A108-B108</f>
        <v>54.898200000000003</v>
      </c>
      <c r="D108">
        <v>0.68400000000000005</v>
      </c>
      <c r="E108" s="6">
        <f>(C108-C94-D108*G98)/(1-D108)</f>
        <v>1.6781206211589847</v>
      </c>
      <c r="F108" s="56">
        <f>E108/G98*100</f>
        <v>37.969872088798859</v>
      </c>
      <c r="G108" t="s">
        <v>160</v>
      </c>
      <c r="H108" s="63">
        <f>(F102+F105+F108+F111+F114+F120)/6</f>
        <v>32.835255332415642</v>
      </c>
      <c r="I108" s="6">
        <f>(H108-F102)^2</f>
        <v>1.0178540360318649</v>
      </c>
      <c r="J108" s="36">
        <f>SQRT(SUM(I108:I113)/(6-1))</f>
        <v>3.8650255199407182</v>
      </c>
      <c r="K108">
        <v>4.032</v>
      </c>
      <c r="L108" s="63">
        <f>K108*J108/SQRT(6)</f>
        <v>6.362052726415687</v>
      </c>
      <c r="M108" s="36">
        <f>H108+L108</f>
        <v>39.197308058831325</v>
      </c>
      <c r="N108" s="36">
        <f>H108-L108</f>
        <v>26.473202605999955</v>
      </c>
    </row>
    <row r="109" spans="1:16" x14ac:dyDescent="0.3">
      <c r="I109" s="6">
        <f>(H108-F105)^2</f>
        <v>0.18517962045224809</v>
      </c>
    </row>
    <row r="110" spans="1:16" x14ac:dyDescent="0.3">
      <c r="A110" t="s">
        <v>125</v>
      </c>
      <c r="B110" t="s">
        <v>20</v>
      </c>
      <c r="C110" t="s">
        <v>109</v>
      </c>
      <c r="D110" t="s">
        <v>111</v>
      </c>
      <c r="E110" t="s">
        <v>112</v>
      </c>
      <c r="F110" t="s">
        <v>113</v>
      </c>
      <c r="I110" s="36">
        <f>(H108-F108)^2</f>
        <v>26.364289234931306</v>
      </c>
    </row>
    <row r="111" spans="1:16" x14ac:dyDescent="0.3">
      <c r="A111">
        <v>55.433199999999999</v>
      </c>
      <c r="B111">
        <v>0.64170000000000005</v>
      </c>
      <c r="C111">
        <f>A111-B111</f>
        <v>54.791499999999999</v>
      </c>
      <c r="D111">
        <v>0.68400000000000005</v>
      </c>
      <c r="E111" s="6">
        <f>(C111-C94-D111*G98)/(1-D111)</f>
        <v>1.3404623933108721</v>
      </c>
      <c r="F111" s="56">
        <f>E111/G98*100</f>
        <v>30.329873176045673</v>
      </c>
      <c r="G111" t="s">
        <v>160</v>
      </c>
      <c r="I111" s="36">
        <f>(F111-H108)^2</f>
        <v>6.2769397494570338</v>
      </c>
    </row>
    <row r="112" spans="1:16" x14ac:dyDescent="0.3">
      <c r="I112" s="36">
        <f>(H108-F114)^2</f>
        <v>11.398029021625936</v>
      </c>
    </row>
    <row r="113" spans="1:13" x14ac:dyDescent="0.3">
      <c r="A113" t="s">
        <v>125</v>
      </c>
      <c r="B113" t="s">
        <v>20</v>
      </c>
      <c r="C113" t="s">
        <v>109</v>
      </c>
      <c r="D113" t="s">
        <v>111</v>
      </c>
      <c r="E113" t="s">
        <v>112</v>
      </c>
      <c r="F113" t="s">
        <v>113</v>
      </c>
      <c r="I113" s="36">
        <f>(H108-F120)^2</f>
        <v>29.449819686466704</v>
      </c>
    </row>
    <row r="114" spans="1:13" x14ac:dyDescent="0.3">
      <c r="A114">
        <v>55.463000000000001</v>
      </c>
      <c r="B114">
        <v>0.64170000000000005</v>
      </c>
      <c r="C114">
        <f>A114-B114</f>
        <v>54.821300000000001</v>
      </c>
      <c r="D114">
        <v>0.68400000000000005</v>
      </c>
      <c r="E114" s="6">
        <f>(C114-C94-D114*G98)/(1-D114)</f>
        <v>1.4347661907792317</v>
      </c>
      <c r="F114" s="56">
        <f>E114/E94*100</f>
        <v>36.211352046318538</v>
      </c>
      <c r="G114" t="s">
        <v>160</v>
      </c>
    </row>
    <row r="116" spans="1:13" x14ac:dyDescent="0.3">
      <c r="A116" t="s">
        <v>125</v>
      </c>
      <c r="B116" t="s">
        <v>20</v>
      </c>
      <c r="C116" t="s">
        <v>109</v>
      </c>
      <c r="D116" t="s">
        <v>111</v>
      </c>
      <c r="E116" t="s">
        <v>112</v>
      </c>
      <c r="F116" t="s">
        <v>113</v>
      </c>
      <c r="I116" s="2"/>
      <c r="J116" s="2"/>
      <c r="K116" s="2"/>
      <c r="L116" s="2"/>
      <c r="M116" s="2"/>
    </row>
    <row r="117" spans="1:13" x14ac:dyDescent="0.3">
      <c r="A117">
        <v>55.286700000000003</v>
      </c>
      <c r="B117">
        <v>0.64170000000000005</v>
      </c>
      <c r="C117">
        <f>A117-B117</f>
        <v>54.645000000000003</v>
      </c>
      <c r="D117">
        <v>0.68400000000000005</v>
      </c>
      <c r="E117" s="6">
        <f>(C117-$C$94-D117*$G$98)/(1-D117)</f>
        <v>0.87685479837417568</v>
      </c>
      <c r="F117" t="s">
        <v>140</v>
      </c>
      <c r="G117" t="s">
        <v>222</v>
      </c>
      <c r="I117" s="2" t="s">
        <v>20</v>
      </c>
      <c r="J117" s="2" t="s">
        <v>109</v>
      </c>
      <c r="K117" s="2" t="s">
        <v>113</v>
      </c>
      <c r="L117" s="2" t="s">
        <v>216</v>
      </c>
      <c r="M117" s="2"/>
    </row>
    <row r="118" spans="1:13" x14ac:dyDescent="0.3">
      <c r="I118">
        <v>0.96530000000000005</v>
      </c>
      <c r="J118">
        <v>54.812400000000004</v>
      </c>
      <c r="K118" s="6">
        <v>35.596835607922387</v>
      </c>
      <c r="L118" t="s">
        <v>217</v>
      </c>
    </row>
    <row r="119" spans="1:13" x14ac:dyDescent="0.3">
      <c r="A119" t="s">
        <v>125</v>
      </c>
      <c r="B119" t="s">
        <v>20</v>
      </c>
      <c r="C119" t="s">
        <v>109</v>
      </c>
      <c r="D119" t="s">
        <v>111</v>
      </c>
      <c r="E119" t="s">
        <v>112</v>
      </c>
      <c r="F119" t="s">
        <v>113</v>
      </c>
      <c r="I119">
        <v>0.64170000000000005</v>
      </c>
      <c r="J119">
        <v>54.832500000000003</v>
      </c>
      <c r="K119" s="6">
        <v>37.057904357566208</v>
      </c>
      <c r="L119" t="s">
        <v>218</v>
      </c>
    </row>
    <row r="120" spans="1:13" x14ac:dyDescent="0.3">
      <c r="A120">
        <v>55.384</v>
      </c>
      <c r="B120">
        <v>0.63329999999999997</v>
      </c>
      <c r="C120">
        <f>A120-B120</f>
        <v>54.750700000000002</v>
      </c>
      <c r="D120">
        <v>0.68400000000000005</v>
      </c>
      <c r="E120" s="6">
        <f>(C120-$C$94-D120*G98)/(1-D120)</f>
        <v>1.2113484692602479</v>
      </c>
      <c r="F120" s="56">
        <f>E120/$G$98*100</f>
        <v>27.40848652524625</v>
      </c>
      <c r="G120" t="s">
        <v>160</v>
      </c>
      <c r="I120">
        <v>0.64170000000000005</v>
      </c>
      <c r="J120">
        <v>54.898200000000003</v>
      </c>
      <c r="K120" s="6">
        <v>41.833636539237943</v>
      </c>
      <c r="L120" t="s">
        <v>218</v>
      </c>
    </row>
    <row r="121" spans="1:13" x14ac:dyDescent="0.3">
      <c r="I121">
        <v>0.64170000000000005</v>
      </c>
      <c r="J121">
        <v>54.791499999999999</v>
      </c>
      <c r="K121" s="6">
        <v>34.077614868242598</v>
      </c>
      <c r="L121" t="s">
        <v>218</v>
      </c>
    </row>
    <row r="122" spans="1:13" x14ac:dyDescent="0.3">
      <c r="I122">
        <v>0.64170000000000005</v>
      </c>
      <c r="J122">
        <v>54.821300000000001</v>
      </c>
      <c r="K122" s="6">
        <v>39.823128293115595</v>
      </c>
      <c r="L122" t="s">
        <v>218</v>
      </c>
    </row>
    <row r="123" spans="1:13" x14ac:dyDescent="0.3">
      <c r="I123">
        <v>0.63329999999999997</v>
      </c>
      <c r="J123">
        <v>54.750700000000002</v>
      </c>
      <c r="K123" s="6">
        <v>31.111863376428378</v>
      </c>
      <c r="L123" t="s">
        <v>218</v>
      </c>
    </row>
    <row r="125" spans="1:13" x14ac:dyDescent="0.3">
      <c r="C125" s="6"/>
      <c r="D125" s="6"/>
      <c r="E125" s="6"/>
      <c r="F125" s="6"/>
      <c r="L125" s="6"/>
    </row>
    <row r="126" spans="1:13" x14ac:dyDescent="0.3">
      <c r="C126" s="6"/>
      <c r="D126" s="6"/>
      <c r="E126" s="6"/>
      <c r="F126" s="6"/>
      <c r="L126" s="6"/>
    </row>
    <row r="127" spans="1:13" x14ac:dyDescent="0.3">
      <c r="C127" s="6"/>
      <c r="D127" s="6"/>
      <c r="E127" s="6"/>
      <c r="F127" s="6"/>
      <c r="L127" s="6"/>
    </row>
    <row r="128" spans="1:13" x14ac:dyDescent="0.3">
      <c r="C128" s="6"/>
      <c r="D128" s="6"/>
      <c r="E128" s="6"/>
      <c r="F128" s="6"/>
      <c r="L128" s="6"/>
    </row>
    <row r="129" spans="3:12" x14ac:dyDescent="0.3">
      <c r="C129" s="6"/>
      <c r="D129" s="6"/>
      <c r="E129" s="6"/>
      <c r="F129" s="6"/>
      <c r="L129" s="6"/>
    </row>
    <row r="130" spans="3:12" x14ac:dyDescent="0.3">
      <c r="C130" s="6"/>
      <c r="D130" s="6"/>
      <c r="E130" s="6"/>
      <c r="F130" s="6"/>
      <c r="L130" s="6"/>
    </row>
    <row r="131" spans="3:12" x14ac:dyDescent="0.3">
      <c r="C131" s="6"/>
      <c r="D131" s="6"/>
      <c r="E131" s="6"/>
      <c r="F131" s="6"/>
      <c r="L131" s="6"/>
    </row>
    <row r="132" spans="3:12" x14ac:dyDescent="0.3">
      <c r="C132" s="6"/>
      <c r="D132" s="6"/>
      <c r="E132" s="6"/>
      <c r="F132" s="6"/>
      <c r="L132" s="6"/>
    </row>
    <row r="133" spans="3:12" x14ac:dyDescent="0.3">
      <c r="C133" s="6"/>
      <c r="D133" s="6"/>
      <c r="E133" s="6"/>
      <c r="F133" s="6"/>
      <c r="L133" s="6"/>
    </row>
    <row r="134" spans="3:12" x14ac:dyDescent="0.3">
      <c r="C134" s="6"/>
      <c r="D134" s="6"/>
      <c r="E134" s="6"/>
      <c r="F134" s="6"/>
      <c r="L134" s="6"/>
    </row>
    <row r="135" spans="3:12" x14ac:dyDescent="0.3">
      <c r="C135" s="6"/>
      <c r="D135" s="6"/>
      <c r="E135" s="6"/>
      <c r="F135" s="6"/>
      <c r="L135" s="6"/>
    </row>
    <row r="136" spans="3:12" x14ac:dyDescent="0.3">
      <c r="C136" s="6"/>
      <c r="D136" s="6"/>
      <c r="E136" s="6"/>
      <c r="F136" s="6"/>
      <c r="L136" s="6"/>
    </row>
    <row r="137" spans="3:12" x14ac:dyDescent="0.3">
      <c r="C137" s="6"/>
      <c r="D137" s="6"/>
      <c r="E137" s="6"/>
      <c r="F137" s="6"/>
      <c r="L137" s="6"/>
    </row>
    <row r="138" spans="3:12" x14ac:dyDescent="0.3">
      <c r="C138" s="6"/>
      <c r="D138" s="6"/>
      <c r="E138" s="6"/>
      <c r="F138" s="6"/>
      <c r="L138" s="6"/>
    </row>
    <row r="139" spans="3:12" x14ac:dyDescent="0.3">
      <c r="C139" s="6"/>
      <c r="D139" s="6"/>
      <c r="E139" s="6"/>
      <c r="F139" s="6"/>
      <c r="L139" s="6"/>
    </row>
    <row r="140" spans="3:12" x14ac:dyDescent="0.3">
      <c r="C140" s="6"/>
      <c r="D140" s="6"/>
      <c r="E140" s="6"/>
      <c r="F140" s="6"/>
      <c r="L140" s="6"/>
    </row>
    <row r="141" spans="3:12" x14ac:dyDescent="0.3">
      <c r="C141" s="6"/>
      <c r="D141" s="6"/>
      <c r="E141" s="6"/>
      <c r="F141" s="6"/>
      <c r="L141" s="6"/>
    </row>
    <row r="142" spans="3:12" x14ac:dyDescent="0.3">
      <c r="C142" s="6"/>
      <c r="D142" s="6"/>
      <c r="E142" s="6"/>
      <c r="F142" s="6"/>
      <c r="L142" s="6"/>
    </row>
    <row r="143" spans="3:12" x14ac:dyDescent="0.3">
      <c r="C143" s="6"/>
      <c r="D143" s="6"/>
      <c r="E143" s="6"/>
      <c r="F143" s="6"/>
      <c r="L143" s="6"/>
    </row>
    <row r="144" spans="3:12" x14ac:dyDescent="0.3">
      <c r="C144" s="6"/>
      <c r="D144" s="6"/>
      <c r="E144" s="6"/>
      <c r="F144" s="6"/>
      <c r="L144" s="6"/>
    </row>
    <row r="145" spans="3:12" x14ac:dyDescent="0.3">
      <c r="C145" s="6"/>
      <c r="D145" s="6"/>
      <c r="E145" s="6"/>
      <c r="F145" s="6"/>
      <c r="L145" s="6"/>
    </row>
    <row r="146" spans="3:12" x14ac:dyDescent="0.3">
      <c r="C146" s="6"/>
      <c r="D146" s="6"/>
      <c r="E146" s="6"/>
      <c r="F146" s="6"/>
      <c r="L146" s="6"/>
    </row>
    <row r="147" spans="3:12" x14ac:dyDescent="0.3">
      <c r="C147" s="6"/>
      <c r="D147" s="6"/>
      <c r="E147" s="6"/>
      <c r="F147" s="6"/>
      <c r="L147" s="6"/>
    </row>
    <row r="148" spans="3:12" x14ac:dyDescent="0.3">
      <c r="C148" s="6"/>
      <c r="D148" s="6"/>
      <c r="E148" s="6"/>
      <c r="F148" s="6"/>
      <c r="L148" s="6"/>
    </row>
    <row r="149" spans="3:12" x14ac:dyDescent="0.3">
      <c r="C149" s="6"/>
      <c r="D149" s="6"/>
      <c r="E149" s="6"/>
      <c r="F149" s="6"/>
      <c r="L149" s="6"/>
    </row>
    <row r="150" spans="3:12" x14ac:dyDescent="0.3">
      <c r="C150" s="6"/>
      <c r="D150" s="6"/>
      <c r="E150" s="6"/>
      <c r="F150" s="6"/>
      <c r="L150" s="6"/>
    </row>
    <row r="151" spans="3:12" x14ac:dyDescent="0.3">
      <c r="C151" s="6"/>
      <c r="D151" s="6"/>
      <c r="E151" s="6"/>
      <c r="F151" s="6"/>
      <c r="L151" s="6"/>
    </row>
    <row r="152" spans="3:12" x14ac:dyDescent="0.3">
      <c r="C152" s="6"/>
      <c r="D152" s="6"/>
      <c r="E152" s="6"/>
      <c r="F152" s="6"/>
      <c r="L152" s="6"/>
    </row>
    <row r="153" spans="3:12" x14ac:dyDescent="0.3">
      <c r="C153" s="6"/>
      <c r="D153" s="6"/>
      <c r="E153" s="6"/>
      <c r="F153" s="6"/>
      <c r="L153" s="6"/>
    </row>
    <row r="154" spans="3:12" x14ac:dyDescent="0.3">
      <c r="C154" s="6"/>
      <c r="D154" s="6"/>
      <c r="E154" s="6"/>
      <c r="F154" s="6"/>
      <c r="L154" s="6"/>
    </row>
    <row r="155" spans="3:12" x14ac:dyDescent="0.3">
      <c r="C155" s="6"/>
      <c r="D155" s="6"/>
      <c r="E155" s="6"/>
      <c r="F155" s="6"/>
      <c r="L155" s="6"/>
    </row>
    <row r="156" spans="3:12" x14ac:dyDescent="0.3">
      <c r="C156" s="6"/>
      <c r="D156" s="6"/>
      <c r="E156" s="6"/>
      <c r="F156" s="6"/>
      <c r="L156" s="6"/>
    </row>
    <row r="157" spans="3:12" x14ac:dyDescent="0.3">
      <c r="C157" s="6"/>
      <c r="D157" s="6"/>
      <c r="E157" s="6"/>
      <c r="F157" s="6"/>
      <c r="L157" s="6"/>
    </row>
    <row r="158" spans="3:12" x14ac:dyDescent="0.3">
      <c r="C158" s="6"/>
      <c r="D158" s="6"/>
      <c r="E158" s="6"/>
      <c r="F158" s="6"/>
      <c r="L158" s="6"/>
    </row>
    <row r="159" spans="3:12" x14ac:dyDescent="0.3">
      <c r="C159" s="6"/>
      <c r="D159" s="6"/>
      <c r="E159" s="6"/>
      <c r="F159" s="6"/>
      <c r="L159" s="6"/>
    </row>
    <row r="160" spans="3:12" x14ac:dyDescent="0.3">
      <c r="C160" s="6"/>
      <c r="D160" s="6"/>
      <c r="E160" s="6"/>
      <c r="F160" s="6"/>
      <c r="L160" s="6"/>
    </row>
    <row r="161" spans="3:12" x14ac:dyDescent="0.3">
      <c r="C161" s="6"/>
      <c r="D161" s="6"/>
      <c r="E161" s="6"/>
      <c r="F161" s="6"/>
      <c r="L161" s="6"/>
    </row>
    <row r="162" spans="3:12" x14ac:dyDescent="0.3">
      <c r="C162" s="6"/>
      <c r="D162" s="6"/>
      <c r="E162" s="6"/>
      <c r="F162" s="6"/>
      <c r="L162" s="6"/>
    </row>
    <row r="163" spans="3:12" x14ac:dyDescent="0.3">
      <c r="C163" s="6"/>
      <c r="D163" s="6"/>
      <c r="E163" s="6"/>
      <c r="F163" s="6"/>
      <c r="L163" s="6"/>
    </row>
    <row r="164" spans="3:12" x14ac:dyDescent="0.3">
      <c r="C164" s="6"/>
      <c r="D164" s="6"/>
      <c r="E164" s="6"/>
      <c r="F164" s="6"/>
      <c r="L164" s="6"/>
    </row>
    <row r="165" spans="3:12" x14ac:dyDescent="0.3">
      <c r="C165" s="6"/>
      <c r="D165" s="6"/>
      <c r="E165" s="6"/>
      <c r="F165" s="6"/>
      <c r="L165" s="6"/>
    </row>
    <row r="166" spans="3:12" x14ac:dyDescent="0.3">
      <c r="C166" s="6"/>
      <c r="D166" s="6"/>
      <c r="E166" s="6"/>
      <c r="F166" s="6"/>
      <c r="L166" s="6"/>
    </row>
    <row r="167" spans="3:12" x14ac:dyDescent="0.3">
      <c r="C167" s="6"/>
      <c r="D167" s="6"/>
      <c r="E167" s="6"/>
      <c r="F167" s="6"/>
      <c r="L167" s="6"/>
    </row>
    <row r="168" spans="3:12" x14ac:dyDescent="0.3">
      <c r="C168" s="6"/>
      <c r="D168" s="6"/>
      <c r="E168" s="6"/>
      <c r="F168" s="6"/>
      <c r="L168" s="6"/>
    </row>
    <row r="169" spans="3:12" x14ac:dyDescent="0.3">
      <c r="C169" s="6"/>
      <c r="D169" s="6"/>
      <c r="E169" s="6"/>
      <c r="F169" s="6"/>
      <c r="L169" s="6"/>
    </row>
    <row r="170" spans="3:12" x14ac:dyDescent="0.3">
      <c r="C170" s="6"/>
      <c r="D170" s="6"/>
      <c r="E170" s="6"/>
      <c r="F170" s="6"/>
      <c r="L170" s="6"/>
    </row>
    <row r="171" spans="3:12" x14ac:dyDescent="0.3">
      <c r="C171" s="6"/>
      <c r="D171" s="6"/>
      <c r="E171" s="6"/>
      <c r="F171" s="6"/>
      <c r="L171" s="6"/>
    </row>
    <row r="172" spans="3:12" x14ac:dyDescent="0.3">
      <c r="C172" s="6"/>
      <c r="D172" s="6"/>
      <c r="E172" s="6"/>
      <c r="F172" s="6"/>
      <c r="L172" s="6"/>
    </row>
    <row r="173" spans="3:12" x14ac:dyDescent="0.3">
      <c r="C173" s="6"/>
      <c r="D173" s="6"/>
      <c r="E173" s="6"/>
      <c r="F173" s="6"/>
      <c r="L173" s="6"/>
    </row>
    <row r="174" spans="3:12" x14ac:dyDescent="0.3">
      <c r="C174" s="6"/>
      <c r="D174" s="6"/>
      <c r="E174" s="6"/>
      <c r="F174" s="6"/>
      <c r="L174" s="6"/>
    </row>
    <row r="175" spans="3:12" x14ac:dyDescent="0.3">
      <c r="C175" s="6"/>
      <c r="D175" s="6"/>
      <c r="E175" s="6"/>
      <c r="F175" s="6"/>
      <c r="L175" s="6"/>
    </row>
    <row r="176" spans="3:12" x14ac:dyDescent="0.3">
      <c r="C176" s="6"/>
      <c r="D176" s="6"/>
      <c r="E176" s="6"/>
      <c r="F176" s="6"/>
      <c r="L176" s="6"/>
    </row>
    <row r="177" spans="3:12" x14ac:dyDescent="0.3">
      <c r="C177" s="6"/>
      <c r="D177" s="6"/>
      <c r="E177" s="6"/>
      <c r="F177" s="6"/>
      <c r="L177" s="6"/>
    </row>
    <row r="178" spans="3:12" x14ac:dyDescent="0.3">
      <c r="C178" s="6"/>
      <c r="D178" s="6"/>
      <c r="E178" s="6"/>
      <c r="F178" s="6"/>
      <c r="L178" s="6"/>
    </row>
    <row r="179" spans="3:12" x14ac:dyDescent="0.3">
      <c r="C179" s="6"/>
      <c r="D179" s="6"/>
      <c r="E179" s="6"/>
      <c r="F179" s="6"/>
      <c r="L179" s="6"/>
    </row>
    <row r="180" spans="3:12" x14ac:dyDescent="0.3">
      <c r="C180" s="6"/>
      <c r="D180" s="6"/>
      <c r="E180" s="6"/>
      <c r="F180" s="6"/>
      <c r="L180" s="6"/>
    </row>
    <row r="181" spans="3:12" x14ac:dyDescent="0.3">
      <c r="C181" s="6"/>
      <c r="D181" s="6"/>
      <c r="E181" s="6"/>
      <c r="F181" s="6"/>
      <c r="L181" s="6"/>
    </row>
    <row r="182" spans="3:12" x14ac:dyDescent="0.3">
      <c r="C182" s="6"/>
      <c r="D182" s="6"/>
      <c r="E182" s="6"/>
      <c r="F182" s="6"/>
      <c r="L182" s="6"/>
    </row>
    <row r="183" spans="3:12" x14ac:dyDescent="0.3">
      <c r="C183" s="6"/>
      <c r="D183" s="6"/>
      <c r="E183" s="6"/>
      <c r="F183" s="6"/>
      <c r="L183" s="6"/>
    </row>
    <row r="184" spans="3:12" x14ac:dyDescent="0.3">
      <c r="C184" s="6"/>
      <c r="D184" s="6"/>
      <c r="E184" s="6"/>
      <c r="F184" s="6"/>
      <c r="L184" s="6"/>
    </row>
    <row r="185" spans="3:12" x14ac:dyDescent="0.3">
      <c r="C185" s="6"/>
      <c r="D185" s="6"/>
      <c r="E185" s="6"/>
      <c r="F185" s="6"/>
      <c r="L185" s="6"/>
    </row>
    <row r="186" spans="3:12" x14ac:dyDescent="0.3">
      <c r="C186" s="6"/>
      <c r="D186" s="6"/>
      <c r="E186" s="6"/>
      <c r="F186" s="6"/>
      <c r="L186" s="6"/>
    </row>
    <row r="187" spans="3:12" x14ac:dyDescent="0.3">
      <c r="C187" s="6"/>
      <c r="D187" s="6"/>
      <c r="E187" s="6"/>
      <c r="F187" s="6"/>
      <c r="L187" s="6"/>
    </row>
    <row r="188" spans="3:12" x14ac:dyDescent="0.3">
      <c r="C188" s="6"/>
      <c r="D188" s="6"/>
      <c r="E188" s="6"/>
      <c r="F188" s="6"/>
      <c r="L188" s="6"/>
    </row>
    <row r="189" spans="3:12" x14ac:dyDescent="0.3">
      <c r="C189" s="6"/>
      <c r="D189" s="6"/>
      <c r="E189" s="6"/>
      <c r="F189" s="6"/>
      <c r="L189" s="6"/>
    </row>
    <row r="190" spans="3:12" x14ac:dyDescent="0.3">
      <c r="C190" s="6"/>
      <c r="D190" s="6"/>
      <c r="E190" s="6"/>
      <c r="F190" s="6"/>
      <c r="L190" s="6"/>
    </row>
    <row r="191" spans="3:12" x14ac:dyDescent="0.3">
      <c r="C191" s="6"/>
      <c r="D191" s="6"/>
      <c r="E191" s="6"/>
      <c r="F191" s="6"/>
      <c r="L191" s="6"/>
    </row>
    <row r="192" spans="3:12" x14ac:dyDescent="0.3">
      <c r="C192" s="6"/>
      <c r="D192" s="6"/>
      <c r="E192" s="6"/>
      <c r="F192" s="6"/>
      <c r="L192" s="6"/>
    </row>
    <row r="193" spans="3:12" x14ac:dyDescent="0.3">
      <c r="C193" s="6"/>
      <c r="D193" s="6"/>
      <c r="E193" s="6"/>
      <c r="F193" s="6"/>
      <c r="L193" s="6"/>
    </row>
    <row r="194" spans="3:12" x14ac:dyDescent="0.3">
      <c r="C194" s="6"/>
      <c r="D194" s="6"/>
      <c r="E194" s="6"/>
      <c r="F194" s="6"/>
      <c r="L194" s="6"/>
    </row>
    <row r="195" spans="3:12" x14ac:dyDescent="0.3">
      <c r="C195" s="6"/>
      <c r="D195" s="6"/>
      <c r="E195" s="6"/>
      <c r="F195" s="6"/>
      <c r="L195" s="6"/>
    </row>
    <row r="196" spans="3:12" x14ac:dyDescent="0.3">
      <c r="C196" s="6"/>
      <c r="D196" s="6"/>
      <c r="E196" s="6"/>
      <c r="F196" s="6"/>
      <c r="L196" s="6"/>
    </row>
    <row r="197" spans="3:12" x14ac:dyDescent="0.3">
      <c r="C197" s="6"/>
      <c r="D197" s="6"/>
      <c r="E197" s="6"/>
      <c r="F197" s="6"/>
      <c r="L197" s="6"/>
    </row>
    <row r="198" spans="3:12" x14ac:dyDescent="0.3">
      <c r="C198" s="6"/>
      <c r="D198" s="6"/>
      <c r="E198" s="6"/>
      <c r="F198" s="6"/>
      <c r="L198" s="6"/>
    </row>
    <row r="199" spans="3:12" x14ac:dyDescent="0.3">
      <c r="C199" s="6"/>
      <c r="D199" s="6"/>
      <c r="E199" s="6"/>
      <c r="F199" s="6"/>
      <c r="L199" s="6"/>
    </row>
    <row r="200" spans="3:12" x14ac:dyDescent="0.3">
      <c r="C200" s="6"/>
      <c r="D200" s="6"/>
      <c r="E200" s="6"/>
      <c r="F200" s="6"/>
      <c r="L200" s="6"/>
    </row>
    <row r="201" spans="3:12" x14ac:dyDescent="0.3">
      <c r="C201" s="6"/>
      <c r="D201" s="6"/>
      <c r="E201" s="6"/>
      <c r="F201" s="6"/>
      <c r="L201" s="6"/>
    </row>
    <row r="202" spans="3:12" x14ac:dyDescent="0.3">
      <c r="C202" s="6"/>
      <c r="D202" s="6"/>
      <c r="E202" s="6"/>
      <c r="F202" s="6"/>
      <c r="L202" s="6"/>
    </row>
    <row r="203" spans="3:12" x14ac:dyDescent="0.3">
      <c r="C203" s="6"/>
      <c r="D203" s="6"/>
      <c r="E203" s="6"/>
      <c r="F203" s="6"/>
      <c r="L203" s="6"/>
    </row>
    <row r="204" spans="3:12" x14ac:dyDescent="0.3">
      <c r="C204" s="6"/>
      <c r="D204" s="6"/>
      <c r="E204" s="6"/>
      <c r="F204" s="6"/>
      <c r="L204" s="6"/>
    </row>
    <row r="205" spans="3:12" x14ac:dyDescent="0.3">
      <c r="C205" s="6"/>
      <c r="D205" s="6"/>
      <c r="E205" s="6"/>
      <c r="F205" s="6"/>
      <c r="L205" s="6"/>
    </row>
    <row r="206" spans="3:12" x14ac:dyDescent="0.3">
      <c r="C206" s="6"/>
      <c r="D206" s="6"/>
      <c r="E206" s="6"/>
      <c r="F206" s="6"/>
      <c r="L206" s="6"/>
    </row>
    <row r="207" spans="3:12" x14ac:dyDescent="0.3">
      <c r="C207" s="6"/>
      <c r="D207" s="6"/>
      <c r="E207" s="6"/>
      <c r="F207" s="6"/>
      <c r="L207" s="6"/>
    </row>
    <row r="208" spans="3:12" x14ac:dyDescent="0.3">
      <c r="C208" s="6"/>
      <c r="D208" s="6"/>
      <c r="E208" s="6"/>
      <c r="F208" s="6"/>
      <c r="L208" s="6"/>
    </row>
    <row r="209" spans="3:12" x14ac:dyDescent="0.3">
      <c r="C209" s="6"/>
      <c r="D209" s="6"/>
      <c r="E209" s="6"/>
      <c r="F209" s="6"/>
      <c r="L209" s="6"/>
    </row>
    <row r="210" spans="3:12" x14ac:dyDescent="0.3">
      <c r="C210" s="6"/>
      <c r="D210" s="6"/>
      <c r="E210" s="6"/>
      <c r="F210" s="6"/>
      <c r="L210" s="6"/>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E82"/>
  <sheetViews>
    <sheetView topLeftCell="F43" zoomScale="90" zoomScaleNormal="90" workbookViewId="0">
      <selection activeCell="T53" sqref="T53"/>
    </sheetView>
  </sheetViews>
  <sheetFormatPr defaultRowHeight="14.4" x14ac:dyDescent="0.3"/>
  <cols>
    <col min="1" max="1" width="14.44140625" customWidth="1"/>
    <col min="2" max="2" width="12.33203125" customWidth="1"/>
    <col min="3" max="3" width="13.6640625" customWidth="1"/>
    <col min="4" max="4" width="14.5546875" customWidth="1"/>
    <col min="5" max="5" width="11.5546875" bestFit="1" customWidth="1"/>
    <col min="9" max="9" width="10.33203125" customWidth="1"/>
    <col min="11" max="11" width="13.33203125" customWidth="1"/>
    <col min="12" max="12" width="11.5546875" customWidth="1"/>
    <col min="13" max="13" width="17.5546875" customWidth="1"/>
    <col min="14" max="14" width="10" customWidth="1"/>
    <col min="15" max="15" width="10.33203125" customWidth="1"/>
    <col min="16" max="16" width="16" customWidth="1"/>
    <col min="17" max="17" width="14" customWidth="1"/>
    <col min="23" max="23" width="13.5546875" customWidth="1"/>
    <col min="29" max="29" width="13.6640625" customWidth="1"/>
    <col min="31" max="31" width="16.88671875" customWidth="1"/>
  </cols>
  <sheetData>
    <row r="2" spans="1:15" x14ac:dyDescent="0.3">
      <c r="A2" s="2" t="s">
        <v>114</v>
      </c>
      <c r="B2" s="2" t="s">
        <v>115</v>
      </c>
      <c r="C2" s="2" t="s">
        <v>164</v>
      </c>
      <c r="D2" s="2" t="s">
        <v>16</v>
      </c>
      <c r="E2" s="2" t="s">
        <v>7</v>
      </c>
      <c r="F2" s="2" t="s">
        <v>11</v>
      </c>
      <c r="G2" s="2" t="s">
        <v>18</v>
      </c>
      <c r="H2" s="2" t="s">
        <v>19</v>
      </c>
      <c r="I2" s="2" t="s">
        <v>9</v>
      </c>
      <c r="J2" s="8" t="s">
        <v>13</v>
      </c>
      <c r="K2" s="5" t="s">
        <v>116</v>
      </c>
      <c r="L2" s="5" t="s">
        <v>117</v>
      </c>
      <c r="M2" s="5" t="s">
        <v>118</v>
      </c>
    </row>
    <row r="3" spans="1:15" x14ac:dyDescent="0.3">
      <c r="A3" s="58">
        <v>1</v>
      </c>
      <c r="B3" s="58">
        <v>8</v>
      </c>
      <c r="C3" s="23">
        <v>54</v>
      </c>
      <c r="D3" s="3">
        <v>-4</v>
      </c>
      <c r="E3" s="58">
        <f t="shared" ref="E3:E47" si="0">$O$4*(C3-$D$3)+1</f>
        <v>58.240200000000002</v>
      </c>
      <c r="F3" s="58">
        <f t="shared" ref="F3:F47" si="1">E3-1</f>
        <v>57.240200000000002</v>
      </c>
      <c r="G3" s="22">
        <f>(1000*K3*1*4.751)/(PI()*2.543^2/4*F3)</f>
        <v>0.27236420826155255</v>
      </c>
      <c r="H3" s="22">
        <f>(1000*L3*0.386*4.751)/(PI()*2.543^2/4*F3)</f>
        <v>0.84106067511167415</v>
      </c>
      <c r="I3" s="3">
        <v>12.5</v>
      </c>
      <c r="J3" s="3">
        <v>0</v>
      </c>
      <c r="K3" s="57">
        <f>A3/60</f>
        <v>1.6666666666666666E-2</v>
      </c>
      <c r="L3" s="57">
        <f>B3/60</f>
        <v>0.13333333333333333</v>
      </c>
      <c r="M3" s="3">
        <v>150</v>
      </c>
      <c r="N3" s="3"/>
      <c r="O3" s="11" t="s">
        <v>15</v>
      </c>
    </row>
    <row r="4" spans="1:15" x14ac:dyDescent="0.3">
      <c r="A4" s="58">
        <v>1</v>
      </c>
      <c r="B4" s="58">
        <v>8</v>
      </c>
      <c r="C4" s="23">
        <v>57</v>
      </c>
      <c r="D4" s="3"/>
      <c r="E4" s="58">
        <f t="shared" si="0"/>
        <v>61.200899999999997</v>
      </c>
      <c r="F4" s="58">
        <f t="shared" si="1"/>
        <v>60.200899999999997</v>
      </c>
      <c r="G4" s="22">
        <f>(1000*K4*1*4.751)/(PI()*2.543^2/4*F4)</f>
        <v>0.25896924719950898</v>
      </c>
      <c r="H4" s="22">
        <f t="shared" ref="H4:H47" si="2">(1000*L4*0.386*4.751)/(PI()*2.543^2/4*F4)</f>
        <v>0.7996970353520837</v>
      </c>
      <c r="I4" s="22">
        <v>12.56</v>
      </c>
      <c r="J4" s="3">
        <v>6</v>
      </c>
      <c r="K4" s="57">
        <f t="shared" ref="K4:L19" si="3">A4/60</f>
        <v>1.6666666666666666E-2</v>
      </c>
      <c r="L4" s="57">
        <f t="shared" si="3"/>
        <v>0.13333333333333333</v>
      </c>
      <c r="M4" s="3">
        <v>150</v>
      </c>
      <c r="N4" s="3"/>
      <c r="O4" s="3">
        <v>0.9869</v>
      </c>
    </row>
    <row r="5" spans="1:15" x14ac:dyDescent="0.3">
      <c r="A5" s="58">
        <v>1</v>
      </c>
      <c r="B5" s="58">
        <v>8</v>
      </c>
      <c r="C5" s="23">
        <v>61</v>
      </c>
      <c r="D5" s="3"/>
      <c r="E5" s="58">
        <f t="shared" si="0"/>
        <v>65.148499999999999</v>
      </c>
      <c r="F5" s="58">
        <f t="shared" si="1"/>
        <v>64.148499999999999</v>
      </c>
      <c r="G5" s="22">
        <f t="shared" ref="G5:G47" si="4">(1000*K5*1*4.751)/(PI()*2.543^2/4*F5)</f>
        <v>0.24303267814107768</v>
      </c>
      <c r="H5" s="22">
        <f t="shared" si="2"/>
        <v>0.7504849100996478</v>
      </c>
      <c r="I5" s="3">
        <v>13</v>
      </c>
      <c r="J5" s="3">
        <v>10</v>
      </c>
      <c r="K5" s="57">
        <f t="shared" si="3"/>
        <v>1.6666666666666666E-2</v>
      </c>
      <c r="L5" s="57">
        <f t="shared" si="3"/>
        <v>0.13333333333333333</v>
      </c>
      <c r="M5" s="3">
        <v>150</v>
      </c>
      <c r="N5" s="3"/>
      <c r="O5" s="3"/>
    </row>
    <row r="6" spans="1:15" x14ac:dyDescent="0.3">
      <c r="A6" s="58">
        <v>1</v>
      </c>
      <c r="B6" s="58">
        <v>8</v>
      </c>
      <c r="C6" s="23">
        <v>62</v>
      </c>
      <c r="E6" s="58">
        <f t="shared" si="0"/>
        <v>66.135400000000004</v>
      </c>
      <c r="F6" s="58">
        <f t="shared" si="1"/>
        <v>65.135400000000004</v>
      </c>
      <c r="G6" s="22">
        <f t="shared" si="4"/>
        <v>0.23935036483590982</v>
      </c>
      <c r="H6" s="22">
        <f t="shared" si="2"/>
        <v>0.73911392661328945</v>
      </c>
      <c r="I6" s="3">
        <v>13.02</v>
      </c>
      <c r="J6" s="3">
        <v>12</v>
      </c>
      <c r="K6" s="57">
        <f t="shared" si="3"/>
        <v>1.6666666666666666E-2</v>
      </c>
      <c r="L6" s="57">
        <f t="shared" si="3"/>
        <v>0.13333333333333333</v>
      </c>
      <c r="M6" s="3">
        <v>150</v>
      </c>
    </row>
    <row r="7" spans="1:15" x14ac:dyDescent="0.3">
      <c r="A7" s="58">
        <v>1</v>
      </c>
      <c r="B7" s="58">
        <v>8</v>
      </c>
      <c r="C7" s="23">
        <v>62.5</v>
      </c>
      <c r="E7" s="58">
        <f t="shared" si="0"/>
        <v>66.62885</v>
      </c>
      <c r="F7" s="58">
        <f t="shared" si="1"/>
        <v>65.62885</v>
      </c>
      <c r="G7" s="22">
        <f t="shared" si="4"/>
        <v>0.2375507380326323</v>
      </c>
      <c r="H7" s="22">
        <f t="shared" si="2"/>
        <v>0.73355667904476851</v>
      </c>
      <c r="I7" s="3">
        <v>13.04</v>
      </c>
      <c r="J7" s="3">
        <v>14</v>
      </c>
      <c r="K7" s="57">
        <f t="shared" si="3"/>
        <v>1.6666666666666666E-2</v>
      </c>
      <c r="L7" s="57">
        <f t="shared" si="3"/>
        <v>0.13333333333333333</v>
      </c>
      <c r="M7" s="3">
        <v>150</v>
      </c>
    </row>
    <row r="8" spans="1:15" x14ac:dyDescent="0.3">
      <c r="A8" s="58">
        <v>1</v>
      </c>
      <c r="B8" s="58">
        <v>8</v>
      </c>
      <c r="C8" s="23">
        <v>63.5</v>
      </c>
      <c r="E8" s="58">
        <f t="shared" si="0"/>
        <v>67.615750000000006</v>
      </c>
      <c r="F8" s="58">
        <f t="shared" si="1"/>
        <v>66.615750000000006</v>
      </c>
      <c r="G8" s="22">
        <f t="shared" si="4"/>
        <v>0.23403146783955625</v>
      </c>
      <c r="H8" s="22">
        <f t="shared" si="2"/>
        <v>0.72268917268854971</v>
      </c>
      <c r="I8" s="3">
        <v>13.06</v>
      </c>
      <c r="J8" s="3">
        <v>16</v>
      </c>
      <c r="K8" s="57">
        <f t="shared" si="3"/>
        <v>1.6666666666666666E-2</v>
      </c>
      <c r="L8" s="57">
        <f t="shared" si="3"/>
        <v>0.13333333333333333</v>
      </c>
      <c r="M8" s="3">
        <v>150</v>
      </c>
    </row>
    <row r="9" spans="1:15" x14ac:dyDescent="0.3">
      <c r="A9" s="58">
        <v>1</v>
      </c>
      <c r="B9" s="58">
        <v>8</v>
      </c>
      <c r="C9" s="23">
        <v>63</v>
      </c>
      <c r="E9" s="58">
        <f t="shared" si="0"/>
        <v>67.122299999999996</v>
      </c>
      <c r="F9" s="58">
        <f t="shared" si="1"/>
        <v>66.122299999999996</v>
      </c>
      <c r="G9" s="22">
        <f t="shared" si="4"/>
        <v>0.23577797133089626</v>
      </c>
      <c r="H9" s="22">
        <f t="shared" si="2"/>
        <v>0.72808237546980759</v>
      </c>
      <c r="I9" s="3">
        <v>13.08</v>
      </c>
      <c r="J9" s="3">
        <v>18</v>
      </c>
      <c r="K9" s="57">
        <f t="shared" si="3"/>
        <v>1.6666666666666666E-2</v>
      </c>
      <c r="L9" s="57">
        <f t="shared" si="3"/>
        <v>0.13333333333333333</v>
      </c>
      <c r="M9" s="3">
        <v>150</v>
      </c>
    </row>
    <row r="10" spans="1:15" x14ac:dyDescent="0.3">
      <c r="A10" s="58">
        <v>1</v>
      </c>
      <c r="B10" s="58">
        <v>8</v>
      </c>
      <c r="C10" s="23">
        <v>65</v>
      </c>
      <c r="E10" s="58">
        <f t="shared" si="0"/>
        <v>69.096100000000007</v>
      </c>
      <c r="F10" s="58">
        <f t="shared" si="1"/>
        <v>68.096100000000007</v>
      </c>
      <c r="G10" s="22">
        <f t="shared" si="4"/>
        <v>0.2289438272343485</v>
      </c>
      <c r="H10" s="22">
        <f t="shared" si="2"/>
        <v>0.70697853849966807</v>
      </c>
      <c r="I10" s="3">
        <v>13.1</v>
      </c>
      <c r="J10" s="3">
        <v>20</v>
      </c>
      <c r="K10" s="57">
        <f t="shared" si="3"/>
        <v>1.6666666666666666E-2</v>
      </c>
      <c r="L10" s="57">
        <f t="shared" si="3"/>
        <v>0.13333333333333333</v>
      </c>
      <c r="M10" s="3">
        <v>150</v>
      </c>
    </row>
    <row r="11" spans="1:15" x14ac:dyDescent="0.3">
      <c r="A11" s="58">
        <v>1</v>
      </c>
      <c r="B11" s="58">
        <v>8</v>
      </c>
      <c r="C11" s="23">
        <v>64.5</v>
      </c>
      <c r="E11" s="58">
        <f t="shared" si="0"/>
        <v>68.602649999999997</v>
      </c>
      <c r="F11" s="58">
        <f t="shared" si="1"/>
        <v>67.602649999999997</v>
      </c>
      <c r="G11" s="22">
        <f t="shared" si="4"/>
        <v>0.23061495006087662</v>
      </c>
      <c r="H11" s="22">
        <f t="shared" si="2"/>
        <v>0.71213896578798697</v>
      </c>
      <c r="I11" s="3">
        <v>13.12</v>
      </c>
      <c r="J11" s="3">
        <v>22</v>
      </c>
      <c r="K11" s="57">
        <f t="shared" si="3"/>
        <v>1.6666666666666666E-2</v>
      </c>
      <c r="L11" s="57">
        <f t="shared" si="3"/>
        <v>0.13333333333333333</v>
      </c>
      <c r="M11" s="3">
        <v>150</v>
      </c>
    </row>
    <row r="12" spans="1:15" x14ac:dyDescent="0.3">
      <c r="A12" s="58">
        <v>1</v>
      </c>
      <c r="B12" s="58">
        <v>8</v>
      </c>
      <c r="C12" s="23">
        <v>66</v>
      </c>
      <c r="E12" s="58">
        <f t="shared" si="0"/>
        <v>70.082999999999998</v>
      </c>
      <c r="F12" s="58">
        <f t="shared" si="1"/>
        <v>69.082999999999998</v>
      </c>
      <c r="G12" s="22">
        <f t="shared" si="4"/>
        <v>0.2256732011310007</v>
      </c>
      <c r="H12" s="22">
        <f t="shared" si="2"/>
        <v>0.69687884509253006</v>
      </c>
      <c r="I12" s="3">
        <v>13.14</v>
      </c>
      <c r="J12" s="3">
        <v>24</v>
      </c>
      <c r="K12" s="57">
        <f t="shared" si="3"/>
        <v>1.6666666666666666E-2</v>
      </c>
      <c r="L12" s="57">
        <f t="shared" si="3"/>
        <v>0.13333333333333333</v>
      </c>
      <c r="M12" s="3">
        <v>150</v>
      </c>
    </row>
    <row r="13" spans="1:15" x14ac:dyDescent="0.3">
      <c r="A13" s="58">
        <v>1</v>
      </c>
      <c r="B13" s="58">
        <v>8</v>
      </c>
      <c r="C13" s="23">
        <v>67</v>
      </c>
      <c r="E13" s="58">
        <f t="shared" si="0"/>
        <v>71.069900000000004</v>
      </c>
      <c r="F13" s="58">
        <f t="shared" si="1"/>
        <v>70.069900000000004</v>
      </c>
      <c r="G13" s="22">
        <f t="shared" si="4"/>
        <v>0.2224947053404232</v>
      </c>
      <c r="H13" s="22">
        <f t="shared" si="2"/>
        <v>0.68706365009122672</v>
      </c>
      <c r="I13" s="3">
        <v>13.16</v>
      </c>
      <c r="J13" s="3">
        <v>26</v>
      </c>
      <c r="K13" s="57">
        <f t="shared" si="3"/>
        <v>1.6666666666666666E-2</v>
      </c>
      <c r="L13" s="57">
        <f t="shared" si="3"/>
        <v>0.13333333333333333</v>
      </c>
      <c r="M13" s="3">
        <v>150</v>
      </c>
    </row>
    <row r="14" spans="1:15" x14ac:dyDescent="0.3">
      <c r="A14" s="58">
        <v>1</v>
      </c>
      <c r="B14" s="58">
        <v>8</v>
      </c>
      <c r="C14" s="23">
        <v>67</v>
      </c>
      <c r="E14" s="58">
        <f t="shared" si="0"/>
        <v>71.069900000000004</v>
      </c>
      <c r="F14" s="58">
        <f t="shared" si="1"/>
        <v>70.069900000000004</v>
      </c>
      <c r="G14" s="22">
        <f t="shared" si="4"/>
        <v>0.2224947053404232</v>
      </c>
      <c r="H14" s="22">
        <f t="shared" si="2"/>
        <v>0.68706365009122672</v>
      </c>
      <c r="I14" s="3">
        <v>13.18</v>
      </c>
      <c r="J14" s="3">
        <v>28</v>
      </c>
      <c r="K14" s="57">
        <f t="shared" si="3"/>
        <v>1.6666666666666666E-2</v>
      </c>
      <c r="L14" s="57">
        <f t="shared" si="3"/>
        <v>0.13333333333333333</v>
      </c>
      <c r="M14" s="3">
        <v>150</v>
      </c>
    </row>
    <row r="15" spans="1:15" x14ac:dyDescent="0.3">
      <c r="A15" s="58">
        <v>1</v>
      </c>
      <c r="B15" s="58">
        <v>8</v>
      </c>
      <c r="C15" s="23">
        <v>67.5</v>
      </c>
      <c r="E15" s="58">
        <f t="shared" si="0"/>
        <v>71.56335</v>
      </c>
      <c r="F15" s="58">
        <f t="shared" si="1"/>
        <v>70.56335</v>
      </c>
      <c r="G15" s="22">
        <f t="shared" si="4"/>
        <v>0.2209387983100706</v>
      </c>
      <c r="H15" s="22">
        <f t="shared" si="2"/>
        <v>0.68225900918149796</v>
      </c>
      <c r="I15" s="3">
        <v>13.2</v>
      </c>
      <c r="J15" s="3">
        <v>30</v>
      </c>
      <c r="K15" s="57">
        <f t="shared" si="3"/>
        <v>1.6666666666666666E-2</v>
      </c>
      <c r="L15" s="57">
        <f t="shared" si="3"/>
        <v>0.13333333333333333</v>
      </c>
      <c r="M15" s="3">
        <v>150</v>
      </c>
    </row>
    <row r="16" spans="1:15" x14ac:dyDescent="0.3">
      <c r="A16" s="58">
        <v>1</v>
      </c>
      <c r="B16" s="58">
        <v>8</v>
      </c>
      <c r="C16" s="23">
        <v>67.5</v>
      </c>
      <c r="E16" s="58">
        <f t="shared" si="0"/>
        <v>71.56335</v>
      </c>
      <c r="F16" s="58">
        <f t="shared" si="1"/>
        <v>70.56335</v>
      </c>
      <c r="G16" s="22">
        <f t="shared" si="4"/>
        <v>0.2209387983100706</v>
      </c>
      <c r="H16" s="22">
        <f t="shared" si="2"/>
        <v>0.68225900918149796</v>
      </c>
      <c r="I16" s="3">
        <v>13.22</v>
      </c>
      <c r="J16" s="3">
        <v>32</v>
      </c>
      <c r="K16" s="57">
        <f t="shared" si="3"/>
        <v>1.6666666666666666E-2</v>
      </c>
      <c r="L16" s="57">
        <f t="shared" si="3"/>
        <v>0.13333333333333333</v>
      </c>
      <c r="M16" s="3">
        <v>150</v>
      </c>
    </row>
    <row r="17" spans="1:15" x14ac:dyDescent="0.3">
      <c r="A17" s="58">
        <v>1</v>
      </c>
      <c r="B17" s="58">
        <v>8</v>
      </c>
      <c r="C17" s="23">
        <v>67</v>
      </c>
      <c r="E17" s="58">
        <f t="shared" si="0"/>
        <v>71.069900000000004</v>
      </c>
      <c r="F17" s="58">
        <f t="shared" si="1"/>
        <v>70.069900000000004</v>
      </c>
      <c r="G17" s="22">
        <f t="shared" si="4"/>
        <v>0.2224947053404232</v>
      </c>
      <c r="H17" s="22">
        <f t="shared" si="2"/>
        <v>0.68706365009122672</v>
      </c>
      <c r="I17" s="3">
        <v>13.24</v>
      </c>
      <c r="J17" s="3">
        <v>34</v>
      </c>
      <c r="K17" s="57">
        <f t="shared" si="3"/>
        <v>1.6666666666666666E-2</v>
      </c>
      <c r="L17" s="57">
        <f t="shared" si="3"/>
        <v>0.13333333333333333</v>
      </c>
      <c r="M17" s="3">
        <v>150</v>
      </c>
    </row>
    <row r="18" spans="1:15" x14ac:dyDescent="0.3">
      <c r="A18" s="58">
        <v>1</v>
      </c>
      <c r="B18" s="58">
        <v>8</v>
      </c>
      <c r="C18" s="23">
        <v>68.5</v>
      </c>
      <c r="E18" s="58">
        <f t="shared" si="0"/>
        <v>72.550250000000005</v>
      </c>
      <c r="F18" s="58">
        <f t="shared" si="1"/>
        <v>71.550250000000005</v>
      </c>
      <c r="G18" s="22">
        <f t="shared" si="4"/>
        <v>0.21789136660924202</v>
      </c>
      <c r="H18" s="22">
        <f t="shared" si="2"/>
        <v>0.67284854008933925</v>
      </c>
      <c r="I18" s="3">
        <v>13.26</v>
      </c>
      <c r="J18" s="3">
        <v>36</v>
      </c>
      <c r="K18" s="57">
        <f t="shared" si="3"/>
        <v>1.6666666666666666E-2</v>
      </c>
      <c r="L18" s="57">
        <f t="shared" si="3"/>
        <v>0.13333333333333333</v>
      </c>
      <c r="M18" s="3">
        <v>150</v>
      </c>
    </row>
    <row r="19" spans="1:15" x14ac:dyDescent="0.3">
      <c r="A19" s="58">
        <v>1</v>
      </c>
      <c r="B19" s="58">
        <v>8</v>
      </c>
      <c r="C19" s="23">
        <v>69</v>
      </c>
      <c r="E19" s="58">
        <f t="shared" si="0"/>
        <v>73.043700000000001</v>
      </c>
      <c r="F19" s="58">
        <f t="shared" si="1"/>
        <v>72.043700000000001</v>
      </c>
      <c r="G19" s="22">
        <f t="shared" si="4"/>
        <v>0.21639895998863079</v>
      </c>
      <c r="H19" s="22">
        <f t="shared" si="2"/>
        <v>0.66823998844489185</v>
      </c>
      <c r="I19" s="3">
        <v>13.28</v>
      </c>
      <c r="J19" s="3">
        <v>38</v>
      </c>
      <c r="K19" s="57">
        <f t="shared" si="3"/>
        <v>1.6666666666666666E-2</v>
      </c>
      <c r="L19" s="57">
        <f t="shared" si="3"/>
        <v>0.13333333333333333</v>
      </c>
      <c r="M19" s="3">
        <v>150</v>
      </c>
    </row>
    <row r="20" spans="1:15" x14ac:dyDescent="0.3">
      <c r="A20" s="58">
        <v>1</v>
      </c>
      <c r="B20" s="58">
        <v>8</v>
      </c>
      <c r="C20" s="23">
        <v>70</v>
      </c>
      <c r="E20" s="58">
        <f t="shared" si="0"/>
        <v>74.030600000000007</v>
      </c>
      <c r="F20" s="58">
        <f t="shared" si="1"/>
        <v>73.030600000000007</v>
      </c>
      <c r="G20" s="22">
        <f t="shared" si="4"/>
        <v>0.21347464971851413</v>
      </c>
      <c r="H20" s="22">
        <f t="shared" si="2"/>
        <v>0.65920971833077158</v>
      </c>
      <c r="I20" s="3">
        <v>13.3</v>
      </c>
      <c r="J20" s="3">
        <v>40</v>
      </c>
      <c r="K20" s="57">
        <f t="shared" ref="K20:L35" si="5">A20/60</f>
        <v>1.6666666666666666E-2</v>
      </c>
      <c r="L20" s="57">
        <f t="shared" si="5"/>
        <v>0.13333333333333333</v>
      </c>
      <c r="M20" s="3">
        <v>150</v>
      </c>
    </row>
    <row r="21" spans="1:15" x14ac:dyDescent="0.3">
      <c r="A21" s="58">
        <v>1</v>
      </c>
      <c r="B21" s="58">
        <v>8</v>
      </c>
      <c r="C21" s="23">
        <v>69</v>
      </c>
      <c r="E21" s="58">
        <f t="shared" si="0"/>
        <v>73.043700000000001</v>
      </c>
      <c r="F21" s="58">
        <f t="shared" si="1"/>
        <v>72.043700000000001</v>
      </c>
      <c r="G21" s="22">
        <f t="shared" si="4"/>
        <v>0.21639895998863079</v>
      </c>
      <c r="H21" s="22">
        <f t="shared" si="2"/>
        <v>0.66823998844489185</v>
      </c>
      <c r="I21" s="3">
        <v>13.32</v>
      </c>
      <c r="J21" s="3">
        <v>42</v>
      </c>
      <c r="K21" s="57">
        <f t="shared" si="5"/>
        <v>1.6666666666666666E-2</v>
      </c>
      <c r="L21" s="57">
        <f t="shared" si="5"/>
        <v>0.13333333333333333</v>
      </c>
      <c r="M21" s="3">
        <v>150</v>
      </c>
    </row>
    <row r="22" spans="1:15" x14ac:dyDescent="0.3">
      <c r="A22" s="58">
        <v>1</v>
      </c>
      <c r="B22" s="58">
        <v>8</v>
      </c>
      <c r="C22" s="63">
        <v>70</v>
      </c>
      <c r="E22" s="58">
        <f t="shared" si="0"/>
        <v>74.030600000000007</v>
      </c>
      <c r="F22" s="58">
        <f t="shared" si="1"/>
        <v>73.030600000000007</v>
      </c>
      <c r="G22" s="22">
        <f t="shared" si="4"/>
        <v>0.21347464971851413</v>
      </c>
      <c r="H22" s="22">
        <f t="shared" si="2"/>
        <v>0.65920971833077158</v>
      </c>
      <c r="I22" s="3">
        <v>13.34</v>
      </c>
      <c r="J22" s="3">
        <v>44</v>
      </c>
      <c r="K22" s="57">
        <f t="shared" si="5"/>
        <v>1.6666666666666666E-2</v>
      </c>
      <c r="L22" s="57">
        <f t="shared" si="5"/>
        <v>0.13333333333333333</v>
      </c>
      <c r="M22" s="3">
        <v>150</v>
      </c>
    </row>
    <row r="23" spans="1:15" x14ac:dyDescent="0.3">
      <c r="A23" s="58">
        <v>0.75</v>
      </c>
      <c r="B23" s="58">
        <v>6</v>
      </c>
      <c r="C23" s="23">
        <v>31</v>
      </c>
      <c r="E23" s="58">
        <f t="shared" si="0"/>
        <v>35.541499999999999</v>
      </c>
      <c r="F23" s="58">
        <f t="shared" si="1"/>
        <v>34.541499999999999</v>
      </c>
      <c r="G23" s="58">
        <f t="shared" si="4"/>
        <v>0.33850980169650097</v>
      </c>
      <c r="H23" s="58">
        <f t="shared" si="2"/>
        <v>1.0453182676387951</v>
      </c>
      <c r="I23" s="3">
        <v>16.239999999999998</v>
      </c>
      <c r="J23" s="3">
        <v>0</v>
      </c>
      <c r="K23" s="57">
        <f t="shared" si="5"/>
        <v>1.2500000000000001E-2</v>
      </c>
      <c r="L23" s="57">
        <f t="shared" si="5"/>
        <v>0.1</v>
      </c>
      <c r="M23" s="3">
        <v>150</v>
      </c>
    </row>
    <row r="24" spans="1:15" x14ac:dyDescent="0.3">
      <c r="A24" s="58">
        <v>0.75</v>
      </c>
      <c r="B24" s="58">
        <v>6</v>
      </c>
      <c r="C24" s="23">
        <v>39</v>
      </c>
      <c r="E24" s="58">
        <f t="shared" si="0"/>
        <v>43.436700000000002</v>
      </c>
      <c r="F24" s="58">
        <f t="shared" si="1"/>
        <v>42.436700000000002</v>
      </c>
      <c r="G24" s="58">
        <f t="shared" si="4"/>
        <v>0.27553123393901241</v>
      </c>
      <c r="H24" s="22">
        <f t="shared" si="2"/>
        <v>0.8508404504036704</v>
      </c>
      <c r="I24" s="3">
        <v>16.25</v>
      </c>
      <c r="J24" s="3">
        <v>1</v>
      </c>
      <c r="K24" s="57">
        <f t="shared" si="5"/>
        <v>1.2500000000000001E-2</v>
      </c>
      <c r="L24" s="57">
        <f t="shared" si="5"/>
        <v>0.1</v>
      </c>
      <c r="M24" s="3">
        <v>150</v>
      </c>
    </row>
    <row r="25" spans="1:15" x14ac:dyDescent="0.3">
      <c r="A25" s="58">
        <v>0.75</v>
      </c>
      <c r="B25" s="58">
        <v>6</v>
      </c>
      <c r="C25" s="23">
        <v>44.5</v>
      </c>
      <c r="E25" s="58">
        <f t="shared" si="0"/>
        <v>48.864649999999997</v>
      </c>
      <c r="F25" s="58">
        <f t="shared" si="1"/>
        <v>47.864649999999997</v>
      </c>
      <c r="G25" s="58">
        <f t="shared" si="4"/>
        <v>0.24428542390469143</v>
      </c>
      <c r="H25" s="22">
        <f t="shared" si="2"/>
        <v>0.75435338901768723</v>
      </c>
      <c r="I25" s="3">
        <v>16.27</v>
      </c>
      <c r="J25" s="3">
        <v>3</v>
      </c>
      <c r="K25" s="57">
        <f t="shared" si="5"/>
        <v>1.2500000000000001E-2</v>
      </c>
      <c r="L25" s="57">
        <f t="shared" si="5"/>
        <v>0.1</v>
      </c>
      <c r="M25" s="3">
        <v>150</v>
      </c>
    </row>
    <row r="26" spans="1:15" x14ac:dyDescent="0.3">
      <c r="A26" s="58">
        <v>0.75</v>
      </c>
      <c r="B26" s="58">
        <v>6</v>
      </c>
      <c r="C26" s="23">
        <v>50</v>
      </c>
      <c r="E26" s="58">
        <f t="shared" si="0"/>
        <v>54.2926</v>
      </c>
      <c r="F26" s="58">
        <f t="shared" si="1"/>
        <v>53.2926</v>
      </c>
      <c r="G26" s="58">
        <f t="shared" si="4"/>
        <v>0.21940450109958398</v>
      </c>
      <c r="H26" s="22">
        <f t="shared" si="2"/>
        <v>0.67752109939551541</v>
      </c>
      <c r="I26" s="3">
        <v>16.3</v>
      </c>
      <c r="J26" s="3">
        <v>6</v>
      </c>
      <c r="K26" s="57">
        <f t="shared" si="5"/>
        <v>1.2500000000000001E-2</v>
      </c>
      <c r="L26" s="57">
        <f t="shared" si="5"/>
        <v>0.1</v>
      </c>
      <c r="M26" s="3">
        <v>150</v>
      </c>
    </row>
    <row r="27" spans="1:15" x14ac:dyDescent="0.3">
      <c r="A27" s="58">
        <v>0.75</v>
      </c>
      <c r="B27" s="58">
        <v>6</v>
      </c>
      <c r="C27" s="23">
        <v>54.5</v>
      </c>
      <c r="E27" s="58">
        <f t="shared" si="0"/>
        <v>58.733649999999997</v>
      </c>
      <c r="F27" s="58">
        <f t="shared" si="1"/>
        <v>57.733649999999997</v>
      </c>
      <c r="G27" s="58">
        <f t="shared" si="4"/>
        <v>0.20252723178423135</v>
      </c>
      <c r="H27" s="22">
        <f t="shared" si="2"/>
        <v>0.62540409174970646</v>
      </c>
      <c r="I27" s="3">
        <v>16.350000000000001</v>
      </c>
      <c r="J27" s="3">
        <v>11</v>
      </c>
      <c r="K27" s="57">
        <f t="shared" si="5"/>
        <v>1.2500000000000001E-2</v>
      </c>
      <c r="L27" s="57">
        <f t="shared" si="5"/>
        <v>0.1</v>
      </c>
      <c r="M27" s="3">
        <v>150</v>
      </c>
    </row>
    <row r="28" spans="1:15" x14ac:dyDescent="0.3">
      <c r="A28" s="58">
        <v>0.75</v>
      </c>
      <c r="B28" s="58">
        <v>6</v>
      </c>
      <c r="C28" s="23">
        <v>59</v>
      </c>
      <c r="E28" s="58">
        <f t="shared" si="0"/>
        <v>63.174700000000001</v>
      </c>
      <c r="F28" s="58">
        <f t="shared" si="1"/>
        <v>62.174700000000001</v>
      </c>
      <c r="G28" s="58">
        <f t="shared" si="4"/>
        <v>0.18806100094250056</v>
      </c>
      <c r="H28" s="22">
        <f t="shared" si="2"/>
        <v>0.58073237091044172</v>
      </c>
      <c r="I28" s="3">
        <v>16.399999999999999</v>
      </c>
      <c r="J28" s="3">
        <v>16</v>
      </c>
      <c r="K28" s="57">
        <f t="shared" si="5"/>
        <v>1.2500000000000001E-2</v>
      </c>
      <c r="L28" s="57">
        <f t="shared" si="5"/>
        <v>0.1</v>
      </c>
      <c r="M28" s="3">
        <v>150</v>
      </c>
    </row>
    <row r="29" spans="1:15" x14ac:dyDescent="0.3">
      <c r="A29" s="58">
        <v>0.75</v>
      </c>
      <c r="B29" s="58">
        <v>6</v>
      </c>
      <c r="C29" s="23">
        <v>63</v>
      </c>
      <c r="E29" s="58">
        <f t="shared" si="0"/>
        <v>67.122299999999996</v>
      </c>
      <c r="F29" s="58">
        <f t="shared" si="1"/>
        <v>66.122299999999996</v>
      </c>
      <c r="G29" s="58">
        <f t="shared" si="4"/>
        <v>0.17683347849817216</v>
      </c>
      <c r="H29" s="22">
        <f t="shared" si="2"/>
        <v>0.54606178160235563</v>
      </c>
      <c r="I29" s="3">
        <v>16.45</v>
      </c>
      <c r="J29" s="3">
        <v>21</v>
      </c>
      <c r="K29" s="57">
        <f t="shared" si="5"/>
        <v>1.2500000000000001E-2</v>
      </c>
      <c r="L29" s="57">
        <f t="shared" si="5"/>
        <v>0.1</v>
      </c>
      <c r="M29" s="3">
        <v>150</v>
      </c>
      <c r="O29" s="2"/>
    </row>
    <row r="30" spans="1:15" x14ac:dyDescent="0.3">
      <c r="A30" s="58">
        <v>0.75</v>
      </c>
      <c r="B30" s="58">
        <v>6</v>
      </c>
      <c r="C30" s="23">
        <v>64</v>
      </c>
      <c r="E30" s="58">
        <f t="shared" si="0"/>
        <v>68.109200000000001</v>
      </c>
      <c r="F30" s="58">
        <f t="shared" si="1"/>
        <v>67.109200000000001</v>
      </c>
      <c r="G30" s="58">
        <f t="shared" si="4"/>
        <v>0.17423298616731667</v>
      </c>
      <c r="H30" s="22">
        <f t="shared" si="2"/>
        <v>0.53803146128467394</v>
      </c>
      <c r="I30" s="3">
        <v>16.5</v>
      </c>
      <c r="J30" s="3">
        <v>26</v>
      </c>
      <c r="K30" s="57">
        <f t="shared" si="5"/>
        <v>1.2500000000000001E-2</v>
      </c>
      <c r="L30" s="57">
        <f t="shared" si="5"/>
        <v>0.1</v>
      </c>
      <c r="M30" s="3">
        <v>150</v>
      </c>
    </row>
    <row r="31" spans="1:15" x14ac:dyDescent="0.3">
      <c r="A31" s="58">
        <v>0.75</v>
      </c>
      <c r="B31" s="58">
        <v>6</v>
      </c>
      <c r="C31" s="23">
        <v>66</v>
      </c>
      <c r="E31" s="58">
        <f t="shared" si="0"/>
        <v>70.082999999999998</v>
      </c>
      <c r="F31" s="58">
        <f t="shared" si="1"/>
        <v>69.082999999999998</v>
      </c>
      <c r="G31" s="58">
        <f t="shared" si="4"/>
        <v>0.16925490084825048</v>
      </c>
      <c r="H31" s="22">
        <f t="shared" si="2"/>
        <v>0.52265913381939755</v>
      </c>
      <c r="I31" s="3">
        <v>16.55</v>
      </c>
      <c r="J31" s="3">
        <v>31</v>
      </c>
      <c r="K31" s="57">
        <f t="shared" si="5"/>
        <v>1.2500000000000001E-2</v>
      </c>
      <c r="L31" s="57">
        <f t="shared" si="5"/>
        <v>0.1</v>
      </c>
      <c r="M31" s="3">
        <v>150</v>
      </c>
    </row>
    <row r="32" spans="1:15" x14ac:dyDescent="0.3">
      <c r="A32" s="58">
        <v>0.75</v>
      </c>
      <c r="B32" s="58">
        <v>6</v>
      </c>
      <c r="C32" s="23">
        <v>70</v>
      </c>
      <c r="E32" s="58">
        <f t="shared" si="0"/>
        <v>74.030600000000007</v>
      </c>
      <c r="F32" s="58">
        <f t="shared" si="1"/>
        <v>73.030600000000007</v>
      </c>
      <c r="G32" s="58">
        <f t="shared" si="4"/>
        <v>0.16010598728888556</v>
      </c>
      <c r="H32" s="22">
        <f t="shared" si="2"/>
        <v>0.49440728874807871</v>
      </c>
      <c r="I32" s="3">
        <v>17</v>
      </c>
      <c r="J32" s="3">
        <v>36</v>
      </c>
      <c r="K32" s="57">
        <f t="shared" si="5"/>
        <v>1.2500000000000001E-2</v>
      </c>
      <c r="L32" s="57">
        <f t="shared" si="5"/>
        <v>0.1</v>
      </c>
      <c r="M32" s="3">
        <v>150</v>
      </c>
    </row>
    <row r="33" spans="1:20" ht="18" x14ac:dyDescent="0.3">
      <c r="A33" s="58">
        <v>0.75</v>
      </c>
      <c r="B33" s="58">
        <v>6</v>
      </c>
      <c r="C33" s="23">
        <v>72.5</v>
      </c>
      <c r="E33" s="58">
        <f t="shared" si="0"/>
        <v>76.49785</v>
      </c>
      <c r="F33" s="58">
        <f t="shared" si="1"/>
        <v>75.49785</v>
      </c>
      <c r="G33" s="58">
        <f t="shared" si="4"/>
        <v>0.15487376548205928</v>
      </c>
      <c r="H33" s="22">
        <f t="shared" si="2"/>
        <v>0.47825018780859907</v>
      </c>
      <c r="I33" s="3">
        <v>17.05</v>
      </c>
      <c r="J33" s="3">
        <v>41</v>
      </c>
      <c r="K33" s="57">
        <f t="shared" si="5"/>
        <v>1.2500000000000001E-2</v>
      </c>
      <c r="L33" s="57">
        <f t="shared" si="5"/>
        <v>0.1</v>
      </c>
      <c r="M33" s="3">
        <v>150</v>
      </c>
      <c r="O33" s="45"/>
      <c r="S33" s="51"/>
    </row>
    <row r="34" spans="1:20" x14ac:dyDescent="0.3">
      <c r="A34" s="58">
        <v>0.75</v>
      </c>
      <c r="B34" s="58">
        <v>6</v>
      </c>
      <c r="C34" s="23">
        <v>74</v>
      </c>
      <c r="E34" s="58">
        <f t="shared" si="0"/>
        <v>77.978200000000001</v>
      </c>
      <c r="F34" s="58">
        <f t="shared" si="1"/>
        <v>76.978200000000001</v>
      </c>
      <c r="G34" s="58">
        <f t="shared" si="4"/>
        <v>0.1518954238381735</v>
      </c>
      <c r="H34" s="22">
        <f t="shared" si="2"/>
        <v>0.46905306881227987</v>
      </c>
      <c r="I34" s="3">
        <v>17.100000000000001</v>
      </c>
      <c r="J34" s="3">
        <v>46</v>
      </c>
      <c r="K34" s="57">
        <f t="shared" si="5"/>
        <v>1.2500000000000001E-2</v>
      </c>
      <c r="L34" s="57">
        <f t="shared" si="5"/>
        <v>0.1</v>
      </c>
      <c r="M34" s="3">
        <v>150</v>
      </c>
    </row>
    <row r="35" spans="1:20" x14ac:dyDescent="0.3">
      <c r="A35" s="58">
        <v>0.75</v>
      </c>
      <c r="B35" s="58">
        <v>6</v>
      </c>
      <c r="C35" s="23">
        <v>76</v>
      </c>
      <c r="E35" s="58">
        <f t="shared" si="0"/>
        <v>79.951999999999998</v>
      </c>
      <c r="F35" s="58">
        <f t="shared" si="1"/>
        <v>78.951999999999998</v>
      </c>
      <c r="G35" s="58">
        <f t="shared" si="4"/>
        <v>0.14809803824221918</v>
      </c>
      <c r="H35" s="22">
        <f t="shared" si="2"/>
        <v>0.45732674209197288</v>
      </c>
      <c r="I35" s="3">
        <v>17.149999999999999</v>
      </c>
      <c r="J35" s="3">
        <v>51</v>
      </c>
      <c r="K35" s="57">
        <f t="shared" si="5"/>
        <v>1.2500000000000001E-2</v>
      </c>
      <c r="L35" s="57">
        <f t="shared" si="5"/>
        <v>0.1</v>
      </c>
      <c r="M35" s="3">
        <v>150</v>
      </c>
    </row>
    <row r="36" spans="1:20" x14ac:dyDescent="0.3">
      <c r="A36" s="58">
        <v>0.75</v>
      </c>
      <c r="B36" s="58">
        <v>6</v>
      </c>
      <c r="C36" s="23">
        <v>77</v>
      </c>
      <c r="E36" s="58">
        <f t="shared" si="0"/>
        <v>80.938900000000004</v>
      </c>
      <c r="F36" s="58">
        <f t="shared" si="1"/>
        <v>79.938900000000004</v>
      </c>
      <c r="G36" s="58">
        <f t="shared" si="4"/>
        <v>0.14626966739972264</v>
      </c>
      <c r="H36" s="22">
        <f t="shared" si="2"/>
        <v>0.45168073293034355</v>
      </c>
      <c r="I36" s="3">
        <v>17.2</v>
      </c>
      <c r="J36" s="3">
        <v>56</v>
      </c>
      <c r="K36" s="57">
        <f t="shared" ref="K36:K47" si="6">A36/60</f>
        <v>1.2500000000000001E-2</v>
      </c>
      <c r="L36" s="57">
        <f t="shared" ref="L36:L47" si="7">B36/60</f>
        <v>0.1</v>
      </c>
      <c r="M36" s="3">
        <v>150</v>
      </c>
    </row>
    <row r="37" spans="1:20" x14ac:dyDescent="0.3">
      <c r="A37" s="58">
        <v>0.75</v>
      </c>
      <c r="B37" s="58">
        <v>6</v>
      </c>
      <c r="C37" s="23">
        <v>80</v>
      </c>
      <c r="E37" s="58">
        <f t="shared" si="0"/>
        <v>83.899600000000007</v>
      </c>
      <c r="F37" s="58">
        <f t="shared" si="1"/>
        <v>82.899600000000007</v>
      </c>
      <c r="G37" s="58">
        <f t="shared" si="4"/>
        <v>0.14104575070687539</v>
      </c>
      <c r="H37" s="22">
        <f t="shared" si="2"/>
        <v>0.43554927818283123</v>
      </c>
      <c r="I37" s="4">
        <v>17.25</v>
      </c>
      <c r="J37" s="4">
        <v>61</v>
      </c>
      <c r="K37" s="57">
        <f t="shared" si="6"/>
        <v>1.2500000000000001E-2</v>
      </c>
      <c r="L37" s="57">
        <f t="shared" si="7"/>
        <v>0.1</v>
      </c>
      <c r="M37" s="3">
        <v>150</v>
      </c>
      <c r="N37" s="2"/>
    </row>
    <row r="38" spans="1:20" x14ac:dyDescent="0.3">
      <c r="A38" s="58">
        <v>0.75</v>
      </c>
      <c r="B38" s="58">
        <v>6</v>
      </c>
      <c r="C38" s="23">
        <v>82</v>
      </c>
      <c r="E38" s="58">
        <f t="shared" si="0"/>
        <v>85.873400000000004</v>
      </c>
      <c r="F38" s="58">
        <f t="shared" si="1"/>
        <v>84.873400000000004</v>
      </c>
      <c r="G38" s="58">
        <f t="shared" si="4"/>
        <v>0.1377656169695062</v>
      </c>
      <c r="H38" s="22">
        <f t="shared" si="2"/>
        <v>0.4254202252018352</v>
      </c>
      <c r="I38" s="3">
        <v>17.3</v>
      </c>
      <c r="J38" s="3">
        <v>66</v>
      </c>
      <c r="K38" s="57">
        <f t="shared" si="6"/>
        <v>1.2500000000000001E-2</v>
      </c>
      <c r="L38" s="57">
        <f t="shared" si="7"/>
        <v>0.1</v>
      </c>
      <c r="M38" s="3">
        <v>150</v>
      </c>
    </row>
    <row r="39" spans="1:20" x14ac:dyDescent="0.3">
      <c r="A39" s="58">
        <v>0.75</v>
      </c>
      <c r="B39" s="58">
        <v>6</v>
      </c>
      <c r="C39" s="23">
        <v>81</v>
      </c>
      <c r="E39" s="58">
        <f t="shared" si="0"/>
        <v>84.886499999999998</v>
      </c>
      <c r="F39" s="58">
        <f t="shared" si="1"/>
        <v>83.886499999999998</v>
      </c>
      <c r="G39" s="58">
        <f t="shared" si="4"/>
        <v>0.13938638893385333</v>
      </c>
      <c r="H39" s="22">
        <f t="shared" si="2"/>
        <v>0.43042516902773914</v>
      </c>
      <c r="I39" s="3">
        <v>17.350000000000001</v>
      </c>
      <c r="J39" s="3">
        <v>71</v>
      </c>
      <c r="K39" s="57">
        <f t="shared" si="6"/>
        <v>1.2500000000000001E-2</v>
      </c>
      <c r="L39" s="57">
        <f t="shared" si="7"/>
        <v>0.1</v>
      </c>
      <c r="M39" s="3">
        <v>150</v>
      </c>
      <c r="N39">
        <f>8/5</f>
        <v>1.6</v>
      </c>
    </row>
    <row r="40" spans="1:20" x14ac:dyDescent="0.3">
      <c r="A40" s="58">
        <v>0.75</v>
      </c>
      <c r="B40" s="58">
        <v>6</v>
      </c>
      <c r="C40" s="23">
        <v>82</v>
      </c>
      <c r="E40" s="58">
        <f t="shared" si="0"/>
        <v>85.873400000000004</v>
      </c>
      <c r="F40" s="58">
        <f t="shared" si="1"/>
        <v>84.873400000000004</v>
      </c>
      <c r="G40" s="58">
        <f t="shared" si="4"/>
        <v>0.1377656169695062</v>
      </c>
      <c r="H40" s="22">
        <f t="shared" si="2"/>
        <v>0.4254202252018352</v>
      </c>
      <c r="I40" s="3">
        <v>17.399999999999999</v>
      </c>
      <c r="J40" s="3">
        <v>76</v>
      </c>
      <c r="K40" s="57">
        <f t="shared" si="6"/>
        <v>1.2500000000000001E-2</v>
      </c>
      <c r="L40" s="57">
        <f t="shared" si="7"/>
        <v>0.1</v>
      </c>
      <c r="M40" s="3">
        <v>150</v>
      </c>
      <c r="N40" s="9">
        <f>5/8</f>
        <v>0.625</v>
      </c>
    </row>
    <row r="41" spans="1:20" x14ac:dyDescent="0.3">
      <c r="A41" s="58">
        <v>0.75</v>
      </c>
      <c r="B41" s="58">
        <v>6</v>
      </c>
      <c r="C41" s="23">
        <v>82</v>
      </c>
      <c r="E41" s="58">
        <f t="shared" si="0"/>
        <v>85.873400000000004</v>
      </c>
      <c r="F41" s="58">
        <f t="shared" si="1"/>
        <v>84.873400000000004</v>
      </c>
      <c r="G41" s="58">
        <f t="shared" si="4"/>
        <v>0.1377656169695062</v>
      </c>
      <c r="H41" s="22">
        <f t="shared" si="2"/>
        <v>0.4254202252018352</v>
      </c>
      <c r="I41" s="3">
        <v>17.45</v>
      </c>
      <c r="J41" s="3">
        <v>81</v>
      </c>
      <c r="K41" s="57">
        <f t="shared" si="6"/>
        <v>1.2500000000000001E-2</v>
      </c>
      <c r="L41" s="57">
        <f t="shared" si="7"/>
        <v>0.1</v>
      </c>
      <c r="M41" s="3">
        <v>150</v>
      </c>
    </row>
    <row r="42" spans="1:20" x14ac:dyDescent="0.3">
      <c r="A42" s="58">
        <v>0.75</v>
      </c>
      <c r="B42" s="58">
        <v>6</v>
      </c>
      <c r="C42" s="23">
        <v>82</v>
      </c>
      <c r="E42" s="58">
        <f t="shared" si="0"/>
        <v>85.873400000000004</v>
      </c>
      <c r="F42" s="58">
        <f t="shared" si="1"/>
        <v>84.873400000000004</v>
      </c>
      <c r="G42" s="58">
        <f t="shared" si="4"/>
        <v>0.1377656169695062</v>
      </c>
      <c r="H42" s="22">
        <f t="shared" si="2"/>
        <v>0.4254202252018352</v>
      </c>
      <c r="I42" s="3">
        <v>17.5</v>
      </c>
      <c r="J42" s="3">
        <v>86</v>
      </c>
      <c r="K42" s="57">
        <f t="shared" si="6"/>
        <v>1.2500000000000001E-2</v>
      </c>
      <c r="L42" s="57">
        <f t="shared" si="7"/>
        <v>0.1</v>
      </c>
      <c r="M42" s="3">
        <v>150</v>
      </c>
    </row>
    <row r="43" spans="1:20" x14ac:dyDescent="0.3">
      <c r="A43" s="58">
        <v>0.75</v>
      </c>
      <c r="B43" s="58">
        <v>6</v>
      </c>
      <c r="C43" s="23">
        <v>82</v>
      </c>
      <c r="E43" s="58">
        <f t="shared" si="0"/>
        <v>85.873400000000004</v>
      </c>
      <c r="F43" s="58">
        <f t="shared" si="1"/>
        <v>84.873400000000004</v>
      </c>
      <c r="G43" s="58">
        <f t="shared" si="4"/>
        <v>0.1377656169695062</v>
      </c>
      <c r="H43" s="22">
        <f t="shared" si="2"/>
        <v>0.4254202252018352</v>
      </c>
      <c r="I43" s="3">
        <v>17.55</v>
      </c>
      <c r="J43" s="3">
        <v>91</v>
      </c>
      <c r="K43" s="57">
        <f t="shared" si="6"/>
        <v>1.2500000000000001E-2</v>
      </c>
      <c r="L43" s="57">
        <f t="shared" si="7"/>
        <v>0.1</v>
      </c>
      <c r="M43" s="3">
        <v>150</v>
      </c>
    </row>
    <row r="44" spans="1:20" x14ac:dyDescent="0.3">
      <c r="A44" s="58">
        <v>0.75</v>
      </c>
      <c r="B44" s="58">
        <v>6</v>
      </c>
      <c r="C44" s="23">
        <v>82</v>
      </c>
      <c r="E44" s="58">
        <f t="shared" si="0"/>
        <v>85.873400000000004</v>
      </c>
      <c r="F44" s="58">
        <f t="shared" si="1"/>
        <v>84.873400000000004</v>
      </c>
      <c r="G44" s="58">
        <f t="shared" si="4"/>
        <v>0.1377656169695062</v>
      </c>
      <c r="H44" s="22">
        <f t="shared" si="2"/>
        <v>0.4254202252018352</v>
      </c>
      <c r="I44" s="3">
        <v>17.600000000000001</v>
      </c>
      <c r="J44" s="3">
        <v>96</v>
      </c>
      <c r="K44" s="57">
        <f t="shared" si="6"/>
        <v>1.2500000000000001E-2</v>
      </c>
      <c r="L44" s="57">
        <f t="shared" si="7"/>
        <v>0.1</v>
      </c>
      <c r="M44" s="3">
        <v>150</v>
      </c>
    </row>
    <row r="45" spans="1:20" x14ac:dyDescent="0.3">
      <c r="A45" s="58">
        <v>0.75</v>
      </c>
      <c r="B45" s="58">
        <v>6</v>
      </c>
      <c r="C45" s="23">
        <v>82</v>
      </c>
      <c r="E45" s="58">
        <f t="shared" si="0"/>
        <v>85.873400000000004</v>
      </c>
      <c r="F45" s="58">
        <f t="shared" si="1"/>
        <v>84.873400000000004</v>
      </c>
      <c r="G45" s="58">
        <f t="shared" si="4"/>
        <v>0.1377656169695062</v>
      </c>
      <c r="H45" s="22">
        <f t="shared" si="2"/>
        <v>0.4254202252018352</v>
      </c>
      <c r="I45" s="3">
        <v>18</v>
      </c>
      <c r="J45" s="3">
        <v>101</v>
      </c>
      <c r="K45" s="57">
        <f t="shared" si="6"/>
        <v>1.2500000000000001E-2</v>
      </c>
      <c r="L45" s="57">
        <f t="shared" si="7"/>
        <v>0.1</v>
      </c>
      <c r="M45" s="3">
        <v>150</v>
      </c>
    </row>
    <row r="46" spans="1:20" x14ac:dyDescent="0.3">
      <c r="A46" s="58">
        <v>0.75</v>
      </c>
      <c r="B46" s="58">
        <v>6</v>
      </c>
      <c r="C46" s="23">
        <v>82</v>
      </c>
      <c r="E46" s="58">
        <f t="shared" si="0"/>
        <v>85.873400000000004</v>
      </c>
      <c r="F46" s="58">
        <f t="shared" si="1"/>
        <v>84.873400000000004</v>
      </c>
      <c r="G46" s="58">
        <f t="shared" si="4"/>
        <v>0.1377656169695062</v>
      </c>
      <c r="H46" s="22">
        <f t="shared" si="2"/>
        <v>0.4254202252018352</v>
      </c>
      <c r="I46" s="3">
        <v>18.05</v>
      </c>
      <c r="J46" s="3">
        <v>106</v>
      </c>
      <c r="K46" s="57">
        <f t="shared" si="6"/>
        <v>1.2500000000000001E-2</v>
      </c>
      <c r="L46" s="57">
        <f t="shared" si="7"/>
        <v>0.1</v>
      </c>
      <c r="M46" s="3">
        <v>150</v>
      </c>
    </row>
    <row r="47" spans="1:20" x14ac:dyDescent="0.3">
      <c r="A47" s="55">
        <v>0.5</v>
      </c>
      <c r="B47" s="55">
        <v>4</v>
      </c>
      <c r="C47" s="63">
        <v>80</v>
      </c>
      <c r="D47" s="1"/>
      <c r="E47" s="55">
        <f t="shared" si="0"/>
        <v>83.899600000000007</v>
      </c>
      <c r="F47" s="55">
        <f t="shared" si="1"/>
        <v>82.899600000000007</v>
      </c>
      <c r="G47" s="66">
        <f t="shared" si="4"/>
        <v>9.4030500471250278E-2</v>
      </c>
      <c r="H47" s="66">
        <f t="shared" si="2"/>
        <v>0.29036618545522086</v>
      </c>
      <c r="I47" s="1"/>
      <c r="J47" s="1"/>
      <c r="K47" s="25">
        <f t="shared" si="6"/>
        <v>8.3333333333333332E-3</v>
      </c>
      <c r="L47" s="25">
        <f t="shared" si="7"/>
        <v>6.6666666666666666E-2</v>
      </c>
      <c r="M47" s="1" t="s">
        <v>165</v>
      </c>
      <c r="P47" s="2" t="s">
        <v>21</v>
      </c>
      <c r="Q47" s="2" t="s">
        <v>109</v>
      </c>
      <c r="R47" s="2" t="s">
        <v>1</v>
      </c>
      <c r="T47" s="2" t="s">
        <v>110</v>
      </c>
    </row>
    <row r="48" spans="1:20" x14ac:dyDescent="0.3">
      <c r="A48" s="1"/>
      <c r="B48" s="1"/>
      <c r="C48" s="1"/>
      <c r="D48" s="1"/>
      <c r="E48" s="1"/>
      <c r="F48" s="1"/>
      <c r="G48" s="1"/>
      <c r="H48" s="1"/>
      <c r="I48" s="1"/>
      <c r="J48" s="1"/>
      <c r="K48" s="1"/>
      <c r="L48" s="1"/>
      <c r="M48" s="1" t="s">
        <v>166</v>
      </c>
      <c r="P48">
        <v>51.344900000000003</v>
      </c>
      <c r="Q48">
        <v>55.307099999999998</v>
      </c>
      <c r="R48">
        <v>3.9621999999999957</v>
      </c>
      <c r="T48">
        <v>20.168372857278499</v>
      </c>
    </row>
    <row r="50" spans="1:28" x14ac:dyDescent="0.3">
      <c r="P50" s="2" t="s">
        <v>2</v>
      </c>
      <c r="Q50" s="2" t="s">
        <v>3</v>
      </c>
      <c r="R50" t="s">
        <v>235</v>
      </c>
    </row>
    <row r="51" spans="1:28" x14ac:dyDescent="0.3">
      <c r="P51">
        <v>24.130572857278541</v>
      </c>
      <c r="Q51">
        <v>16.419833973418793</v>
      </c>
      <c r="T51" t="s">
        <v>138</v>
      </c>
    </row>
    <row r="52" spans="1:28" x14ac:dyDescent="0.3">
      <c r="T52" s="9">
        <v>4.4196109411019897</v>
      </c>
    </row>
    <row r="55" spans="1:28" x14ac:dyDescent="0.3">
      <c r="M55" s="1"/>
      <c r="N55" s="13"/>
      <c r="O55" s="13"/>
      <c r="P55" s="13"/>
      <c r="Q55" s="13"/>
      <c r="R55" s="13"/>
      <c r="S55" s="13"/>
      <c r="T55" s="13"/>
      <c r="U55" s="13"/>
    </row>
    <row r="56" spans="1:28" x14ac:dyDescent="0.3">
      <c r="M56" s="1"/>
      <c r="N56" s="1"/>
      <c r="O56" s="1"/>
      <c r="P56" s="1"/>
      <c r="Q56" s="1"/>
      <c r="R56" s="1"/>
      <c r="S56" s="1"/>
      <c r="T56" s="1"/>
    </row>
    <row r="57" spans="1:28" x14ac:dyDescent="0.3">
      <c r="A57" s="2" t="s">
        <v>114</v>
      </c>
      <c r="B57" s="2" t="s">
        <v>115</v>
      </c>
      <c r="C57" s="2" t="s">
        <v>226</v>
      </c>
      <c r="D57" s="2" t="s">
        <v>18</v>
      </c>
      <c r="E57" s="2" t="s">
        <v>19</v>
      </c>
      <c r="F57" s="2" t="s">
        <v>13</v>
      </c>
    </row>
    <row r="58" spans="1:28" x14ac:dyDescent="0.3">
      <c r="A58">
        <v>0.75</v>
      </c>
      <c r="B58" s="6">
        <v>6</v>
      </c>
      <c r="C58" s="36">
        <v>31</v>
      </c>
      <c r="D58" s="9">
        <v>0.33566755332473003</v>
      </c>
      <c r="E58" s="6">
        <v>1.0365414046667665</v>
      </c>
      <c r="F58">
        <v>0</v>
      </c>
      <c r="N58" s="2" t="s">
        <v>125</v>
      </c>
      <c r="O58" s="2" t="s">
        <v>20</v>
      </c>
      <c r="P58" s="2" t="s">
        <v>109</v>
      </c>
      <c r="Q58" s="2" t="s">
        <v>111</v>
      </c>
      <c r="R58" s="2" t="s">
        <v>112</v>
      </c>
      <c r="S58" s="2" t="s">
        <v>126</v>
      </c>
      <c r="T58" s="2" t="s">
        <v>141</v>
      </c>
      <c r="U58" s="2" t="s">
        <v>160</v>
      </c>
    </row>
    <row r="59" spans="1:28" x14ac:dyDescent="0.3">
      <c r="A59">
        <v>0.75</v>
      </c>
      <c r="B59" s="6">
        <v>6</v>
      </c>
      <c r="C59" s="36">
        <v>39</v>
      </c>
      <c r="D59" s="9">
        <v>0.2732177759619896</v>
      </c>
      <c r="E59" s="9">
        <v>0.84369649217062381</v>
      </c>
      <c r="F59">
        <v>1</v>
      </c>
      <c r="N59">
        <v>55.602600000000002</v>
      </c>
      <c r="O59">
        <v>0.63349999999999995</v>
      </c>
      <c r="P59">
        <f>N59-O59</f>
        <v>54.969100000000005</v>
      </c>
      <c r="Q59">
        <f>0.684</f>
        <v>0.68400000000000005</v>
      </c>
      <c r="R59" s="6">
        <f>(P59-$P$48-Q59*T52)/(1-Q59)</f>
        <v>1.9024877097665853</v>
      </c>
      <c r="S59" s="36">
        <f>R59/T52*100</f>
        <v>43.046497420703226</v>
      </c>
    </row>
    <row r="60" spans="1:28" x14ac:dyDescent="0.3">
      <c r="A60">
        <v>0.75</v>
      </c>
      <c r="B60" s="6">
        <v>6</v>
      </c>
      <c r="C60" s="36">
        <v>44.5</v>
      </c>
      <c r="D60" s="9">
        <v>0.24223431683227942</v>
      </c>
      <c r="E60" s="9">
        <v>0.74801957037807887</v>
      </c>
      <c r="F60">
        <v>3</v>
      </c>
    </row>
    <row r="61" spans="1:28" x14ac:dyDescent="0.3">
      <c r="A61">
        <v>0.75</v>
      </c>
      <c r="B61" s="6">
        <v>6</v>
      </c>
      <c r="C61" s="36">
        <v>50</v>
      </c>
      <c r="D61" s="9">
        <v>0.21756230308084357</v>
      </c>
      <c r="E61" s="9">
        <v>0.67183239191364497</v>
      </c>
      <c r="F61">
        <v>6</v>
      </c>
      <c r="N61" s="2" t="s">
        <v>125</v>
      </c>
      <c r="O61" s="2" t="s">
        <v>20</v>
      </c>
      <c r="P61" s="2" t="s">
        <v>109</v>
      </c>
      <c r="Q61" s="2" t="s">
        <v>111</v>
      </c>
      <c r="R61" s="2" t="s">
        <v>112</v>
      </c>
      <c r="S61" s="2" t="s">
        <v>126</v>
      </c>
      <c r="T61" s="2" t="s">
        <v>141</v>
      </c>
      <c r="U61" t="s">
        <v>156</v>
      </c>
      <c r="X61" s="2" t="s">
        <v>189</v>
      </c>
    </row>
    <row r="62" spans="1:28" x14ac:dyDescent="0.3">
      <c r="A62">
        <v>0.75</v>
      </c>
      <c r="B62" s="6">
        <v>6</v>
      </c>
      <c r="C62" s="36">
        <v>54.5</v>
      </c>
      <c r="D62" s="9">
        <v>0.20082674130539407</v>
      </c>
      <c r="E62" s="9">
        <v>0.62015297715105699</v>
      </c>
      <c r="F62">
        <v>11</v>
      </c>
      <c r="N62">
        <v>55.534100000000002</v>
      </c>
      <c r="O62">
        <v>0.63349999999999995</v>
      </c>
      <c r="P62">
        <f>N62-O62</f>
        <v>54.900600000000004</v>
      </c>
      <c r="Q62">
        <f>0.684</f>
        <v>0.68400000000000005</v>
      </c>
      <c r="R62" s="6">
        <f>(P62-$P$48-Q62*T52)/(1-Q62)</f>
        <v>1.6857155578678504</v>
      </c>
      <c r="S62" s="36">
        <f>R62/T52*100</f>
        <v>38.141718362375414</v>
      </c>
      <c r="V62" s="2" t="s">
        <v>167</v>
      </c>
      <c r="W62" s="2" t="s">
        <v>191</v>
      </c>
      <c r="X62" s="2" t="s">
        <v>192</v>
      </c>
      <c r="Y62" s="2" t="s">
        <v>180</v>
      </c>
      <c r="Z62" s="2" t="s">
        <v>193</v>
      </c>
      <c r="AA62" s="2" t="s">
        <v>194</v>
      </c>
      <c r="AB62" s="2" t="s">
        <v>195</v>
      </c>
    </row>
    <row r="63" spans="1:28" x14ac:dyDescent="0.3">
      <c r="A63">
        <v>0.75</v>
      </c>
      <c r="B63" s="6">
        <v>6</v>
      </c>
      <c r="C63" s="36">
        <v>59</v>
      </c>
      <c r="D63" s="9">
        <v>0.18648197406929448</v>
      </c>
      <c r="E63" s="9">
        <v>0.5758563359259814</v>
      </c>
      <c r="F63">
        <v>16</v>
      </c>
      <c r="V63" s="60">
        <f>(S59+S62+S65+S68+S71+S74)/6</f>
        <v>42.78276112583935</v>
      </c>
      <c r="W63" s="9">
        <f>(V63-S59)^2</f>
        <v>6.9556833228524975E-2</v>
      </c>
      <c r="X63" s="36">
        <f>SQRT(SUM(W63:W68)/(6-1))</f>
        <v>2.5230039013226757</v>
      </c>
      <c r="Y63">
        <v>4.032</v>
      </c>
      <c r="Z63" s="63">
        <f>Y63*X63/SQRT(6)</f>
        <v>4.1530085031401134</v>
      </c>
      <c r="AA63" s="36">
        <f>V63+Z63</f>
        <v>46.935769628979465</v>
      </c>
      <c r="AB63" s="36">
        <f>V63-Z63</f>
        <v>38.629752622699236</v>
      </c>
    </row>
    <row r="64" spans="1:28" x14ac:dyDescent="0.3">
      <c r="A64">
        <v>0.75</v>
      </c>
      <c r="B64" s="6">
        <v>6</v>
      </c>
      <c r="C64" s="36">
        <v>63</v>
      </c>
      <c r="D64" s="9">
        <v>0.17534872188605302</v>
      </c>
      <c r="E64" s="9">
        <v>0.54147685318413175</v>
      </c>
      <c r="F64">
        <v>21</v>
      </c>
      <c r="N64" s="2" t="s">
        <v>125</v>
      </c>
      <c r="O64" s="2" t="s">
        <v>20</v>
      </c>
      <c r="P64" s="2" t="s">
        <v>109</v>
      </c>
      <c r="Q64" s="2" t="s">
        <v>111</v>
      </c>
      <c r="R64" s="2" t="s">
        <v>112</v>
      </c>
      <c r="S64" s="2" t="s">
        <v>126</v>
      </c>
      <c r="T64" s="2" t="s">
        <v>141</v>
      </c>
      <c r="U64" t="s">
        <v>156</v>
      </c>
      <c r="W64" s="9">
        <f>(V63-S62)^2</f>
        <v>21.539277932300969</v>
      </c>
    </row>
    <row r="65" spans="1:31" x14ac:dyDescent="0.3">
      <c r="A65">
        <v>0.75</v>
      </c>
      <c r="B65" s="6">
        <v>6</v>
      </c>
      <c r="C65" s="36">
        <v>64</v>
      </c>
      <c r="D65" s="9">
        <v>0.1727700642112581</v>
      </c>
      <c r="E65" s="9">
        <v>0.5335139582843651</v>
      </c>
      <c r="F65">
        <v>26</v>
      </c>
      <c r="N65">
        <v>55.701700000000002</v>
      </c>
      <c r="O65">
        <v>0.73880000000000001</v>
      </c>
      <c r="P65">
        <f>N65-O65</f>
        <v>54.962900000000005</v>
      </c>
      <c r="Q65">
        <f>0.684</f>
        <v>0.68400000000000005</v>
      </c>
      <c r="R65" s="6">
        <f>(P65-$P$48-Q65*T52)/(1-Q65)</f>
        <v>1.8828674566020291</v>
      </c>
      <c r="S65" s="36">
        <f>R65/T52*100</f>
        <v>42.60256121396408</v>
      </c>
      <c r="W65" s="9">
        <f>(V63-S65)^2</f>
        <v>3.2472008239855216E-2</v>
      </c>
    </row>
    <row r="66" spans="1:31" ht="15" thickBot="1" x14ac:dyDescent="0.35">
      <c r="A66">
        <v>0.75</v>
      </c>
      <c r="B66" s="6">
        <v>6</v>
      </c>
      <c r="C66" s="36">
        <v>66</v>
      </c>
      <c r="D66" s="9">
        <v>0.16783377666236501</v>
      </c>
      <c r="E66" s="9">
        <v>0.51827070233338324</v>
      </c>
      <c r="F66">
        <v>31</v>
      </c>
      <c r="W66" s="9">
        <f>(S68-V63)^2</f>
        <v>5.816850217414208</v>
      </c>
    </row>
    <row r="67" spans="1:31" ht="18.600000000000001" thickBot="1" x14ac:dyDescent="0.35">
      <c r="A67">
        <v>0.75</v>
      </c>
      <c r="B67" s="6">
        <v>6</v>
      </c>
      <c r="C67" s="36">
        <v>70</v>
      </c>
      <c r="D67" s="9">
        <v>0.15876168062656149</v>
      </c>
      <c r="E67" s="9">
        <v>0.49025606977482195</v>
      </c>
      <c r="F67">
        <v>36</v>
      </c>
      <c r="N67" s="2" t="s">
        <v>125</v>
      </c>
      <c r="O67" s="2" t="s">
        <v>20</v>
      </c>
      <c r="P67" s="2" t="s">
        <v>109</v>
      </c>
      <c r="Q67" s="2" t="s">
        <v>111</v>
      </c>
      <c r="R67" s="2" t="s">
        <v>112</v>
      </c>
      <c r="S67" s="2" t="s">
        <v>126</v>
      </c>
      <c r="T67" s="2" t="s">
        <v>141</v>
      </c>
      <c r="U67" t="s">
        <v>156</v>
      </c>
      <c r="W67" s="9">
        <f>(V63-S71)^2</f>
        <v>4.3664404953927134</v>
      </c>
      <c r="AB67" s="46" t="s">
        <v>229</v>
      </c>
      <c r="AC67" s="47" t="s">
        <v>230</v>
      </c>
      <c r="AD67" s="47" t="s">
        <v>232</v>
      </c>
      <c r="AE67" s="47" t="s">
        <v>216</v>
      </c>
    </row>
    <row r="68" spans="1:31" ht="16.2" thickBot="1" x14ac:dyDescent="0.35">
      <c r="A68">
        <v>0.75</v>
      </c>
      <c r="B68" s="6">
        <v>6</v>
      </c>
      <c r="C68" s="36">
        <v>72.5</v>
      </c>
      <c r="D68" s="9">
        <v>0.1535733904100072</v>
      </c>
      <c r="E68" s="9">
        <v>0.4742346295861023</v>
      </c>
      <c r="F68">
        <v>41</v>
      </c>
      <c r="N68">
        <v>55.737900000000003</v>
      </c>
      <c r="O68">
        <v>0.73880000000000001</v>
      </c>
      <c r="P68">
        <f>N68-O68</f>
        <v>54.999100000000006</v>
      </c>
      <c r="Q68">
        <f>0.684</f>
        <v>0.68400000000000005</v>
      </c>
      <c r="R68" s="6">
        <f>(P68-$P$48-Q68*T52)/(1-Q68)</f>
        <v>1.9974244186273484</v>
      </c>
      <c r="S68" s="36">
        <f>R68/T52*100</f>
        <v>45.194575840408902</v>
      </c>
      <c r="W68" s="9">
        <f>(V63-S74)^2</f>
        <v>3.1459438709354483E-3</v>
      </c>
      <c r="AB68" s="48">
        <v>0.63349999999999995</v>
      </c>
      <c r="AC68" s="49">
        <v>54.969100000000005</v>
      </c>
      <c r="AD68" s="73">
        <f>$S$59</f>
        <v>43.046497420703226</v>
      </c>
      <c r="AE68" s="49" t="s">
        <v>218</v>
      </c>
    </row>
    <row r="69" spans="1:31" ht="16.2" thickBot="1" x14ac:dyDescent="0.35">
      <c r="A69">
        <v>0.75</v>
      </c>
      <c r="B69" s="6">
        <v>6</v>
      </c>
      <c r="C69" s="36">
        <v>74</v>
      </c>
      <c r="D69" s="9">
        <v>0.15062005597904551</v>
      </c>
      <c r="E69" s="9">
        <v>0.46511473286329263</v>
      </c>
      <c r="F69">
        <v>46</v>
      </c>
      <c r="AB69" s="48">
        <v>0.63349999999999995</v>
      </c>
      <c r="AC69" s="49">
        <v>54.900600000000004</v>
      </c>
      <c r="AD69" s="73">
        <f>S62</f>
        <v>38.141718362375414</v>
      </c>
      <c r="AE69" s="49" t="s">
        <v>217</v>
      </c>
    </row>
    <row r="70" spans="1:31" ht="16.2" thickBot="1" x14ac:dyDescent="0.35">
      <c r="A70">
        <v>0.75</v>
      </c>
      <c r="B70" s="6">
        <v>6</v>
      </c>
      <c r="C70" s="36">
        <v>76</v>
      </c>
      <c r="D70" s="9">
        <v>0.14685455457956939</v>
      </c>
      <c r="E70" s="9">
        <v>0.45348686454171033</v>
      </c>
      <c r="F70">
        <v>51</v>
      </c>
      <c r="N70" s="2" t="s">
        <v>125</v>
      </c>
      <c r="O70" s="2" t="s">
        <v>20</v>
      </c>
      <c r="P70" s="2" t="s">
        <v>109</v>
      </c>
      <c r="Q70" s="2" t="s">
        <v>111</v>
      </c>
      <c r="R70" s="2" t="s">
        <v>112</v>
      </c>
      <c r="S70" s="2" t="s">
        <v>126</v>
      </c>
      <c r="T70" s="2" t="s">
        <v>141</v>
      </c>
      <c r="U70" t="s">
        <v>156</v>
      </c>
      <c r="AB70" s="48">
        <v>0.73880000000000001</v>
      </c>
      <c r="AC70" s="49">
        <v>54.962900000000005</v>
      </c>
      <c r="AD70" s="73">
        <f>S65</f>
        <v>42.60256121396408</v>
      </c>
      <c r="AE70" s="49" t="s">
        <v>217</v>
      </c>
    </row>
    <row r="71" spans="1:31" ht="16.2" thickBot="1" x14ac:dyDescent="0.35">
      <c r="A71">
        <v>0.75</v>
      </c>
      <c r="B71" s="6">
        <v>6</v>
      </c>
      <c r="C71" s="36">
        <v>77</v>
      </c>
      <c r="D71" s="9">
        <v>0.14504153538722903</v>
      </c>
      <c r="E71" s="9">
        <v>0.44788826127576326</v>
      </c>
      <c r="F71">
        <v>56</v>
      </c>
      <c r="N71">
        <v>55.733400000000003</v>
      </c>
      <c r="O71">
        <v>0.73880000000000001</v>
      </c>
      <c r="P71">
        <f>N71-O71</f>
        <v>54.994600000000005</v>
      </c>
      <c r="Q71">
        <f>0.684</f>
        <v>0.68400000000000005</v>
      </c>
      <c r="R71" s="6">
        <f>(P71-$P$48-Q71*T52)/(1-Q71)</f>
        <v>1.983183912298234</v>
      </c>
      <c r="S71" s="36">
        <f>R71/T52*100</f>
        <v>44.872364077453057</v>
      </c>
      <c r="AB71" s="48">
        <v>0.73880000000000001</v>
      </c>
      <c r="AC71" s="49">
        <v>54.999100000000006</v>
      </c>
      <c r="AD71" s="73">
        <f>S68</f>
        <v>45.194575840408902</v>
      </c>
      <c r="AE71" s="49" t="s">
        <v>217</v>
      </c>
    </row>
    <row r="72" spans="1:31" ht="16.2" thickBot="1" x14ac:dyDescent="0.35">
      <c r="A72">
        <v>0.75</v>
      </c>
      <c r="B72" s="6">
        <v>6</v>
      </c>
      <c r="C72" s="36">
        <v>80</v>
      </c>
      <c r="D72" s="9">
        <v>0.13986148055197084</v>
      </c>
      <c r="E72" s="9">
        <v>0.43189225194448599</v>
      </c>
      <c r="F72">
        <v>61</v>
      </c>
      <c r="AB72" s="48">
        <v>0.73880000000000001</v>
      </c>
      <c r="AC72" s="49">
        <v>54.994600000000005</v>
      </c>
      <c r="AD72" s="73">
        <f>S71</f>
        <v>44.872364077453057</v>
      </c>
      <c r="AE72" s="49" t="s">
        <v>217</v>
      </c>
    </row>
    <row r="73" spans="1:31" ht="16.2" thickBot="1" x14ac:dyDescent="0.35">
      <c r="A73">
        <v>0.75</v>
      </c>
      <c r="B73" s="6">
        <v>6</v>
      </c>
      <c r="C73" s="36">
        <v>82</v>
      </c>
      <c r="D73" s="9">
        <v>0.1366088879809948</v>
      </c>
      <c r="E73" s="9">
        <v>0.42184824608531191</v>
      </c>
      <c r="F73">
        <v>66</v>
      </c>
      <c r="N73" s="2" t="s">
        <v>125</v>
      </c>
      <c r="O73" s="2" t="s">
        <v>20</v>
      </c>
      <c r="P73" s="2" t="s">
        <v>109</v>
      </c>
      <c r="Q73" s="2" t="s">
        <v>111</v>
      </c>
      <c r="R73" s="2" t="s">
        <v>112</v>
      </c>
      <c r="S73" s="2" t="s">
        <v>126</v>
      </c>
      <c r="T73" s="2" t="s">
        <v>141</v>
      </c>
      <c r="U73" t="s">
        <v>156</v>
      </c>
      <c r="AB73" s="43">
        <v>0.73880000000000001</v>
      </c>
      <c r="AC73" s="43">
        <v>54.966200000000001</v>
      </c>
      <c r="AD73" s="74">
        <f>S74</f>
        <v>42.838849840131402</v>
      </c>
      <c r="AE73" s="49" t="s">
        <v>217</v>
      </c>
    </row>
    <row r="74" spans="1:31" x14ac:dyDescent="0.3">
      <c r="A74">
        <v>0.75</v>
      </c>
      <c r="B74" s="6">
        <v>6</v>
      </c>
      <c r="C74" s="36">
        <v>81</v>
      </c>
      <c r="D74" s="9">
        <v>0.1382160513690065</v>
      </c>
      <c r="E74" s="9">
        <v>0.42681116662749213</v>
      </c>
      <c r="F74">
        <v>71</v>
      </c>
      <c r="N74">
        <v>55.704999999999998</v>
      </c>
      <c r="O74">
        <v>0.73880000000000001</v>
      </c>
      <c r="P74">
        <f>N74-O74</f>
        <v>54.966200000000001</v>
      </c>
      <c r="Q74">
        <f>0.684</f>
        <v>0.68400000000000005</v>
      </c>
      <c r="R74" s="6">
        <f>(P74-$P$48-Q74*T52)/(1-Q74)</f>
        <v>1.8933104945766996</v>
      </c>
      <c r="S74" s="36">
        <f>R74/T52*100</f>
        <v>42.838849840131402</v>
      </c>
    </row>
    <row r="75" spans="1:31" x14ac:dyDescent="0.3">
      <c r="A75">
        <v>0.75</v>
      </c>
      <c r="B75" s="6">
        <v>6</v>
      </c>
      <c r="C75" s="36">
        <v>82</v>
      </c>
      <c r="D75" s="9">
        <v>0.1366088879809948</v>
      </c>
      <c r="E75" s="9">
        <v>0.42184824608531191</v>
      </c>
      <c r="F75">
        <v>76</v>
      </c>
    </row>
    <row r="76" spans="1:31" x14ac:dyDescent="0.3">
      <c r="A76">
        <v>0.75</v>
      </c>
      <c r="B76" s="6">
        <v>6</v>
      </c>
      <c r="C76" s="36">
        <v>82</v>
      </c>
      <c r="D76" s="9">
        <v>0.1366088879809948</v>
      </c>
      <c r="E76" s="9">
        <v>0.42184824608531191</v>
      </c>
      <c r="F76">
        <v>81</v>
      </c>
    </row>
    <row r="77" spans="1:31" x14ac:dyDescent="0.3">
      <c r="A77">
        <v>0.75</v>
      </c>
      <c r="B77" s="6">
        <v>6</v>
      </c>
      <c r="C77" s="36">
        <v>82</v>
      </c>
      <c r="D77" s="9">
        <v>0.1366088879809948</v>
      </c>
      <c r="E77" s="9">
        <v>0.42184824608531191</v>
      </c>
      <c r="F77">
        <v>86</v>
      </c>
    </row>
    <row r="78" spans="1:31" x14ac:dyDescent="0.3">
      <c r="A78">
        <v>0.75</v>
      </c>
      <c r="B78" s="6">
        <v>6</v>
      </c>
      <c r="C78" s="36">
        <v>82</v>
      </c>
      <c r="D78" s="9">
        <v>0.1366088879809948</v>
      </c>
      <c r="E78" s="9">
        <v>0.42184824608531191</v>
      </c>
      <c r="F78">
        <v>91</v>
      </c>
    </row>
    <row r="79" spans="1:31" x14ac:dyDescent="0.3">
      <c r="A79">
        <v>0.75</v>
      </c>
      <c r="B79" s="6">
        <v>6</v>
      </c>
      <c r="C79" s="36">
        <v>82</v>
      </c>
      <c r="D79" s="9">
        <v>0.1366088879809948</v>
      </c>
      <c r="E79" s="9">
        <v>0.42184824608531191</v>
      </c>
      <c r="F79">
        <v>96</v>
      </c>
    </row>
    <row r="80" spans="1:31" x14ac:dyDescent="0.3">
      <c r="A80">
        <v>0.75</v>
      </c>
      <c r="B80" s="6">
        <v>6</v>
      </c>
      <c r="C80" s="36">
        <v>82</v>
      </c>
      <c r="D80" s="9">
        <v>0.1366088879809948</v>
      </c>
      <c r="E80" s="9">
        <v>0.42184824608531191</v>
      </c>
      <c r="F80">
        <v>101</v>
      </c>
    </row>
    <row r="81" spans="1:6" x14ac:dyDescent="0.3">
      <c r="A81">
        <v>0.75</v>
      </c>
      <c r="B81" s="6">
        <v>6</v>
      </c>
      <c r="C81" s="36">
        <v>82</v>
      </c>
      <c r="D81" s="9">
        <v>0.1366088879809948</v>
      </c>
      <c r="E81" s="9">
        <v>0.42184824608531191</v>
      </c>
      <c r="F81">
        <v>106</v>
      </c>
    </row>
    <row r="82" spans="1:6" x14ac:dyDescent="0.3">
      <c r="D82" s="9"/>
      <c r="E82" s="9"/>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P120"/>
  <sheetViews>
    <sheetView topLeftCell="D67" zoomScaleNormal="100" workbookViewId="0">
      <selection activeCell="N76" sqref="N76"/>
    </sheetView>
  </sheetViews>
  <sheetFormatPr defaultRowHeight="14.4" x14ac:dyDescent="0.3"/>
  <cols>
    <col min="1" max="1" width="12.6640625" customWidth="1"/>
    <col min="2" max="2" width="12.33203125" customWidth="1"/>
    <col min="3" max="3" width="15.6640625" customWidth="1"/>
    <col min="4" max="4" width="14.44140625" customWidth="1"/>
    <col min="5" max="5" width="11.5546875" bestFit="1" customWidth="1"/>
    <col min="6" max="6" width="13.33203125" customWidth="1"/>
    <col min="7" max="7" width="12" customWidth="1"/>
    <col min="8" max="8" width="9.33203125" customWidth="1"/>
    <col min="9" max="9" width="10.88671875" customWidth="1"/>
    <col min="11" max="11" width="15.109375" customWidth="1"/>
    <col min="12" max="12" width="14.44140625" customWidth="1"/>
    <col min="13" max="13" width="15.6640625" customWidth="1"/>
    <col min="14" max="14" width="17.5546875" customWidth="1"/>
    <col min="15" max="15" width="10" customWidth="1"/>
  </cols>
  <sheetData>
    <row r="2" spans="1:15" x14ac:dyDescent="0.3">
      <c r="A2" s="2" t="s">
        <v>114</v>
      </c>
      <c r="B2" s="2" t="s">
        <v>115</v>
      </c>
      <c r="C2" s="2" t="s">
        <v>164</v>
      </c>
      <c r="D2" s="2" t="s">
        <v>228</v>
      </c>
      <c r="E2" s="2" t="s">
        <v>7</v>
      </c>
      <c r="F2" s="2" t="s">
        <v>11</v>
      </c>
      <c r="G2" s="2" t="s">
        <v>18</v>
      </c>
      <c r="H2" s="2" t="s">
        <v>19</v>
      </c>
      <c r="I2" s="2" t="s">
        <v>9</v>
      </c>
      <c r="J2" s="8" t="s">
        <v>13</v>
      </c>
      <c r="K2" s="5" t="s">
        <v>116</v>
      </c>
      <c r="L2" s="5" t="s">
        <v>117</v>
      </c>
      <c r="M2" s="5" t="s">
        <v>118</v>
      </c>
    </row>
    <row r="3" spans="1:15" x14ac:dyDescent="0.3">
      <c r="A3" s="58">
        <v>1</v>
      </c>
      <c r="B3" s="58">
        <v>3</v>
      </c>
      <c r="C3" s="23">
        <v>7</v>
      </c>
      <c r="D3" s="3">
        <v>-3.5</v>
      </c>
      <c r="E3" s="58">
        <f>$O$4*(C3-$D$3)+1</f>
        <v>11.362450000000001</v>
      </c>
      <c r="F3" s="58">
        <f t="shared" ref="F3:F55" si="0">E3-1</f>
        <v>10.362450000000001</v>
      </c>
      <c r="G3" s="23">
        <f>(1000*K3*1*4.751)/(PI()*2.543^2/4*F3)</f>
        <v>1.5044880075400044</v>
      </c>
      <c r="H3" s="23">
        <f>(1000*L3*0.386*4.751)/(PI()*2.543^2/4*F3)</f>
        <v>1.7421971127313249</v>
      </c>
      <c r="I3" s="3">
        <v>9.5</v>
      </c>
      <c r="J3" s="3">
        <v>0</v>
      </c>
      <c r="K3" s="57">
        <f>A3/60</f>
        <v>1.6666666666666666E-2</v>
      </c>
      <c r="L3" s="57">
        <f>B3/60</f>
        <v>0.05</v>
      </c>
      <c r="M3">
        <v>60</v>
      </c>
      <c r="N3" t="s">
        <v>156</v>
      </c>
      <c r="O3" s="2" t="s">
        <v>15</v>
      </c>
    </row>
    <row r="4" spans="1:15" x14ac:dyDescent="0.3">
      <c r="A4" s="58">
        <v>1</v>
      </c>
      <c r="B4" s="58">
        <v>3</v>
      </c>
      <c r="C4" s="23">
        <v>9.5</v>
      </c>
      <c r="D4" s="3"/>
      <c r="E4" s="58">
        <f t="shared" ref="E4:E55" si="1">$O$4*(C4-$D$3)+1</f>
        <v>13.829700000000001</v>
      </c>
      <c r="F4" s="58">
        <f t="shared" si="0"/>
        <v>12.829700000000001</v>
      </c>
      <c r="G4" s="23">
        <f t="shared" ref="G4:G55" si="2">(1000*K4*1*4.751)/(PI()*2.543^2/4*F4)</f>
        <v>1.2151633907053883</v>
      </c>
      <c r="H4" s="23">
        <f t="shared" ref="H4:H55" si="3">(1000*L4*0.386*4.751)/(PI()*2.543^2/4*F4)</f>
        <v>1.4071592064368394</v>
      </c>
      <c r="I4" s="58">
        <v>9.56</v>
      </c>
      <c r="J4" s="3">
        <v>6</v>
      </c>
      <c r="K4" s="57">
        <f t="shared" ref="K4:K55" si="4">A4/60</f>
        <v>1.6666666666666666E-2</v>
      </c>
      <c r="L4" s="57">
        <f t="shared" ref="L4:L55" si="5">B4/60</f>
        <v>0.05</v>
      </c>
      <c r="M4">
        <v>60</v>
      </c>
      <c r="N4" t="s">
        <v>156</v>
      </c>
      <c r="O4">
        <v>0.9869</v>
      </c>
    </row>
    <row r="5" spans="1:15" x14ac:dyDescent="0.3">
      <c r="A5" s="58">
        <v>1</v>
      </c>
      <c r="B5" s="58">
        <v>3</v>
      </c>
      <c r="C5" s="23">
        <v>10</v>
      </c>
      <c r="D5" s="3"/>
      <c r="E5" s="58">
        <f>$O$4*(C5-$D$3)+1</f>
        <v>14.32315</v>
      </c>
      <c r="F5" s="58">
        <f t="shared" si="0"/>
        <v>13.32315</v>
      </c>
      <c r="G5" s="58">
        <f t="shared" si="2"/>
        <v>1.1701573391977815</v>
      </c>
      <c r="H5" s="58">
        <f t="shared" si="3"/>
        <v>1.3550421987910308</v>
      </c>
      <c r="I5" s="3">
        <v>10</v>
      </c>
      <c r="J5" s="3">
        <v>10</v>
      </c>
      <c r="K5" s="57">
        <f t="shared" si="4"/>
        <v>1.6666666666666666E-2</v>
      </c>
      <c r="L5" s="57">
        <f t="shared" si="5"/>
        <v>0.05</v>
      </c>
      <c r="M5">
        <v>60</v>
      </c>
      <c r="N5" t="s">
        <v>156</v>
      </c>
    </row>
    <row r="6" spans="1:15" x14ac:dyDescent="0.3">
      <c r="A6" s="58">
        <v>2</v>
      </c>
      <c r="B6" s="58">
        <v>6</v>
      </c>
      <c r="C6" s="23">
        <v>22</v>
      </c>
      <c r="D6" s="3"/>
      <c r="E6" s="58">
        <f t="shared" si="1"/>
        <v>26.165949999999999</v>
      </c>
      <c r="F6" s="58">
        <f t="shared" si="0"/>
        <v>25.165949999999999</v>
      </c>
      <c r="G6" s="58">
        <f t="shared" si="2"/>
        <v>1.2389901238564744</v>
      </c>
      <c r="H6" s="58">
        <f t="shared" si="3"/>
        <v>1.4347505634257973</v>
      </c>
      <c r="I6" s="3">
        <v>13.44</v>
      </c>
      <c r="J6" s="3">
        <v>0</v>
      </c>
      <c r="K6" s="57">
        <f>A6/60</f>
        <v>3.3333333333333333E-2</v>
      </c>
      <c r="L6" s="57">
        <f t="shared" si="5"/>
        <v>0.1</v>
      </c>
      <c r="M6">
        <v>150</v>
      </c>
      <c r="N6" t="s">
        <v>156</v>
      </c>
      <c r="O6">
        <f>0.1*O4</f>
        <v>9.869E-2</v>
      </c>
    </row>
    <row r="7" spans="1:15" x14ac:dyDescent="0.3">
      <c r="A7" s="58">
        <v>2</v>
      </c>
      <c r="B7" s="58">
        <v>6</v>
      </c>
      <c r="C7" s="23">
        <v>24</v>
      </c>
      <c r="D7" s="3"/>
      <c r="E7" s="58">
        <f t="shared" si="1"/>
        <v>28.139749999999999</v>
      </c>
      <c r="F7" s="58">
        <f t="shared" si="0"/>
        <v>27.139749999999999</v>
      </c>
      <c r="G7" s="58">
        <f t="shared" si="2"/>
        <v>1.1488817512123672</v>
      </c>
      <c r="H7" s="58">
        <f t="shared" si="3"/>
        <v>1.330405067903921</v>
      </c>
      <c r="I7" s="3">
        <v>13.46</v>
      </c>
      <c r="J7" s="3">
        <v>2</v>
      </c>
      <c r="K7" s="57">
        <f t="shared" si="4"/>
        <v>3.3333333333333333E-2</v>
      </c>
      <c r="L7" s="57">
        <f t="shared" si="5"/>
        <v>0.1</v>
      </c>
      <c r="M7">
        <v>150</v>
      </c>
      <c r="N7" t="s">
        <v>156</v>
      </c>
    </row>
    <row r="8" spans="1:15" x14ac:dyDescent="0.3">
      <c r="A8" s="58">
        <v>2</v>
      </c>
      <c r="B8" s="58">
        <v>6</v>
      </c>
      <c r="C8" s="23">
        <v>28</v>
      </c>
      <c r="D8" s="3"/>
      <c r="E8" s="58">
        <f t="shared" si="1"/>
        <v>32.087350000000001</v>
      </c>
      <c r="F8" s="58">
        <f t="shared" si="0"/>
        <v>31.087350000000001</v>
      </c>
      <c r="G8" s="58">
        <f t="shared" si="2"/>
        <v>1.0029920050266699</v>
      </c>
      <c r="H8" s="58">
        <f t="shared" si="3"/>
        <v>1.1614647418208834</v>
      </c>
      <c r="I8" s="3">
        <v>13.51</v>
      </c>
      <c r="J8" s="3">
        <v>7</v>
      </c>
      <c r="K8" s="57">
        <f t="shared" si="4"/>
        <v>3.3333333333333333E-2</v>
      </c>
      <c r="L8" s="57">
        <f t="shared" si="5"/>
        <v>0.1</v>
      </c>
      <c r="M8">
        <v>150</v>
      </c>
      <c r="N8" t="s">
        <v>156</v>
      </c>
    </row>
    <row r="9" spans="1:15" x14ac:dyDescent="0.3">
      <c r="A9" s="58">
        <v>2</v>
      </c>
      <c r="B9" s="58">
        <v>6</v>
      </c>
      <c r="C9" s="23">
        <v>31</v>
      </c>
      <c r="D9" s="3"/>
      <c r="E9" s="58">
        <f t="shared" si="1"/>
        <v>35.048050000000003</v>
      </c>
      <c r="F9" s="58">
        <f t="shared" si="0"/>
        <v>34.048050000000003</v>
      </c>
      <c r="G9" s="22">
        <f t="shared" si="2"/>
        <v>0.91577530893739401</v>
      </c>
      <c r="H9" s="58">
        <f t="shared" si="3"/>
        <v>1.0604678077495022</v>
      </c>
      <c r="I9" s="3">
        <v>13.56</v>
      </c>
      <c r="J9" s="3">
        <v>12</v>
      </c>
      <c r="K9" s="57">
        <f t="shared" si="4"/>
        <v>3.3333333333333333E-2</v>
      </c>
      <c r="L9" s="57">
        <f t="shared" si="5"/>
        <v>0.1</v>
      </c>
      <c r="M9">
        <v>150</v>
      </c>
      <c r="N9" t="s">
        <v>156</v>
      </c>
    </row>
    <row r="10" spans="1:15" x14ac:dyDescent="0.3">
      <c r="A10" s="58">
        <v>2</v>
      </c>
      <c r="B10" s="58">
        <v>6</v>
      </c>
      <c r="C10" s="23">
        <v>34.5</v>
      </c>
      <c r="D10" s="3"/>
      <c r="E10" s="58">
        <f t="shared" si="1"/>
        <v>38.502200000000002</v>
      </c>
      <c r="F10" s="58">
        <f t="shared" si="0"/>
        <v>37.502200000000002</v>
      </c>
      <c r="G10" s="22">
        <f t="shared" si="2"/>
        <v>0.83142758311421305</v>
      </c>
      <c r="H10" s="22">
        <f t="shared" si="3"/>
        <v>0.9627931412462587</v>
      </c>
      <c r="I10" s="3">
        <v>14.04</v>
      </c>
      <c r="J10" s="3">
        <v>20</v>
      </c>
      <c r="K10" s="57">
        <f t="shared" si="4"/>
        <v>3.3333333333333333E-2</v>
      </c>
      <c r="L10" s="57">
        <f t="shared" si="5"/>
        <v>0.1</v>
      </c>
      <c r="M10">
        <v>150</v>
      </c>
      <c r="N10" t="s">
        <v>156</v>
      </c>
    </row>
    <row r="11" spans="1:15" x14ac:dyDescent="0.3">
      <c r="A11" s="58">
        <v>2</v>
      </c>
      <c r="B11" s="58">
        <v>6</v>
      </c>
      <c r="C11" s="23">
        <v>39</v>
      </c>
      <c r="D11" s="3"/>
      <c r="E11" s="58">
        <f t="shared" si="1"/>
        <v>42.943249999999999</v>
      </c>
      <c r="F11" s="58">
        <f t="shared" si="0"/>
        <v>41.943249999999999</v>
      </c>
      <c r="G11" s="22">
        <f t="shared" si="2"/>
        <v>0.7433940743138846</v>
      </c>
      <c r="H11" s="22">
        <f t="shared" si="3"/>
        <v>0.86085033805547828</v>
      </c>
      <c r="I11" s="3">
        <v>14.15</v>
      </c>
      <c r="J11" s="3">
        <f>J10+11</f>
        <v>31</v>
      </c>
      <c r="K11" s="57">
        <f t="shared" si="4"/>
        <v>3.3333333333333333E-2</v>
      </c>
      <c r="L11" s="57">
        <f t="shared" si="5"/>
        <v>0.1</v>
      </c>
      <c r="M11">
        <v>150</v>
      </c>
      <c r="N11" t="s">
        <v>156</v>
      </c>
    </row>
    <row r="12" spans="1:15" x14ac:dyDescent="0.3">
      <c r="A12" s="58">
        <v>2</v>
      </c>
      <c r="B12" s="58">
        <v>6</v>
      </c>
      <c r="C12" s="23">
        <v>40</v>
      </c>
      <c r="D12" s="3"/>
      <c r="E12" s="58">
        <f t="shared" si="1"/>
        <v>43.930149999999998</v>
      </c>
      <c r="F12" s="58">
        <f t="shared" si="0"/>
        <v>42.930149999999998</v>
      </c>
      <c r="G12" s="22">
        <f t="shared" si="2"/>
        <v>0.72630455536414029</v>
      </c>
      <c r="H12" s="22">
        <f t="shared" si="3"/>
        <v>0.84106067511167437</v>
      </c>
      <c r="I12" s="3">
        <v>14.2</v>
      </c>
      <c r="J12" s="3">
        <f>J11+5</f>
        <v>36</v>
      </c>
      <c r="K12" s="57">
        <f t="shared" si="4"/>
        <v>3.3333333333333333E-2</v>
      </c>
      <c r="L12" s="57">
        <f t="shared" si="5"/>
        <v>0.1</v>
      </c>
      <c r="M12">
        <v>150</v>
      </c>
      <c r="N12" t="s">
        <v>156</v>
      </c>
    </row>
    <row r="13" spans="1:15" x14ac:dyDescent="0.3">
      <c r="A13" s="58">
        <v>2</v>
      </c>
      <c r="B13" s="58">
        <v>6</v>
      </c>
      <c r="C13" s="23">
        <v>44</v>
      </c>
      <c r="D13" s="3"/>
      <c r="E13" s="58">
        <f t="shared" si="1"/>
        <v>47.877749999999999</v>
      </c>
      <c r="F13" s="58">
        <f t="shared" si="0"/>
        <v>46.877749999999999</v>
      </c>
      <c r="G13" s="22">
        <f t="shared" si="2"/>
        <v>0.66514206649137042</v>
      </c>
      <c r="H13" s="22">
        <f t="shared" si="3"/>
        <v>0.77023451299700696</v>
      </c>
      <c r="I13" s="3">
        <v>14.25</v>
      </c>
      <c r="J13" s="3">
        <f>J12+5</f>
        <v>41</v>
      </c>
      <c r="K13" s="57">
        <f t="shared" si="4"/>
        <v>3.3333333333333333E-2</v>
      </c>
      <c r="L13" s="57">
        <f t="shared" si="5"/>
        <v>0.1</v>
      </c>
      <c r="M13">
        <v>150</v>
      </c>
      <c r="N13" t="s">
        <v>156</v>
      </c>
    </row>
    <row r="14" spans="1:15" x14ac:dyDescent="0.3">
      <c r="A14" s="58">
        <v>2</v>
      </c>
      <c r="B14" s="58">
        <v>6</v>
      </c>
      <c r="C14" s="23">
        <v>46</v>
      </c>
      <c r="D14" s="3"/>
      <c r="E14" s="58">
        <f t="shared" si="1"/>
        <v>49.851550000000003</v>
      </c>
      <c r="F14" s="58">
        <f t="shared" si="0"/>
        <v>48.851550000000003</v>
      </c>
      <c r="G14" s="22">
        <f t="shared" si="2"/>
        <v>0.63826763956242616</v>
      </c>
      <c r="H14" s="22">
        <f t="shared" si="3"/>
        <v>0.73911392661328945</v>
      </c>
      <c r="I14" s="3">
        <v>14.3</v>
      </c>
      <c r="J14" s="3">
        <v>46</v>
      </c>
      <c r="K14" s="57">
        <f t="shared" si="4"/>
        <v>3.3333333333333333E-2</v>
      </c>
      <c r="L14" s="57">
        <f t="shared" si="5"/>
        <v>0.1</v>
      </c>
      <c r="M14">
        <v>150</v>
      </c>
      <c r="N14" t="s">
        <v>156</v>
      </c>
    </row>
    <row r="15" spans="1:15" x14ac:dyDescent="0.3">
      <c r="A15" s="58">
        <v>2</v>
      </c>
      <c r="B15" s="58">
        <v>6</v>
      </c>
      <c r="C15" s="23">
        <v>47</v>
      </c>
      <c r="D15" s="3"/>
      <c r="E15" s="58">
        <f t="shared" si="1"/>
        <v>50.838450000000002</v>
      </c>
      <c r="F15" s="58">
        <f t="shared" si="0"/>
        <v>49.838450000000002</v>
      </c>
      <c r="G15" s="22">
        <f t="shared" si="2"/>
        <v>0.6256286764027742</v>
      </c>
      <c r="H15" s="22">
        <f t="shared" si="3"/>
        <v>0.72447800727441247</v>
      </c>
      <c r="I15" s="3">
        <v>14.35</v>
      </c>
      <c r="J15" s="3">
        <v>51</v>
      </c>
      <c r="K15" s="57">
        <f t="shared" si="4"/>
        <v>3.3333333333333333E-2</v>
      </c>
      <c r="L15" s="57">
        <f t="shared" si="5"/>
        <v>0.1</v>
      </c>
      <c r="M15">
        <v>150</v>
      </c>
      <c r="N15" t="s">
        <v>156</v>
      </c>
    </row>
    <row r="16" spans="1:15" x14ac:dyDescent="0.3">
      <c r="A16" s="58">
        <v>2</v>
      </c>
      <c r="B16" s="58">
        <v>6</v>
      </c>
      <c r="C16" s="23">
        <v>50</v>
      </c>
      <c r="D16" s="3"/>
      <c r="E16" s="58">
        <f t="shared" si="1"/>
        <v>53.799149999999997</v>
      </c>
      <c r="F16" s="58">
        <f t="shared" si="0"/>
        <v>52.799149999999997</v>
      </c>
      <c r="G16" s="22">
        <f t="shared" si="2"/>
        <v>0.59054669454841302</v>
      </c>
      <c r="H16" s="22">
        <f t="shared" si="3"/>
        <v>0.68385307228706227</v>
      </c>
      <c r="I16" s="3">
        <v>14.41</v>
      </c>
      <c r="J16" s="3">
        <f>J15+6</f>
        <v>57</v>
      </c>
      <c r="K16" s="57">
        <f t="shared" si="4"/>
        <v>3.3333333333333333E-2</v>
      </c>
      <c r="L16" s="57">
        <f t="shared" si="5"/>
        <v>0.1</v>
      </c>
      <c r="M16">
        <v>150</v>
      </c>
      <c r="N16" t="s">
        <v>156</v>
      </c>
    </row>
    <row r="17" spans="1:14" x14ac:dyDescent="0.3">
      <c r="A17" s="58">
        <v>2</v>
      </c>
      <c r="B17" s="58">
        <v>6</v>
      </c>
      <c r="C17" s="23">
        <v>51</v>
      </c>
      <c r="D17" s="3"/>
      <c r="E17" s="58">
        <f t="shared" si="1"/>
        <v>54.786050000000003</v>
      </c>
      <c r="F17" s="58">
        <f t="shared" si="0"/>
        <v>53.786050000000003</v>
      </c>
      <c r="G17" s="22">
        <f t="shared" si="2"/>
        <v>0.57971097538238703</v>
      </c>
      <c r="H17" s="22">
        <f t="shared" si="3"/>
        <v>0.6713053094928042</v>
      </c>
      <c r="I17" s="3">
        <v>14.45</v>
      </c>
      <c r="J17" s="3">
        <v>61</v>
      </c>
      <c r="K17" s="57">
        <f t="shared" si="4"/>
        <v>3.3333333333333333E-2</v>
      </c>
      <c r="L17" s="57">
        <f t="shared" si="5"/>
        <v>0.1</v>
      </c>
      <c r="M17">
        <v>150</v>
      </c>
      <c r="N17" t="s">
        <v>156</v>
      </c>
    </row>
    <row r="18" spans="1:14" x14ac:dyDescent="0.3">
      <c r="A18" s="58">
        <v>2</v>
      </c>
      <c r="B18" s="58">
        <v>6</v>
      </c>
      <c r="C18" s="23">
        <v>52</v>
      </c>
      <c r="D18" s="3"/>
      <c r="E18" s="58">
        <f t="shared" si="1"/>
        <v>55.772950000000002</v>
      </c>
      <c r="F18" s="58">
        <f t="shared" si="0"/>
        <v>54.772950000000002</v>
      </c>
      <c r="G18" s="22">
        <f t="shared" si="2"/>
        <v>0.56926573258270452</v>
      </c>
      <c r="H18" s="22">
        <f t="shared" si="3"/>
        <v>0.65920971833077169</v>
      </c>
      <c r="I18" s="3">
        <v>14.5</v>
      </c>
      <c r="J18" s="3">
        <v>66</v>
      </c>
      <c r="K18" s="57">
        <f t="shared" si="4"/>
        <v>3.3333333333333333E-2</v>
      </c>
      <c r="L18" s="57">
        <f t="shared" si="5"/>
        <v>0.1</v>
      </c>
      <c r="M18">
        <v>150</v>
      </c>
      <c r="N18" t="s">
        <v>156</v>
      </c>
    </row>
    <row r="19" spans="1:14" x14ac:dyDescent="0.3">
      <c r="A19" s="58">
        <v>2</v>
      </c>
      <c r="B19" s="58">
        <v>6</v>
      </c>
      <c r="C19" s="23">
        <v>54</v>
      </c>
      <c r="D19" s="3"/>
      <c r="E19" s="58">
        <f t="shared" si="1"/>
        <v>57.746749999999999</v>
      </c>
      <c r="F19" s="58">
        <f t="shared" si="0"/>
        <v>56.746749999999999</v>
      </c>
      <c r="G19" s="22">
        <f t="shared" si="2"/>
        <v>0.54946518536243649</v>
      </c>
      <c r="H19" s="22">
        <f t="shared" si="3"/>
        <v>0.63628068464970144</v>
      </c>
      <c r="I19" s="3">
        <v>14.55</v>
      </c>
      <c r="J19" s="3">
        <v>71</v>
      </c>
      <c r="K19" s="57">
        <f t="shared" si="4"/>
        <v>3.3333333333333333E-2</v>
      </c>
      <c r="L19" s="57">
        <f t="shared" si="5"/>
        <v>0.1</v>
      </c>
      <c r="M19">
        <v>150</v>
      </c>
      <c r="N19" t="s">
        <v>156</v>
      </c>
    </row>
    <row r="20" spans="1:14" x14ac:dyDescent="0.3">
      <c r="A20" s="58">
        <v>2</v>
      </c>
      <c r="B20" s="58">
        <v>6</v>
      </c>
      <c r="C20" s="23">
        <v>56</v>
      </c>
      <c r="D20" s="3"/>
      <c r="E20" s="58">
        <f t="shared" si="1"/>
        <v>59.720550000000003</v>
      </c>
      <c r="F20" s="58">
        <f t="shared" si="0"/>
        <v>58.720550000000003</v>
      </c>
      <c r="G20" s="22">
        <f t="shared" si="2"/>
        <v>0.53099576736706033</v>
      </c>
      <c r="H20" s="22">
        <f t="shared" si="3"/>
        <v>0.6148930986110559</v>
      </c>
      <c r="I20" s="3">
        <v>15</v>
      </c>
      <c r="J20" s="3">
        <v>76</v>
      </c>
      <c r="K20" s="57">
        <f t="shared" si="4"/>
        <v>3.3333333333333333E-2</v>
      </c>
      <c r="L20" s="57">
        <f t="shared" si="5"/>
        <v>0.1</v>
      </c>
      <c r="M20">
        <v>150</v>
      </c>
      <c r="N20" t="s">
        <v>156</v>
      </c>
    </row>
    <row r="21" spans="1:14" x14ac:dyDescent="0.3">
      <c r="A21" s="72">
        <v>1</v>
      </c>
      <c r="B21" s="72">
        <v>3</v>
      </c>
      <c r="C21" s="23">
        <v>24</v>
      </c>
      <c r="D21" s="3"/>
      <c r="E21" s="58">
        <f t="shared" si="1"/>
        <v>28.139749999999999</v>
      </c>
      <c r="F21" s="58">
        <f t="shared" si="0"/>
        <v>27.139749999999999</v>
      </c>
      <c r="G21" s="22">
        <f t="shared" si="2"/>
        <v>0.57444087560618362</v>
      </c>
      <c r="H21" s="22">
        <f t="shared" si="3"/>
        <v>0.6652025339519605</v>
      </c>
      <c r="I21" s="3">
        <v>15.31</v>
      </c>
      <c r="J21" s="3">
        <v>0</v>
      </c>
      <c r="K21" s="57">
        <f t="shared" si="4"/>
        <v>1.6666666666666666E-2</v>
      </c>
      <c r="L21" s="57">
        <f t="shared" si="5"/>
        <v>0.05</v>
      </c>
      <c r="M21">
        <v>150</v>
      </c>
      <c r="N21" t="s">
        <v>156</v>
      </c>
    </row>
    <row r="22" spans="1:14" x14ac:dyDescent="0.3">
      <c r="A22" s="72">
        <v>1</v>
      </c>
      <c r="B22" s="72">
        <v>3</v>
      </c>
      <c r="C22" s="23">
        <v>43</v>
      </c>
      <c r="D22" s="3"/>
      <c r="E22" s="58">
        <f t="shared" si="1"/>
        <v>46.89085</v>
      </c>
      <c r="F22" s="58">
        <f t="shared" si="0"/>
        <v>45.89085</v>
      </c>
      <c r="G22" s="22">
        <f t="shared" si="2"/>
        <v>0.33972309847677523</v>
      </c>
      <c r="H22" s="22">
        <f t="shared" si="3"/>
        <v>0.39339934803610571</v>
      </c>
      <c r="I22" s="3">
        <v>15.35</v>
      </c>
      <c r="J22" s="3">
        <v>4</v>
      </c>
      <c r="K22" s="57">
        <f t="shared" si="4"/>
        <v>1.6666666666666666E-2</v>
      </c>
      <c r="L22" s="57">
        <f t="shared" si="5"/>
        <v>0.05</v>
      </c>
      <c r="M22">
        <v>150</v>
      </c>
      <c r="N22" t="s">
        <v>156</v>
      </c>
    </row>
    <row r="23" spans="1:14" x14ac:dyDescent="0.3">
      <c r="A23" s="72">
        <v>1</v>
      </c>
      <c r="B23" s="72">
        <v>3</v>
      </c>
      <c r="C23" s="23">
        <v>42.5</v>
      </c>
      <c r="D23" s="3"/>
      <c r="E23" s="58">
        <f t="shared" si="1"/>
        <v>46.397399999999998</v>
      </c>
      <c r="F23" s="58">
        <f t="shared" si="0"/>
        <v>45.397399999999998</v>
      </c>
      <c r="G23" s="22">
        <f t="shared" si="2"/>
        <v>0.34341574085152282</v>
      </c>
      <c r="H23" s="22">
        <f t="shared" si="3"/>
        <v>0.39767542790606336</v>
      </c>
      <c r="I23" s="3">
        <v>15.41</v>
      </c>
      <c r="J23" s="3">
        <v>11</v>
      </c>
      <c r="K23" s="57">
        <f t="shared" si="4"/>
        <v>1.6666666666666666E-2</v>
      </c>
      <c r="L23" s="57">
        <f t="shared" si="5"/>
        <v>0.05</v>
      </c>
      <c r="M23">
        <v>150</v>
      </c>
      <c r="N23" t="s">
        <v>156</v>
      </c>
    </row>
    <row r="24" spans="1:14" x14ac:dyDescent="0.3">
      <c r="A24" s="72">
        <v>1</v>
      </c>
      <c r="B24" s="72">
        <v>3</v>
      </c>
      <c r="C24" s="23">
        <v>44</v>
      </c>
      <c r="D24" s="3"/>
      <c r="E24" s="58">
        <f t="shared" si="1"/>
        <v>47.877749999999999</v>
      </c>
      <c r="F24" s="58">
        <f t="shared" si="0"/>
        <v>46.877749999999999</v>
      </c>
      <c r="G24" s="22">
        <f t="shared" si="2"/>
        <v>0.33257103324568521</v>
      </c>
      <c r="H24" s="22">
        <f t="shared" si="3"/>
        <v>0.38511725649850348</v>
      </c>
      <c r="I24" s="3">
        <v>15.46</v>
      </c>
      <c r="J24" s="3">
        <v>16</v>
      </c>
      <c r="K24" s="57">
        <f t="shared" si="4"/>
        <v>1.6666666666666666E-2</v>
      </c>
      <c r="L24" s="57">
        <f t="shared" si="5"/>
        <v>0.05</v>
      </c>
      <c r="M24">
        <v>150</v>
      </c>
      <c r="N24" t="s">
        <v>156</v>
      </c>
    </row>
    <row r="25" spans="1:14" x14ac:dyDescent="0.3">
      <c r="A25" s="72">
        <v>1</v>
      </c>
      <c r="B25" s="72">
        <v>3</v>
      </c>
      <c r="C25" s="23">
        <v>45</v>
      </c>
      <c r="D25" s="3"/>
      <c r="E25" s="58">
        <f t="shared" si="1"/>
        <v>48.864649999999997</v>
      </c>
      <c r="F25" s="58">
        <f t="shared" si="0"/>
        <v>47.864649999999997</v>
      </c>
      <c r="G25" s="22">
        <f t="shared" si="2"/>
        <v>0.32571389853958865</v>
      </c>
      <c r="H25" s="22">
        <f t="shared" si="3"/>
        <v>0.37717669450884361</v>
      </c>
      <c r="I25" s="3">
        <v>15.5</v>
      </c>
      <c r="J25" s="3">
        <f>J24+4</f>
        <v>20</v>
      </c>
      <c r="K25" s="57">
        <f>A25/60</f>
        <v>1.6666666666666666E-2</v>
      </c>
      <c r="L25" s="57">
        <f t="shared" si="5"/>
        <v>0.05</v>
      </c>
      <c r="M25">
        <v>150</v>
      </c>
      <c r="N25" t="s">
        <v>156</v>
      </c>
    </row>
    <row r="26" spans="1:14" x14ac:dyDescent="0.3">
      <c r="A26" s="72">
        <v>1</v>
      </c>
      <c r="B26" s="72">
        <v>3</v>
      </c>
      <c r="C26" s="23">
        <v>46</v>
      </c>
      <c r="D26" s="3"/>
      <c r="E26" s="58">
        <f t="shared" si="1"/>
        <v>49.851550000000003</v>
      </c>
      <c r="F26" s="58">
        <f t="shared" si="0"/>
        <v>48.851550000000003</v>
      </c>
      <c r="G26" s="22">
        <f t="shared" si="2"/>
        <v>0.31913381978121308</v>
      </c>
      <c r="H26" s="22">
        <f t="shared" si="3"/>
        <v>0.36955696330664473</v>
      </c>
      <c r="I26" s="3">
        <v>15.55</v>
      </c>
      <c r="J26" s="3">
        <f>J25+5</f>
        <v>25</v>
      </c>
      <c r="K26" s="57">
        <f t="shared" si="4"/>
        <v>1.6666666666666666E-2</v>
      </c>
      <c r="L26" s="57">
        <f t="shared" si="5"/>
        <v>0.05</v>
      </c>
      <c r="M26">
        <v>150</v>
      </c>
      <c r="N26" t="s">
        <v>156</v>
      </c>
    </row>
    <row r="27" spans="1:14" x14ac:dyDescent="0.3">
      <c r="A27" s="72">
        <v>1</v>
      </c>
      <c r="B27" s="72">
        <v>3</v>
      </c>
      <c r="C27" s="23">
        <v>47.5</v>
      </c>
      <c r="D27" s="3"/>
      <c r="E27" s="58">
        <f t="shared" si="1"/>
        <v>51.331899999999997</v>
      </c>
      <c r="F27" s="58">
        <f t="shared" si="0"/>
        <v>50.331899999999997</v>
      </c>
      <c r="G27" s="22">
        <f t="shared" si="2"/>
        <v>0.30974753096411861</v>
      </c>
      <c r="H27" s="22">
        <f t="shared" si="3"/>
        <v>0.35868764085644933</v>
      </c>
      <c r="I27" s="3">
        <v>16</v>
      </c>
      <c r="J27" s="3">
        <v>30</v>
      </c>
      <c r="K27" s="57">
        <f t="shared" si="4"/>
        <v>1.6666666666666666E-2</v>
      </c>
      <c r="L27" s="57">
        <f t="shared" si="5"/>
        <v>0.05</v>
      </c>
      <c r="M27">
        <v>150</v>
      </c>
      <c r="N27" t="s">
        <v>156</v>
      </c>
    </row>
    <row r="28" spans="1:14" x14ac:dyDescent="0.3">
      <c r="A28" s="72">
        <v>1</v>
      </c>
      <c r="B28" s="72">
        <v>3</v>
      </c>
      <c r="C28" s="23">
        <v>46</v>
      </c>
      <c r="D28" s="3"/>
      <c r="E28" s="58">
        <f t="shared" si="1"/>
        <v>49.851550000000003</v>
      </c>
      <c r="F28" s="58">
        <f t="shared" si="0"/>
        <v>48.851550000000003</v>
      </c>
      <c r="G28" s="22">
        <f t="shared" si="2"/>
        <v>0.31913381978121308</v>
      </c>
      <c r="H28" s="22">
        <f t="shared" si="3"/>
        <v>0.36955696330664473</v>
      </c>
      <c r="I28" s="3">
        <v>16.05</v>
      </c>
      <c r="J28" s="3">
        <f>35</f>
        <v>35</v>
      </c>
      <c r="K28" s="57">
        <f t="shared" si="4"/>
        <v>1.6666666666666666E-2</v>
      </c>
      <c r="L28" s="57">
        <f t="shared" si="5"/>
        <v>0.05</v>
      </c>
      <c r="M28">
        <v>150</v>
      </c>
      <c r="N28" t="s">
        <v>156</v>
      </c>
    </row>
    <row r="29" spans="1:14" x14ac:dyDescent="0.3">
      <c r="A29" s="72">
        <v>1</v>
      </c>
      <c r="B29" s="72">
        <v>3</v>
      </c>
      <c r="C29" s="23">
        <v>48</v>
      </c>
      <c r="D29" s="3"/>
      <c r="E29" s="58">
        <f t="shared" si="1"/>
        <v>51.82535</v>
      </c>
      <c r="F29" s="58">
        <f t="shared" si="0"/>
        <v>50.82535</v>
      </c>
      <c r="G29" s="22">
        <f t="shared" si="2"/>
        <v>0.30674027338194271</v>
      </c>
      <c r="H29" s="22">
        <f t="shared" si="3"/>
        <v>0.35520523657628961</v>
      </c>
      <c r="I29" s="3">
        <v>16.100000000000001</v>
      </c>
      <c r="J29" s="3">
        <v>40</v>
      </c>
      <c r="K29" s="57">
        <f t="shared" si="4"/>
        <v>1.6666666666666666E-2</v>
      </c>
      <c r="L29" s="57">
        <f t="shared" si="5"/>
        <v>0.05</v>
      </c>
      <c r="M29">
        <v>150</v>
      </c>
      <c r="N29" t="s">
        <v>156</v>
      </c>
    </row>
    <row r="30" spans="1:14" x14ac:dyDescent="0.3">
      <c r="A30" s="72">
        <v>1</v>
      </c>
      <c r="B30" s="72">
        <v>3</v>
      </c>
      <c r="C30" s="23">
        <v>50</v>
      </c>
      <c r="D30" s="3"/>
      <c r="E30" s="58">
        <f t="shared" si="1"/>
        <v>53.799149999999997</v>
      </c>
      <c r="F30" s="58">
        <f t="shared" si="0"/>
        <v>52.799149999999997</v>
      </c>
      <c r="G30" s="22">
        <f t="shared" si="2"/>
        <v>0.29527334727420651</v>
      </c>
      <c r="H30" s="22">
        <f t="shared" si="3"/>
        <v>0.34192653614353113</v>
      </c>
      <c r="I30" s="3">
        <v>16.149999999999999</v>
      </c>
      <c r="J30" s="3">
        <f>J29+5</f>
        <v>45</v>
      </c>
      <c r="K30" s="57">
        <f t="shared" si="4"/>
        <v>1.6666666666666666E-2</v>
      </c>
      <c r="L30" s="57">
        <f t="shared" si="5"/>
        <v>0.05</v>
      </c>
      <c r="M30">
        <v>150</v>
      </c>
      <c r="N30" t="s">
        <v>156</v>
      </c>
    </row>
    <row r="31" spans="1:14" x14ac:dyDescent="0.3">
      <c r="A31" s="72">
        <v>1</v>
      </c>
      <c r="B31" s="72">
        <v>3</v>
      </c>
      <c r="C31" s="23">
        <v>52</v>
      </c>
      <c r="D31" s="3"/>
      <c r="E31" s="58">
        <f t="shared" si="1"/>
        <v>55.772950000000002</v>
      </c>
      <c r="F31" s="58">
        <f t="shared" si="0"/>
        <v>54.772950000000002</v>
      </c>
      <c r="G31" s="22">
        <f t="shared" si="2"/>
        <v>0.28463286629135226</v>
      </c>
      <c r="H31" s="22">
        <f t="shared" si="3"/>
        <v>0.32960485916538584</v>
      </c>
      <c r="I31" s="3">
        <v>16.3</v>
      </c>
      <c r="J31" s="3">
        <f>J30+15</f>
        <v>60</v>
      </c>
      <c r="K31" s="57">
        <f t="shared" si="4"/>
        <v>1.6666666666666666E-2</v>
      </c>
      <c r="L31" s="57">
        <f t="shared" si="5"/>
        <v>0.05</v>
      </c>
      <c r="M31">
        <v>150</v>
      </c>
      <c r="N31" t="s">
        <v>156</v>
      </c>
    </row>
    <row r="32" spans="1:14" x14ac:dyDescent="0.3">
      <c r="A32" s="72">
        <v>1</v>
      </c>
      <c r="B32" s="72">
        <v>3</v>
      </c>
      <c r="C32" s="23">
        <v>54</v>
      </c>
      <c r="D32" s="3"/>
      <c r="E32" s="58">
        <f t="shared" si="1"/>
        <v>57.746749999999999</v>
      </c>
      <c r="F32" s="58">
        <f t="shared" si="0"/>
        <v>56.746749999999999</v>
      </c>
      <c r="G32" s="22">
        <f t="shared" si="2"/>
        <v>0.27473259268121825</v>
      </c>
      <c r="H32" s="22">
        <f t="shared" si="3"/>
        <v>0.31814034232485072</v>
      </c>
      <c r="I32" s="3">
        <v>16.45</v>
      </c>
      <c r="J32" s="3">
        <f>J31+15</f>
        <v>75</v>
      </c>
      <c r="K32" s="57">
        <f t="shared" si="4"/>
        <v>1.6666666666666666E-2</v>
      </c>
      <c r="L32" s="57">
        <f t="shared" si="5"/>
        <v>0.05</v>
      </c>
      <c r="M32">
        <v>150</v>
      </c>
      <c r="N32" t="s">
        <v>156</v>
      </c>
    </row>
    <row r="33" spans="1:14" x14ac:dyDescent="0.3">
      <c r="A33" s="72">
        <v>1</v>
      </c>
      <c r="B33" s="72">
        <v>3</v>
      </c>
      <c r="C33" s="23">
        <v>56.5</v>
      </c>
      <c r="D33" s="3"/>
      <c r="E33" s="58">
        <f t="shared" si="1"/>
        <v>60.213999999999999</v>
      </c>
      <c r="F33" s="58">
        <f t="shared" si="0"/>
        <v>59.213999999999999</v>
      </c>
      <c r="G33" s="22">
        <f t="shared" si="2"/>
        <v>0.26328540131950084</v>
      </c>
      <c r="H33" s="22">
        <f t="shared" si="3"/>
        <v>0.30488449472798196</v>
      </c>
      <c r="I33" s="3">
        <v>17.03</v>
      </c>
      <c r="J33" s="3">
        <v>93</v>
      </c>
      <c r="K33" s="57">
        <f t="shared" si="4"/>
        <v>1.6666666666666666E-2</v>
      </c>
      <c r="L33" s="57">
        <f t="shared" si="5"/>
        <v>0.05</v>
      </c>
      <c r="M33">
        <v>150</v>
      </c>
      <c r="N33" t="s">
        <v>156</v>
      </c>
    </row>
    <row r="34" spans="1:14" x14ac:dyDescent="0.3">
      <c r="A34" s="72">
        <v>1</v>
      </c>
      <c r="B34" s="72">
        <v>3</v>
      </c>
      <c r="C34" s="23">
        <v>56</v>
      </c>
      <c r="D34" s="3"/>
      <c r="E34" s="58">
        <f t="shared" si="1"/>
        <v>59.720550000000003</v>
      </c>
      <c r="F34" s="58">
        <f t="shared" si="0"/>
        <v>58.720550000000003</v>
      </c>
      <c r="G34" s="22">
        <f t="shared" si="2"/>
        <v>0.26549788368353017</v>
      </c>
      <c r="H34" s="22">
        <f t="shared" si="3"/>
        <v>0.30744654930552795</v>
      </c>
      <c r="I34" s="3">
        <v>17.100000000000001</v>
      </c>
      <c r="J34" s="3">
        <v>100</v>
      </c>
      <c r="K34" s="57">
        <f t="shared" si="4"/>
        <v>1.6666666666666666E-2</v>
      </c>
      <c r="L34" s="57">
        <f t="shared" si="5"/>
        <v>0.05</v>
      </c>
      <c r="M34">
        <v>150</v>
      </c>
      <c r="N34" t="s">
        <v>156</v>
      </c>
    </row>
    <row r="35" spans="1:14" x14ac:dyDescent="0.3">
      <c r="A35" s="72">
        <v>1</v>
      </c>
      <c r="B35" s="72">
        <v>3</v>
      </c>
      <c r="C35" s="23">
        <v>56</v>
      </c>
      <c r="D35" s="3"/>
      <c r="E35" s="58">
        <f t="shared" si="1"/>
        <v>59.720550000000003</v>
      </c>
      <c r="F35" s="58">
        <f t="shared" si="0"/>
        <v>58.720550000000003</v>
      </c>
      <c r="G35" s="22">
        <f t="shared" si="2"/>
        <v>0.26549788368353017</v>
      </c>
      <c r="H35" s="22">
        <f t="shared" si="3"/>
        <v>0.30744654930552795</v>
      </c>
      <c r="I35" s="3">
        <v>17.170000000000002</v>
      </c>
      <c r="J35" s="3">
        <v>117</v>
      </c>
      <c r="K35" s="57">
        <f t="shared" si="4"/>
        <v>1.6666666666666666E-2</v>
      </c>
      <c r="L35" s="57">
        <f t="shared" si="5"/>
        <v>0.05</v>
      </c>
      <c r="M35">
        <v>150</v>
      </c>
      <c r="N35" t="s">
        <v>156</v>
      </c>
    </row>
    <row r="36" spans="1:14" x14ac:dyDescent="0.3">
      <c r="A36" s="72">
        <v>1</v>
      </c>
      <c r="B36" s="72">
        <v>3</v>
      </c>
      <c r="C36" s="23">
        <v>58</v>
      </c>
      <c r="D36" s="3"/>
      <c r="E36" s="58">
        <f t="shared" si="1"/>
        <v>61.69435</v>
      </c>
      <c r="F36" s="58">
        <f t="shared" si="0"/>
        <v>60.69435</v>
      </c>
      <c r="G36" s="22">
        <f t="shared" si="2"/>
        <v>0.25686380616536664</v>
      </c>
      <c r="H36" s="22">
        <f t="shared" si="3"/>
        <v>0.29744828753949459</v>
      </c>
      <c r="I36" s="3">
        <v>17.2</v>
      </c>
      <c r="J36" s="3">
        <v>120</v>
      </c>
      <c r="K36" s="57">
        <f t="shared" si="4"/>
        <v>1.6666666666666666E-2</v>
      </c>
      <c r="L36" s="57">
        <f t="shared" si="5"/>
        <v>0.05</v>
      </c>
      <c r="M36">
        <v>150</v>
      </c>
      <c r="N36" t="s">
        <v>156</v>
      </c>
    </row>
    <row r="37" spans="1:14" x14ac:dyDescent="0.3">
      <c r="A37" s="72">
        <v>1</v>
      </c>
      <c r="B37" s="72">
        <v>3</v>
      </c>
      <c r="C37" s="23">
        <v>60</v>
      </c>
      <c r="D37" s="3"/>
      <c r="E37" s="58">
        <f t="shared" si="1"/>
        <v>63.668149999999997</v>
      </c>
      <c r="F37" s="58">
        <f t="shared" si="0"/>
        <v>62.668149999999997</v>
      </c>
      <c r="G37" s="22">
        <f t="shared" si="2"/>
        <v>0.24877360754598504</v>
      </c>
      <c r="H37" s="22">
        <f t="shared" si="3"/>
        <v>0.28807983753825067</v>
      </c>
      <c r="I37" s="3">
        <v>17.239999999999998</v>
      </c>
      <c r="J37" s="3">
        <v>124</v>
      </c>
      <c r="K37" s="57">
        <f t="shared" si="4"/>
        <v>1.6666666666666666E-2</v>
      </c>
      <c r="L37" s="57">
        <f t="shared" si="5"/>
        <v>0.05</v>
      </c>
      <c r="M37">
        <v>150</v>
      </c>
      <c r="N37" t="s">
        <v>156</v>
      </c>
    </row>
    <row r="38" spans="1:14" x14ac:dyDescent="0.3">
      <c r="A38" s="72">
        <v>1</v>
      </c>
      <c r="B38" s="72">
        <v>3</v>
      </c>
      <c r="C38" s="23">
        <v>61</v>
      </c>
      <c r="D38" s="3"/>
      <c r="E38" s="58">
        <f t="shared" si="1"/>
        <v>64.655050000000003</v>
      </c>
      <c r="F38" s="58">
        <f t="shared" si="0"/>
        <v>63.655050000000003</v>
      </c>
      <c r="G38" s="22">
        <f t="shared" si="2"/>
        <v>0.2449166523902333</v>
      </c>
      <c r="H38" s="22">
        <f t="shared" si="3"/>
        <v>0.28361348346789017</v>
      </c>
      <c r="I38" s="3">
        <v>17.3</v>
      </c>
      <c r="J38" s="3">
        <v>130</v>
      </c>
      <c r="K38" s="57">
        <f t="shared" si="4"/>
        <v>1.6666666666666666E-2</v>
      </c>
      <c r="L38" s="57">
        <f t="shared" si="5"/>
        <v>0.05</v>
      </c>
      <c r="M38">
        <v>150</v>
      </c>
      <c r="N38" t="s">
        <v>156</v>
      </c>
    </row>
    <row r="39" spans="1:14" x14ac:dyDescent="0.3">
      <c r="A39" s="72">
        <v>1</v>
      </c>
      <c r="B39" s="72">
        <v>3</v>
      </c>
      <c r="C39" s="23">
        <v>61</v>
      </c>
      <c r="D39" s="3"/>
      <c r="E39" s="58">
        <f t="shared" si="1"/>
        <v>64.655050000000003</v>
      </c>
      <c r="F39" s="58">
        <f t="shared" si="0"/>
        <v>63.655050000000003</v>
      </c>
      <c r="G39" s="22">
        <f t="shared" si="2"/>
        <v>0.2449166523902333</v>
      </c>
      <c r="H39" s="22">
        <f t="shared" si="3"/>
        <v>0.28361348346789017</v>
      </c>
      <c r="I39" s="3">
        <v>17.37</v>
      </c>
      <c r="J39" s="3">
        <v>137</v>
      </c>
      <c r="K39" s="57">
        <f t="shared" si="4"/>
        <v>1.6666666666666666E-2</v>
      </c>
      <c r="L39" s="57">
        <f t="shared" si="5"/>
        <v>0.05</v>
      </c>
      <c r="M39">
        <v>150</v>
      </c>
      <c r="N39" t="s">
        <v>156</v>
      </c>
    </row>
    <row r="40" spans="1:14" x14ac:dyDescent="0.3">
      <c r="A40" s="72">
        <v>1</v>
      </c>
      <c r="B40" s="72">
        <v>3</v>
      </c>
      <c r="C40" s="23">
        <v>62</v>
      </c>
      <c r="D40" s="3"/>
      <c r="E40" s="58">
        <f t="shared" si="1"/>
        <v>65.641949999999994</v>
      </c>
      <c r="F40" s="58">
        <f t="shared" si="0"/>
        <v>64.641949999999994</v>
      </c>
      <c r="G40" s="22">
        <f t="shared" si="2"/>
        <v>0.241177466857558</v>
      </c>
      <c r="H40" s="22">
        <f t="shared" si="3"/>
        <v>0.27928350662105217</v>
      </c>
      <c r="I40" s="3">
        <v>17.46</v>
      </c>
      <c r="J40" s="3">
        <f>J39+9</f>
        <v>146</v>
      </c>
      <c r="K40" s="57">
        <f t="shared" si="4"/>
        <v>1.6666666666666666E-2</v>
      </c>
      <c r="L40" s="57">
        <f t="shared" si="5"/>
        <v>0.05</v>
      </c>
      <c r="M40">
        <v>150</v>
      </c>
      <c r="N40" t="s">
        <v>156</v>
      </c>
    </row>
    <row r="41" spans="1:14" x14ac:dyDescent="0.3">
      <c r="A41" s="72">
        <v>1</v>
      </c>
      <c r="B41" s="72">
        <v>3</v>
      </c>
      <c r="C41" s="23">
        <v>58</v>
      </c>
      <c r="D41" s="3"/>
      <c r="E41" s="58">
        <f t="shared" si="1"/>
        <v>61.69435</v>
      </c>
      <c r="F41" s="58">
        <f t="shared" si="0"/>
        <v>60.69435</v>
      </c>
      <c r="G41" s="22">
        <f t="shared" si="2"/>
        <v>0.25686380616536664</v>
      </c>
      <c r="H41" s="22">
        <f t="shared" si="3"/>
        <v>0.29744828753949459</v>
      </c>
      <c r="I41" s="3">
        <v>17.48</v>
      </c>
      <c r="J41" s="3">
        <v>148</v>
      </c>
      <c r="K41" s="57">
        <f t="shared" si="4"/>
        <v>1.6666666666666666E-2</v>
      </c>
      <c r="L41" s="57">
        <f t="shared" si="5"/>
        <v>0.05</v>
      </c>
      <c r="M41">
        <v>150</v>
      </c>
      <c r="N41" t="s">
        <v>156</v>
      </c>
    </row>
    <row r="42" spans="1:14" x14ac:dyDescent="0.3">
      <c r="A42" s="72">
        <v>1</v>
      </c>
      <c r="B42" s="72">
        <v>3</v>
      </c>
      <c r="C42" s="23">
        <v>63</v>
      </c>
      <c r="D42" s="3"/>
      <c r="E42" s="58">
        <f t="shared" si="1"/>
        <v>66.62885</v>
      </c>
      <c r="F42" s="58">
        <f t="shared" si="0"/>
        <v>65.62885</v>
      </c>
      <c r="G42" s="22">
        <f t="shared" si="2"/>
        <v>0.2375507380326323</v>
      </c>
      <c r="H42" s="22">
        <f t="shared" si="3"/>
        <v>0.27508375464178819</v>
      </c>
      <c r="I42" s="3">
        <v>17.5</v>
      </c>
      <c r="J42" s="3">
        <v>150</v>
      </c>
      <c r="K42" s="57">
        <f t="shared" si="4"/>
        <v>1.6666666666666666E-2</v>
      </c>
      <c r="L42" s="57">
        <f t="shared" si="5"/>
        <v>0.05</v>
      </c>
      <c r="M42">
        <v>150</v>
      </c>
      <c r="N42" t="s">
        <v>156</v>
      </c>
    </row>
    <row r="43" spans="1:14" x14ac:dyDescent="0.3">
      <c r="A43" s="72">
        <v>1</v>
      </c>
      <c r="B43" s="72">
        <v>3</v>
      </c>
      <c r="C43" s="23">
        <v>62</v>
      </c>
      <c r="D43" s="3"/>
      <c r="E43" s="58">
        <f t="shared" si="1"/>
        <v>65.641949999999994</v>
      </c>
      <c r="F43" s="58">
        <f t="shared" si="0"/>
        <v>64.641949999999994</v>
      </c>
      <c r="G43" s="22">
        <f t="shared" si="2"/>
        <v>0.241177466857558</v>
      </c>
      <c r="H43" s="22">
        <f t="shared" si="3"/>
        <v>0.27928350662105217</v>
      </c>
      <c r="I43" s="3">
        <v>17.55</v>
      </c>
      <c r="J43" s="3">
        <v>155</v>
      </c>
      <c r="K43" s="57">
        <f t="shared" si="4"/>
        <v>1.6666666666666666E-2</v>
      </c>
      <c r="L43" s="57">
        <f t="shared" si="5"/>
        <v>0.05</v>
      </c>
      <c r="M43">
        <v>150</v>
      </c>
      <c r="N43" t="s">
        <v>156</v>
      </c>
    </row>
    <row r="44" spans="1:14" x14ac:dyDescent="0.3">
      <c r="A44" s="72">
        <v>1</v>
      </c>
      <c r="B44" s="72">
        <v>3</v>
      </c>
      <c r="C44" s="23">
        <v>64</v>
      </c>
      <c r="D44" s="3"/>
      <c r="E44" s="58">
        <f t="shared" si="1"/>
        <v>67.615750000000006</v>
      </c>
      <c r="F44" s="58">
        <f t="shared" si="0"/>
        <v>66.615750000000006</v>
      </c>
      <c r="G44" s="22">
        <f t="shared" si="2"/>
        <v>0.23403146783955625</v>
      </c>
      <c r="H44" s="22">
        <f t="shared" si="3"/>
        <v>0.2710084397582061</v>
      </c>
      <c r="I44" s="3">
        <v>17.579999999999998</v>
      </c>
      <c r="J44" s="3">
        <v>158</v>
      </c>
      <c r="K44" s="57">
        <f t="shared" si="4"/>
        <v>1.6666666666666666E-2</v>
      </c>
      <c r="L44" s="57">
        <f t="shared" si="5"/>
        <v>0.05</v>
      </c>
      <c r="M44">
        <v>150</v>
      </c>
      <c r="N44" t="s">
        <v>156</v>
      </c>
    </row>
    <row r="45" spans="1:14" x14ac:dyDescent="0.3">
      <c r="A45" s="72">
        <v>1</v>
      </c>
      <c r="B45" s="72">
        <v>3</v>
      </c>
      <c r="C45" s="23">
        <v>55</v>
      </c>
      <c r="D45" s="3"/>
      <c r="E45" s="58">
        <f t="shared" si="1"/>
        <v>58.733649999999997</v>
      </c>
      <c r="F45" s="58">
        <f t="shared" si="0"/>
        <v>57.733649999999997</v>
      </c>
      <c r="G45" s="22">
        <f t="shared" si="2"/>
        <v>0.27003630904564185</v>
      </c>
      <c r="H45" s="22">
        <f t="shared" si="3"/>
        <v>0.31270204587485323</v>
      </c>
      <c r="I45" s="3">
        <v>18</v>
      </c>
      <c r="J45" s="3">
        <v>160</v>
      </c>
      <c r="K45" s="57">
        <f t="shared" si="4"/>
        <v>1.6666666666666666E-2</v>
      </c>
      <c r="L45" s="57">
        <f t="shared" si="5"/>
        <v>0.05</v>
      </c>
      <c r="M45">
        <v>150</v>
      </c>
      <c r="N45" t="s">
        <v>156</v>
      </c>
    </row>
    <row r="46" spans="1:14" x14ac:dyDescent="0.3">
      <c r="A46" s="72">
        <v>1</v>
      </c>
      <c r="B46" s="72">
        <v>3</v>
      </c>
      <c r="C46" s="23">
        <v>64</v>
      </c>
      <c r="D46" s="3"/>
      <c r="E46" s="58">
        <f t="shared" si="1"/>
        <v>67.615750000000006</v>
      </c>
      <c r="F46" s="58">
        <f t="shared" si="0"/>
        <v>66.615750000000006</v>
      </c>
      <c r="G46" s="22">
        <f t="shared" si="2"/>
        <v>0.23403146783955625</v>
      </c>
      <c r="H46" s="22">
        <f t="shared" si="3"/>
        <v>0.2710084397582061</v>
      </c>
      <c r="I46" s="3">
        <v>18.05</v>
      </c>
      <c r="J46" s="3">
        <v>165</v>
      </c>
      <c r="K46" s="57">
        <f t="shared" si="4"/>
        <v>1.6666666666666666E-2</v>
      </c>
      <c r="L46" s="57">
        <f t="shared" si="5"/>
        <v>0.05</v>
      </c>
      <c r="M46">
        <v>150</v>
      </c>
      <c r="N46" t="s">
        <v>156</v>
      </c>
    </row>
    <row r="47" spans="1:14" x14ac:dyDescent="0.3">
      <c r="A47" s="72">
        <v>1</v>
      </c>
      <c r="B47" s="72">
        <v>3</v>
      </c>
      <c r="C47" s="23">
        <v>62</v>
      </c>
      <c r="D47" s="3"/>
      <c r="E47" s="58">
        <f t="shared" si="1"/>
        <v>65.641949999999994</v>
      </c>
      <c r="F47" s="58">
        <f t="shared" si="0"/>
        <v>64.641949999999994</v>
      </c>
      <c r="G47" s="22">
        <f t="shared" si="2"/>
        <v>0.241177466857558</v>
      </c>
      <c r="H47" s="22">
        <f t="shared" si="3"/>
        <v>0.27928350662105217</v>
      </c>
      <c r="I47" s="3">
        <v>18.100000000000001</v>
      </c>
      <c r="J47" s="3">
        <v>170</v>
      </c>
      <c r="K47" s="57">
        <f t="shared" si="4"/>
        <v>1.6666666666666666E-2</v>
      </c>
      <c r="L47" s="57">
        <f t="shared" si="5"/>
        <v>0.05</v>
      </c>
      <c r="M47">
        <v>150</v>
      </c>
      <c r="N47" t="s">
        <v>156</v>
      </c>
    </row>
    <row r="48" spans="1:14" x14ac:dyDescent="0.3">
      <c r="A48" s="72">
        <v>1</v>
      </c>
      <c r="B48" s="72">
        <v>3</v>
      </c>
      <c r="C48" s="23">
        <v>59</v>
      </c>
      <c r="D48" s="3"/>
      <c r="E48" s="58">
        <f t="shared" si="1"/>
        <v>62.681249999999999</v>
      </c>
      <c r="F48" s="58">
        <f t="shared" si="0"/>
        <v>61.681249999999999</v>
      </c>
      <c r="G48" s="22">
        <f t="shared" si="2"/>
        <v>0.25275398526672077</v>
      </c>
      <c r="H48" s="22">
        <f t="shared" si="3"/>
        <v>0.29268911493886263</v>
      </c>
      <c r="I48" s="3">
        <v>18.149999999999999</v>
      </c>
      <c r="J48" s="3">
        <v>175</v>
      </c>
      <c r="K48" s="57">
        <f t="shared" si="4"/>
        <v>1.6666666666666666E-2</v>
      </c>
      <c r="L48" s="57">
        <f t="shared" si="5"/>
        <v>0.05</v>
      </c>
      <c r="M48">
        <v>150</v>
      </c>
      <c r="N48" t="s">
        <v>156</v>
      </c>
    </row>
    <row r="49" spans="1:14" x14ac:dyDescent="0.3">
      <c r="A49" s="72">
        <v>1</v>
      </c>
      <c r="B49" s="72">
        <v>3</v>
      </c>
      <c r="C49" s="23">
        <v>59</v>
      </c>
      <c r="D49" s="3"/>
      <c r="E49" s="58">
        <f t="shared" si="1"/>
        <v>62.681249999999999</v>
      </c>
      <c r="F49" s="58">
        <f t="shared" si="0"/>
        <v>61.681249999999999</v>
      </c>
      <c r="G49" s="22">
        <f t="shared" si="2"/>
        <v>0.25275398526672077</v>
      </c>
      <c r="H49" s="22">
        <f t="shared" si="3"/>
        <v>0.29268911493886263</v>
      </c>
      <c r="I49" s="3"/>
      <c r="J49" s="3">
        <v>180</v>
      </c>
      <c r="K49" s="57">
        <f t="shared" si="4"/>
        <v>1.6666666666666666E-2</v>
      </c>
      <c r="L49" s="57">
        <f t="shared" si="5"/>
        <v>0.05</v>
      </c>
      <c r="M49">
        <v>150</v>
      </c>
      <c r="N49" t="s">
        <v>156</v>
      </c>
    </row>
    <row r="50" spans="1:14" x14ac:dyDescent="0.3">
      <c r="A50" s="72">
        <v>1</v>
      </c>
      <c r="B50" s="72">
        <v>3</v>
      </c>
      <c r="C50" s="23">
        <v>59</v>
      </c>
      <c r="D50" s="3"/>
      <c r="E50" s="58">
        <f t="shared" si="1"/>
        <v>62.681249999999999</v>
      </c>
      <c r="F50" s="58">
        <f t="shared" si="0"/>
        <v>61.681249999999999</v>
      </c>
      <c r="G50" s="22">
        <f t="shared" si="2"/>
        <v>0.25275398526672077</v>
      </c>
      <c r="H50" s="22">
        <f t="shared" si="3"/>
        <v>0.29268911493886263</v>
      </c>
      <c r="I50" s="3"/>
      <c r="J50" s="3">
        <v>185</v>
      </c>
      <c r="K50" s="57">
        <f t="shared" si="4"/>
        <v>1.6666666666666666E-2</v>
      </c>
      <c r="L50" s="57">
        <f t="shared" si="5"/>
        <v>0.05</v>
      </c>
      <c r="M50">
        <v>150</v>
      </c>
      <c r="N50" t="s">
        <v>156</v>
      </c>
    </row>
    <row r="51" spans="1:14" x14ac:dyDescent="0.3">
      <c r="A51" s="72">
        <v>1</v>
      </c>
      <c r="B51" s="72">
        <v>3</v>
      </c>
      <c r="C51" s="23">
        <v>59</v>
      </c>
      <c r="D51" s="3"/>
      <c r="E51" s="58">
        <f t="shared" si="1"/>
        <v>62.681249999999999</v>
      </c>
      <c r="F51" s="58">
        <f t="shared" si="0"/>
        <v>61.681249999999999</v>
      </c>
      <c r="G51" s="22">
        <f t="shared" si="2"/>
        <v>0.25275398526672077</v>
      </c>
      <c r="H51" s="22">
        <f t="shared" si="3"/>
        <v>0.29268911493886263</v>
      </c>
      <c r="I51" s="3"/>
      <c r="J51" s="3">
        <v>190</v>
      </c>
      <c r="K51" s="57">
        <f t="shared" si="4"/>
        <v>1.6666666666666666E-2</v>
      </c>
      <c r="L51" s="57">
        <f t="shared" si="5"/>
        <v>0.05</v>
      </c>
      <c r="M51">
        <v>150</v>
      </c>
      <c r="N51" t="s">
        <v>156</v>
      </c>
    </row>
    <row r="52" spans="1:14" x14ac:dyDescent="0.3">
      <c r="A52" s="72">
        <v>1</v>
      </c>
      <c r="B52" s="72">
        <v>3</v>
      </c>
      <c r="C52" s="23">
        <v>59</v>
      </c>
      <c r="D52" s="3"/>
      <c r="E52" s="58">
        <f t="shared" si="1"/>
        <v>62.681249999999999</v>
      </c>
      <c r="F52" s="58">
        <f t="shared" si="0"/>
        <v>61.681249999999999</v>
      </c>
      <c r="G52" s="22">
        <f t="shared" si="2"/>
        <v>0.25275398526672077</v>
      </c>
      <c r="H52" s="22">
        <f t="shared" si="3"/>
        <v>0.29268911493886263</v>
      </c>
      <c r="I52" s="3"/>
      <c r="J52" s="3">
        <v>195</v>
      </c>
      <c r="K52" s="57">
        <f t="shared" si="4"/>
        <v>1.6666666666666666E-2</v>
      </c>
      <c r="L52" s="57">
        <f t="shared" si="5"/>
        <v>0.05</v>
      </c>
      <c r="M52">
        <v>150</v>
      </c>
      <c r="N52" t="s">
        <v>156</v>
      </c>
    </row>
    <row r="53" spans="1:14" x14ac:dyDescent="0.3">
      <c r="A53" s="72">
        <v>1</v>
      </c>
      <c r="B53" s="72">
        <v>3</v>
      </c>
      <c r="C53" s="23">
        <v>59</v>
      </c>
      <c r="D53" s="3"/>
      <c r="E53" s="58">
        <f t="shared" si="1"/>
        <v>62.681249999999999</v>
      </c>
      <c r="F53" s="58">
        <f t="shared" si="0"/>
        <v>61.681249999999999</v>
      </c>
      <c r="G53" s="22">
        <f t="shared" si="2"/>
        <v>0.25275398526672077</v>
      </c>
      <c r="H53" s="22">
        <f t="shared" si="3"/>
        <v>0.29268911493886263</v>
      </c>
      <c r="I53" s="3"/>
      <c r="J53" s="3">
        <v>200</v>
      </c>
      <c r="K53" s="57">
        <f t="shared" si="4"/>
        <v>1.6666666666666666E-2</v>
      </c>
      <c r="L53" s="57">
        <f t="shared" si="5"/>
        <v>0.05</v>
      </c>
      <c r="M53">
        <v>150</v>
      </c>
      <c r="N53" t="s">
        <v>156</v>
      </c>
    </row>
    <row r="54" spans="1:14" x14ac:dyDescent="0.3">
      <c r="A54" s="72">
        <v>1</v>
      </c>
      <c r="B54" s="72">
        <v>3</v>
      </c>
      <c r="C54" s="23">
        <v>59</v>
      </c>
      <c r="D54" s="3"/>
      <c r="E54" s="58">
        <f t="shared" si="1"/>
        <v>62.681249999999999</v>
      </c>
      <c r="F54" s="58">
        <f t="shared" si="0"/>
        <v>61.681249999999999</v>
      </c>
      <c r="G54" s="22">
        <f t="shared" si="2"/>
        <v>0.25275398526672077</v>
      </c>
      <c r="H54" s="22">
        <f t="shared" si="3"/>
        <v>0.29268911493886263</v>
      </c>
      <c r="I54" s="3"/>
      <c r="J54" s="3">
        <v>205</v>
      </c>
      <c r="K54" s="57">
        <f t="shared" si="4"/>
        <v>1.6666666666666666E-2</v>
      </c>
      <c r="L54" s="57">
        <f t="shared" si="5"/>
        <v>0.05</v>
      </c>
      <c r="M54">
        <v>150</v>
      </c>
      <c r="N54" t="s">
        <v>156</v>
      </c>
    </row>
    <row r="55" spans="1:14" x14ac:dyDescent="0.3">
      <c r="A55" s="55">
        <v>1</v>
      </c>
      <c r="B55" s="55">
        <v>3</v>
      </c>
      <c r="C55" s="63">
        <v>90</v>
      </c>
      <c r="D55" s="1"/>
      <c r="E55" s="55">
        <f t="shared" si="1"/>
        <v>93.275149999999996</v>
      </c>
      <c r="F55" s="55">
        <f t="shared" si="0"/>
        <v>92.275149999999996</v>
      </c>
      <c r="G55" s="66">
        <f t="shared" si="2"/>
        <v>0.16895319870770106</v>
      </c>
      <c r="H55" s="66">
        <f t="shared" si="3"/>
        <v>0.19564780410351781</v>
      </c>
      <c r="I55" s="1"/>
      <c r="J55" s="1"/>
      <c r="K55" s="25">
        <f t="shared" si="4"/>
        <v>1.6666666666666666E-2</v>
      </c>
      <c r="L55" s="25">
        <f t="shared" si="5"/>
        <v>0.05</v>
      </c>
      <c r="M55" s="1">
        <v>150</v>
      </c>
      <c r="N55" s="13" t="s">
        <v>142</v>
      </c>
    </row>
    <row r="56" spans="1:14" x14ac:dyDescent="0.3">
      <c r="D56" t="s">
        <v>121</v>
      </c>
      <c r="K56" s="9"/>
    </row>
    <row r="57" spans="1:14" x14ac:dyDescent="0.3">
      <c r="C57" s="2" t="s">
        <v>21</v>
      </c>
      <c r="D57" s="2" t="s">
        <v>109</v>
      </c>
      <c r="E57" s="2" t="s">
        <v>1</v>
      </c>
      <c r="G57" s="2" t="s">
        <v>110</v>
      </c>
      <c r="I57" s="2" t="s">
        <v>139</v>
      </c>
      <c r="K57" s="9"/>
    </row>
    <row r="58" spans="1:14" x14ac:dyDescent="0.3">
      <c r="C58">
        <v>51.344900000000003</v>
      </c>
      <c r="D58">
        <v>55.307099999999998</v>
      </c>
      <c r="E58">
        <v>3.9621999999999957</v>
      </c>
      <c r="G58">
        <v>20.168372857278499</v>
      </c>
      <c r="I58" s="2" t="s">
        <v>138</v>
      </c>
      <c r="K58" s="9"/>
    </row>
    <row r="59" spans="1:14" x14ac:dyDescent="0.3">
      <c r="I59" s="9">
        <v>4.4196109411019897</v>
      </c>
      <c r="K59" s="9"/>
    </row>
    <row r="60" spans="1:14" x14ac:dyDescent="0.3">
      <c r="C60" s="2" t="s">
        <v>2</v>
      </c>
      <c r="D60" s="2" t="s">
        <v>3</v>
      </c>
      <c r="E60" t="s">
        <v>235</v>
      </c>
      <c r="K60" s="9"/>
    </row>
    <row r="61" spans="1:14" x14ac:dyDescent="0.3">
      <c r="C61">
        <v>24.130572857278541</v>
      </c>
      <c r="D61">
        <v>16.419833973418793</v>
      </c>
      <c r="G61" t="s">
        <v>138</v>
      </c>
      <c r="K61" s="9"/>
    </row>
    <row r="62" spans="1:14" x14ac:dyDescent="0.3">
      <c r="G62">
        <v>4.4196109411019897</v>
      </c>
      <c r="H62" s="1" t="s">
        <v>122</v>
      </c>
      <c r="K62" s="9"/>
    </row>
    <row r="63" spans="1:14" x14ac:dyDescent="0.3">
      <c r="H63" s="13" t="s">
        <v>119</v>
      </c>
      <c r="K63" s="9"/>
    </row>
    <row r="64" spans="1:14" x14ac:dyDescent="0.3">
      <c r="C64" t="s">
        <v>120</v>
      </c>
      <c r="G64" s="2" t="s">
        <v>145</v>
      </c>
      <c r="H64" s="1">
        <v>56.035200000000003</v>
      </c>
      <c r="K64" s="9"/>
    </row>
    <row r="65" spans="1:16" x14ac:dyDescent="0.3">
      <c r="A65" s="1"/>
      <c r="B65" s="13" t="s">
        <v>20</v>
      </c>
      <c r="C65" s="13" t="s">
        <v>109</v>
      </c>
      <c r="D65" s="13" t="s">
        <v>111</v>
      </c>
      <c r="E65" s="13" t="s">
        <v>112</v>
      </c>
      <c r="F65" s="13" t="s">
        <v>22</v>
      </c>
      <c r="G65" s="24" t="s">
        <v>144</v>
      </c>
      <c r="H65" s="1"/>
      <c r="I65" s="13" t="s">
        <v>156</v>
      </c>
    </row>
    <row r="66" spans="1:16" x14ac:dyDescent="0.3">
      <c r="A66" s="1"/>
      <c r="B66" s="1">
        <v>0.96519999999999995</v>
      </c>
      <c r="C66" s="25">
        <f>H64-B66</f>
        <v>55.07</v>
      </c>
      <c r="D66" s="1">
        <f>0.684</f>
        <v>0.68400000000000005</v>
      </c>
      <c r="E66" s="55">
        <f>(C66-C58-D66*I59)/(1-D66)</f>
        <v>2.2217915072349266</v>
      </c>
      <c r="F66" s="63">
        <f>E66/I59*100</f>
        <v>50.271201172312765</v>
      </c>
      <c r="G66" s="1"/>
      <c r="H66" s="1"/>
    </row>
    <row r="67" spans="1:16" x14ac:dyDescent="0.3">
      <c r="A67" s="1"/>
      <c r="B67" s="1"/>
      <c r="C67" s="1"/>
      <c r="D67" s="1"/>
      <c r="E67" s="1"/>
      <c r="F67" s="1"/>
      <c r="G67" s="1"/>
      <c r="H67" s="1"/>
    </row>
    <row r="68" spans="1:16" x14ac:dyDescent="0.3">
      <c r="A68" s="1"/>
      <c r="B68" s="1"/>
      <c r="C68" s="1" t="s">
        <v>120</v>
      </c>
      <c r="D68" s="1"/>
      <c r="E68" s="1"/>
      <c r="F68" s="1"/>
      <c r="G68" s="1"/>
      <c r="H68" s="1" t="s">
        <v>122</v>
      </c>
    </row>
    <row r="69" spans="1:16" x14ac:dyDescent="0.3">
      <c r="A69" s="1"/>
      <c r="B69" s="13" t="s">
        <v>20</v>
      </c>
      <c r="C69" s="13" t="s">
        <v>109</v>
      </c>
      <c r="D69" s="13" t="s">
        <v>111</v>
      </c>
      <c r="E69" s="13" t="s">
        <v>112</v>
      </c>
      <c r="F69" s="13" t="s">
        <v>22</v>
      </c>
      <c r="G69" s="13" t="s">
        <v>144</v>
      </c>
      <c r="H69" s="13" t="s">
        <v>119</v>
      </c>
      <c r="I69" s="13" t="s">
        <v>156</v>
      </c>
    </row>
    <row r="70" spans="1:16" x14ac:dyDescent="0.3">
      <c r="A70" s="1"/>
      <c r="B70" s="1">
        <v>1.0760000000000001</v>
      </c>
      <c r="C70" s="1">
        <f>H70-B70</f>
        <v>54.930300000000003</v>
      </c>
      <c r="D70" s="1">
        <v>0.68400000000000005</v>
      </c>
      <c r="E70" s="55">
        <f>(C70-$C$58-D70*I59)/(1-D70)</f>
        <v>1.7797028996399968</v>
      </c>
      <c r="F70" s="63">
        <f>E70/I59*100</f>
        <v>40.268315997883839</v>
      </c>
      <c r="G70" s="1"/>
      <c r="H70" s="1">
        <v>56.006300000000003</v>
      </c>
    </row>
    <row r="72" spans="1:16" x14ac:dyDescent="0.3">
      <c r="C72" t="s">
        <v>120</v>
      </c>
      <c r="H72" t="s">
        <v>122</v>
      </c>
    </row>
    <row r="73" spans="1:16" x14ac:dyDescent="0.3">
      <c r="B73" s="2" t="s">
        <v>20</v>
      </c>
      <c r="C73" s="2" t="s">
        <v>109</v>
      </c>
      <c r="D73" s="2" t="s">
        <v>111</v>
      </c>
      <c r="E73" s="2" t="s">
        <v>112</v>
      </c>
      <c r="F73" s="2" t="s">
        <v>22</v>
      </c>
      <c r="G73" s="2" t="s">
        <v>144</v>
      </c>
      <c r="H73" s="2" t="s">
        <v>119</v>
      </c>
      <c r="I73" s="2" t="s">
        <v>160</v>
      </c>
    </row>
    <row r="74" spans="1:16" x14ac:dyDescent="0.3">
      <c r="B74">
        <v>0.73660000000000003</v>
      </c>
      <c r="C74">
        <f>H74-B74</f>
        <v>55.007199999999997</v>
      </c>
      <c r="D74">
        <v>0.68400000000000005</v>
      </c>
      <c r="E74" s="6">
        <f>(C74-$C$58-D74*I59)/(1-D74)</f>
        <v>2.0230573300197277</v>
      </c>
      <c r="F74" s="36">
        <f>E74/I59*100</f>
        <v>45.774557013728831</v>
      </c>
      <c r="H74">
        <v>55.7438</v>
      </c>
      <c r="M74" s="2" t="s">
        <v>189</v>
      </c>
    </row>
    <row r="75" spans="1:16" x14ac:dyDescent="0.3">
      <c r="J75" t="s">
        <v>168</v>
      </c>
      <c r="K75" s="2" t="s">
        <v>184</v>
      </c>
      <c r="L75" s="2" t="s">
        <v>185</v>
      </c>
      <c r="M75" s="2" t="s">
        <v>190</v>
      </c>
      <c r="N75" s="2" t="s">
        <v>186</v>
      </c>
      <c r="O75" s="2" t="s">
        <v>187</v>
      </c>
      <c r="P75" s="2" t="s">
        <v>188</v>
      </c>
    </row>
    <row r="76" spans="1:16" x14ac:dyDescent="0.3">
      <c r="C76" t="s">
        <v>120</v>
      </c>
      <c r="H76" t="s">
        <v>122</v>
      </c>
      <c r="J76" s="63">
        <f>AVERAGE(F66,F70,F74,F78,F82)</f>
        <v>45.301979761393689</v>
      </c>
      <c r="K76" s="36">
        <f>(J76-F66)^2</f>
        <v>24.69316143073657</v>
      </c>
      <c r="L76" s="36">
        <f>SQRT(SUM(K76:K80)/(5-1))</f>
        <v>3.6048022941676683</v>
      </c>
      <c r="M76">
        <v>4.6040000000000001</v>
      </c>
      <c r="N76" s="63">
        <f>M76*L76/SQRT(5)</f>
        <v>7.4221848035697766</v>
      </c>
      <c r="O76" s="36">
        <f>J76+N76</f>
        <v>52.724164564963466</v>
      </c>
      <c r="P76" s="36">
        <f>J76-N76</f>
        <v>37.879794957823911</v>
      </c>
    </row>
    <row r="77" spans="1:16" x14ac:dyDescent="0.3">
      <c r="B77" s="2" t="s">
        <v>20</v>
      </c>
      <c r="C77" s="2" t="s">
        <v>109</v>
      </c>
      <c r="D77" s="2" t="s">
        <v>111</v>
      </c>
      <c r="E77" s="2" t="s">
        <v>112</v>
      </c>
      <c r="F77" s="2" t="s">
        <v>22</v>
      </c>
      <c r="G77" s="2" t="s">
        <v>143</v>
      </c>
      <c r="H77" s="2" t="s">
        <v>119</v>
      </c>
      <c r="I77" s="2" t="s">
        <v>160</v>
      </c>
      <c r="K77" s="36">
        <f>(J76-F70)^2</f>
        <v>25.337770884072146</v>
      </c>
    </row>
    <row r="78" spans="1:16" x14ac:dyDescent="0.3">
      <c r="B78">
        <v>0.73660000000000003</v>
      </c>
      <c r="C78">
        <f>H78-B78</f>
        <v>54.985099999999996</v>
      </c>
      <c r="D78">
        <v>0.68400000000000005</v>
      </c>
      <c r="E78" s="6">
        <f>(C78-$C$58-D78*I59)/(1-D78)</f>
        <v>1.9531206211589622</v>
      </c>
      <c r="F78" s="36">
        <f>E78/I59*100</f>
        <v>44.192139244545572</v>
      </c>
      <c r="H78">
        <v>55.721699999999998</v>
      </c>
      <c r="K78" s="36">
        <f>(J76-F74)^2</f>
        <v>0.2233292594246328</v>
      </c>
    </row>
    <row r="79" spans="1:16" x14ac:dyDescent="0.3">
      <c r="K79" s="36">
        <f>(J76-F78)^2</f>
        <v>1.2317459728376943</v>
      </c>
    </row>
    <row r="80" spans="1:16" x14ac:dyDescent="0.3">
      <c r="C80" t="s">
        <v>120</v>
      </c>
      <c r="H80" t="s">
        <v>122</v>
      </c>
      <c r="K80" s="36">
        <f>(J76-F82)^2</f>
        <v>0.49239077307490209</v>
      </c>
    </row>
    <row r="81" spans="1:14" x14ac:dyDescent="0.3">
      <c r="B81" s="2" t="s">
        <v>20</v>
      </c>
      <c r="C81" s="2" t="s">
        <v>109</v>
      </c>
      <c r="D81" s="2" t="s">
        <v>111</v>
      </c>
      <c r="E81" s="2" t="s">
        <v>112</v>
      </c>
      <c r="F81" s="2" t="s">
        <v>22</v>
      </c>
      <c r="G81" s="2" t="s">
        <v>143</v>
      </c>
      <c r="H81" s="2" t="s">
        <v>119</v>
      </c>
      <c r="I81" s="2" t="s">
        <v>160</v>
      </c>
    </row>
    <row r="82" spans="1:14" x14ac:dyDescent="0.3">
      <c r="B82">
        <v>0.73660000000000003</v>
      </c>
      <c r="C82">
        <f>H82-B82</f>
        <v>55.010399999999997</v>
      </c>
      <c r="D82">
        <v>0.68400000000000005</v>
      </c>
      <c r="E82" s="6">
        <f>(C82-$C$58-D82*I59)/(1-D82)</f>
        <v>2.0331839122982074</v>
      </c>
      <c r="F82" s="36">
        <f>E82/I59*100</f>
        <v>46.003685378497401</v>
      </c>
      <c r="H82">
        <v>55.747</v>
      </c>
    </row>
    <row r="85" spans="1:14" ht="15" thickBot="1" x14ac:dyDescent="0.35">
      <c r="A85" s="2" t="s">
        <v>114</v>
      </c>
      <c r="B85" s="2" t="s">
        <v>115</v>
      </c>
      <c r="C85" s="2" t="s">
        <v>227</v>
      </c>
      <c r="D85" s="2" t="s">
        <v>18</v>
      </c>
      <c r="E85" s="2" t="s">
        <v>19</v>
      </c>
      <c r="F85" s="8" t="s">
        <v>13</v>
      </c>
    </row>
    <row r="86" spans="1:14" ht="18.600000000000001" thickBot="1" x14ac:dyDescent="0.35">
      <c r="A86" s="6">
        <v>1</v>
      </c>
      <c r="B86" s="6">
        <v>3</v>
      </c>
      <c r="C86" s="36">
        <v>24</v>
      </c>
      <c r="D86" s="9">
        <v>0.5696176662480269</v>
      </c>
      <c r="E86" s="9">
        <v>0.65961725751521516</v>
      </c>
      <c r="F86">
        <v>0</v>
      </c>
      <c r="K86" s="46" t="s">
        <v>229</v>
      </c>
      <c r="L86" s="47" t="s">
        <v>230</v>
      </c>
      <c r="M86" s="47" t="s">
        <v>231</v>
      </c>
      <c r="N86" s="47" t="s">
        <v>216</v>
      </c>
    </row>
    <row r="87" spans="1:14" ht="16.2" thickBot="1" x14ac:dyDescent="0.35">
      <c r="A87" s="6">
        <v>1</v>
      </c>
      <c r="B87" s="6">
        <v>3</v>
      </c>
      <c r="C87" s="36">
        <v>43</v>
      </c>
      <c r="D87" s="9">
        <v>0.33687066283485456</v>
      </c>
      <c r="E87" s="9">
        <v>0.39009622756276158</v>
      </c>
      <c r="F87">
        <v>4</v>
      </c>
      <c r="K87" s="48">
        <v>0.96519999999999995</v>
      </c>
      <c r="L87" s="50">
        <v>55.07</v>
      </c>
      <c r="M87" s="73">
        <f>F66</f>
        <v>50.271201172312765</v>
      </c>
      <c r="N87" s="49" t="s">
        <v>217</v>
      </c>
    </row>
    <row r="88" spans="1:14" ht="16.2" thickBot="1" x14ac:dyDescent="0.35">
      <c r="A88" s="6">
        <v>1</v>
      </c>
      <c r="B88" s="6">
        <v>3</v>
      </c>
      <c r="C88" s="36">
        <v>42.5</v>
      </c>
      <c r="D88" s="9">
        <v>0.34053230047436389</v>
      </c>
      <c r="E88" s="9">
        <v>0.39433640394931335</v>
      </c>
      <c r="F88">
        <v>11</v>
      </c>
      <c r="K88" s="48">
        <v>1.0760000000000001</v>
      </c>
      <c r="L88" s="49">
        <v>54.930300000000003</v>
      </c>
      <c r="M88" s="73">
        <f>F70</f>
        <v>40.268315997883839</v>
      </c>
      <c r="N88" s="49" t="s">
        <v>217</v>
      </c>
    </row>
    <row r="89" spans="1:14" ht="16.2" thickBot="1" x14ac:dyDescent="0.35">
      <c r="A89" s="6">
        <v>1</v>
      </c>
      <c r="B89" s="6">
        <v>3</v>
      </c>
      <c r="C89" s="36">
        <v>44</v>
      </c>
      <c r="D89" s="9">
        <v>0.32977864888043662</v>
      </c>
      <c r="E89" s="9">
        <v>0.38188367540354556</v>
      </c>
      <c r="F89">
        <v>16</v>
      </c>
      <c r="K89" s="48">
        <v>0.73660000000000003</v>
      </c>
      <c r="L89" s="49">
        <v>55.007199999999997</v>
      </c>
      <c r="M89" s="73">
        <f>F74</f>
        <v>45.774557013728831</v>
      </c>
      <c r="N89" s="49" t="s">
        <v>218</v>
      </c>
    </row>
    <row r="90" spans="1:14" ht="16.2" thickBot="1" x14ac:dyDescent="0.35">
      <c r="A90" s="6">
        <v>1</v>
      </c>
      <c r="B90" s="6">
        <v>3</v>
      </c>
      <c r="C90" s="36">
        <v>45</v>
      </c>
      <c r="D90" s="9">
        <v>0.32297908910970591</v>
      </c>
      <c r="E90" s="9">
        <v>0.37400978518903943</v>
      </c>
      <c r="F90">
        <v>20</v>
      </c>
      <c r="K90" s="48">
        <v>0.73660000000000003</v>
      </c>
      <c r="L90" s="49">
        <v>54.985099999999996</v>
      </c>
      <c r="M90" s="73">
        <f>F78</f>
        <v>44.192139244545572</v>
      </c>
      <c r="N90" s="49" t="s">
        <v>218</v>
      </c>
    </row>
    <row r="91" spans="1:14" ht="16.2" thickBot="1" x14ac:dyDescent="0.35">
      <c r="A91" s="6">
        <v>1</v>
      </c>
      <c r="B91" s="6">
        <v>3</v>
      </c>
      <c r="C91" s="36">
        <v>46</v>
      </c>
      <c r="D91" s="9">
        <v>0.31645425902668156</v>
      </c>
      <c r="E91" s="9">
        <v>0.36645403195289722</v>
      </c>
      <c r="F91">
        <v>25</v>
      </c>
      <c r="K91" s="48">
        <v>0.73660000000000003</v>
      </c>
      <c r="L91" s="49">
        <v>55.010399999999997</v>
      </c>
      <c r="M91" s="73">
        <f>F82</f>
        <v>46.003685378497401</v>
      </c>
      <c r="N91" s="49" t="s">
        <v>218</v>
      </c>
    </row>
    <row r="92" spans="1:14" ht="16.2" thickBot="1" x14ac:dyDescent="0.35">
      <c r="A92" s="6">
        <v>1</v>
      </c>
      <c r="B92" s="6">
        <v>3</v>
      </c>
      <c r="C92" s="36">
        <v>47.5</v>
      </c>
      <c r="D92" s="9">
        <v>0.30714678082001451</v>
      </c>
      <c r="E92" s="9">
        <v>0.35567597218957675</v>
      </c>
      <c r="F92">
        <v>30</v>
      </c>
      <c r="K92" s="48"/>
      <c r="L92" s="49"/>
      <c r="M92" s="49"/>
      <c r="N92" s="49"/>
    </row>
    <row r="93" spans="1:14" x14ac:dyDescent="0.3">
      <c r="A93" s="6">
        <v>1</v>
      </c>
      <c r="B93" s="6">
        <v>3</v>
      </c>
      <c r="C93" s="36">
        <v>46</v>
      </c>
      <c r="D93" s="9">
        <v>0.31645425902668156</v>
      </c>
      <c r="E93" s="9">
        <v>0.36645403195289722</v>
      </c>
      <c r="F93">
        <v>35</v>
      </c>
    </row>
    <row r="94" spans="1:14" x14ac:dyDescent="0.3">
      <c r="A94" s="6">
        <v>1</v>
      </c>
      <c r="B94" s="6">
        <v>3</v>
      </c>
      <c r="C94" s="36">
        <v>48</v>
      </c>
      <c r="D94" s="9">
        <v>0.30416477323923757</v>
      </c>
      <c r="E94" s="9">
        <v>0.35222280741103712</v>
      </c>
      <c r="F94">
        <v>40</v>
      </c>
    </row>
    <row r="95" spans="1:14" x14ac:dyDescent="0.3">
      <c r="A95" s="6">
        <v>1</v>
      </c>
      <c r="B95" s="6">
        <v>3</v>
      </c>
      <c r="C95" s="36">
        <v>50</v>
      </c>
      <c r="D95" s="9">
        <v>0.29279412751066802</v>
      </c>
      <c r="E95" s="9">
        <v>0.33905559965735355</v>
      </c>
      <c r="F95">
        <v>45</v>
      </c>
    </row>
    <row r="96" spans="1:14" x14ac:dyDescent="0.3">
      <c r="A96" s="6">
        <v>1</v>
      </c>
      <c r="B96" s="6">
        <v>3</v>
      </c>
      <c r="C96" s="36">
        <v>52</v>
      </c>
      <c r="D96" s="9">
        <v>0.28224298778055379</v>
      </c>
      <c r="E96" s="9">
        <v>0.32683737984988132</v>
      </c>
      <c r="F96">
        <v>60</v>
      </c>
    </row>
    <row r="97" spans="1:6" x14ac:dyDescent="0.3">
      <c r="A97" s="6">
        <v>1</v>
      </c>
      <c r="B97" s="6">
        <v>3</v>
      </c>
      <c r="C97" s="36">
        <v>54</v>
      </c>
      <c r="D97" s="9">
        <v>0.27242584037949108</v>
      </c>
      <c r="E97" s="9">
        <v>0.31546912315945069</v>
      </c>
      <c r="F97">
        <v>75</v>
      </c>
    </row>
    <row r="98" spans="1:6" x14ac:dyDescent="0.3">
      <c r="A98" s="6">
        <v>1</v>
      </c>
      <c r="B98" s="6">
        <v>3</v>
      </c>
      <c r="C98" s="36">
        <v>56.5</v>
      </c>
      <c r="D98" s="9">
        <v>0.26107476369701227</v>
      </c>
      <c r="E98" s="9">
        <v>0.30232457636114024</v>
      </c>
      <c r="F98">
        <v>93</v>
      </c>
    </row>
    <row r="99" spans="1:6" x14ac:dyDescent="0.3">
      <c r="A99" s="6">
        <v>1</v>
      </c>
      <c r="B99" s="6">
        <v>3</v>
      </c>
      <c r="C99" s="36">
        <v>56</v>
      </c>
      <c r="D99" s="9">
        <v>0.26326866927429809</v>
      </c>
      <c r="E99" s="9">
        <v>0.3048651190196372</v>
      </c>
      <c r="F99">
        <v>100</v>
      </c>
    </row>
    <row r="100" spans="1:6" x14ac:dyDescent="0.3">
      <c r="A100" s="6">
        <v>1</v>
      </c>
      <c r="B100" s="6">
        <v>3</v>
      </c>
      <c r="C100" s="36">
        <v>56</v>
      </c>
      <c r="D100" s="9">
        <v>0.26326866927429809</v>
      </c>
      <c r="E100" s="9">
        <v>0.3048651190196372</v>
      </c>
      <c r="F100">
        <v>117</v>
      </c>
    </row>
    <row r="101" spans="1:6" x14ac:dyDescent="0.3">
      <c r="A101" s="6">
        <v>1</v>
      </c>
      <c r="B101" s="6">
        <v>3</v>
      </c>
      <c r="C101" s="36">
        <v>58</v>
      </c>
      <c r="D101" s="9">
        <v>0.25470708653367052</v>
      </c>
      <c r="E101" s="9">
        <v>0.29495080620599046</v>
      </c>
      <c r="F101">
        <v>120</v>
      </c>
    </row>
    <row r="102" spans="1:6" x14ac:dyDescent="0.3">
      <c r="A102" s="6">
        <v>1</v>
      </c>
      <c r="B102" s="6">
        <v>3</v>
      </c>
      <c r="C102" s="36">
        <v>60</v>
      </c>
      <c r="D102" s="9">
        <v>0.24668481609166515</v>
      </c>
      <c r="E102" s="9">
        <v>0.28566101703414826</v>
      </c>
      <c r="F102">
        <v>124</v>
      </c>
    </row>
    <row r="103" spans="1:6" x14ac:dyDescent="0.3">
      <c r="A103" s="6">
        <v>1</v>
      </c>
      <c r="B103" s="6">
        <v>3</v>
      </c>
      <c r="C103" s="36">
        <v>61</v>
      </c>
      <c r="D103" s="9">
        <v>0.24286024529954628</v>
      </c>
      <c r="E103" s="9">
        <v>0.28123216405687462</v>
      </c>
      <c r="F103">
        <v>130</v>
      </c>
    </row>
    <row r="104" spans="1:6" x14ac:dyDescent="0.3">
      <c r="A104" s="6">
        <v>1</v>
      </c>
      <c r="B104" s="6">
        <v>3</v>
      </c>
      <c r="C104" s="36">
        <v>61</v>
      </c>
      <c r="D104" s="9">
        <v>0.24286024529954628</v>
      </c>
      <c r="E104" s="9">
        <v>0.28123216405687462</v>
      </c>
      <c r="F104">
        <v>137</v>
      </c>
    </row>
    <row r="105" spans="1:6" x14ac:dyDescent="0.3">
      <c r="A105" s="6">
        <v>1</v>
      </c>
      <c r="B105" s="6">
        <v>3</v>
      </c>
      <c r="C105" s="36">
        <v>62</v>
      </c>
      <c r="D105" s="9">
        <v>0.23915245529497312</v>
      </c>
      <c r="E105" s="9">
        <v>0.27693854323157885</v>
      </c>
      <c r="F105">
        <v>146</v>
      </c>
    </row>
    <row r="106" spans="1:6" x14ac:dyDescent="0.3">
      <c r="A106" s="6">
        <v>1</v>
      </c>
      <c r="B106" s="6">
        <v>3</v>
      </c>
      <c r="C106" s="36">
        <v>58</v>
      </c>
      <c r="D106" s="9">
        <v>0.25470708653367052</v>
      </c>
      <c r="E106" s="9">
        <v>0.29495080620599046</v>
      </c>
      <c r="F106">
        <v>148</v>
      </c>
    </row>
    <row r="107" spans="1:6" x14ac:dyDescent="0.3">
      <c r="A107" s="6">
        <v>1</v>
      </c>
      <c r="B107" s="6">
        <v>3</v>
      </c>
      <c r="C107" s="36">
        <v>63</v>
      </c>
      <c r="D107" s="9">
        <v>0.23555617777174043</v>
      </c>
      <c r="E107" s="9">
        <v>0.2727740538596754</v>
      </c>
      <c r="F107">
        <v>150</v>
      </c>
    </row>
    <row r="108" spans="1:6" x14ac:dyDescent="0.3">
      <c r="A108" s="6">
        <v>1</v>
      </c>
      <c r="B108" s="6">
        <v>3</v>
      </c>
      <c r="C108" s="36">
        <v>62</v>
      </c>
      <c r="D108" s="9">
        <v>0.23915245529497312</v>
      </c>
      <c r="E108" s="9">
        <v>0.27693854323157885</v>
      </c>
      <c r="F108">
        <v>155</v>
      </c>
    </row>
    <row r="109" spans="1:6" x14ac:dyDescent="0.3">
      <c r="A109" s="6">
        <v>1</v>
      </c>
      <c r="B109" s="6">
        <v>3</v>
      </c>
      <c r="C109" s="36">
        <v>64</v>
      </c>
      <c r="D109" s="9">
        <v>0.23206645661956646</v>
      </c>
      <c r="E109" s="9">
        <v>0.26873295676545794</v>
      </c>
      <c r="F109">
        <v>158</v>
      </c>
    </row>
    <row r="110" spans="1:6" x14ac:dyDescent="0.3">
      <c r="A110" s="6">
        <v>1</v>
      </c>
      <c r="B110" s="6">
        <v>3</v>
      </c>
      <c r="C110" s="36">
        <v>55</v>
      </c>
      <c r="D110" s="9">
        <v>0.2677689884071921</v>
      </c>
      <c r="E110" s="9">
        <v>0.3100764885755285</v>
      </c>
      <c r="F110">
        <v>160</v>
      </c>
    </row>
    <row r="111" spans="1:6" x14ac:dyDescent="0.3">
      <c r="A111" s="6">
        <v>1</v>
      </c>
      <c r="B111" s="6">
        <v>3</v>
      </c>
      <c r="C111" s="36">
        <v>64</v>
      </c>
      <c r="D111" s="9">
        <v>0.23206645661956646</v>
      </c>
      <c r="E111" s="9">
        <v>0.26873295676545794</v>
      </c>
      <c r="F111">
        <v>165</v>
      </c>
    </row>
    <row r="112" spans="1:6" x14ac:dyDescent="0.3">
      <c r="A112" s="6">
        <v>1</v>
      </c>
      <c r="B112" s="6">
        <v>3</v>
      </c>
      <c r="C112" s="36">
        <v>62</v>
      </c>
      <c r="D112" s="9">
        <v>0.23915245529497312</v>
      </c>
      <c r="E112" s="9">
        <v>0.27693854323157885</v>
      </c>
      <c r="F112">
        <v>170</v>
      </c>
    </row>
    <row r="113" spans="1:6" x14ac:dyDescent="0.3">
      <c r="A113" s="6">
        <v>1</v>
      </c>
      <c r="B113" s="6">
        <v>3</v>
      </c>
      <c r="C113" s="36">
        <v>59</v>
      </c>
      <c r="D113" s="9">
        <v>0.25063177314913176</v>
      </c>
      <c r="E113" s="9">
        <v>0.29023159330669462</v>
      </c>
      <c r="F113">
        <v>175</v>
      </c>
    </row>
    <row r="114" spans="1:6" x14ac:dyDescent="0.3">
      <c r="A114" s="6">
        <v>1</v>
      </c>
      <c r="B114" s="6">
        <v>3</v>
      </c>
      <c r="C114" s="36">
        <v>59</v>
      </c>
      <c r="D114" s="9">
        <v>0.25063177314913176</v>
      </c>
      <c r="E114" s="9">
        <v>0.29023159330669462</v>
      </c>
      <c r="F114">
        <v>180</v>
      </c>
    </row>
    <row r="115" spans="1:6" x14ac:dyDescent="0.3">
      <c r="A115" s="6">
        <v>1</v>
      </c>
      <c r="B115" s="6">
        <v>3</v>
      </c>
      <c r="C115" s="36">
        <v>59</v>
      </c>
      <c r="D115" s="9">
        <v>0.25063177314913176</v>
      </c>
      <c r="E115" s="9">
        <v>0.29023159330669462</v>
      </c>
      <c r="F115">
        <v>185</v>
      </c>
    </row>
    <row r="116" spans="1:6" x14ac:dyDescent="0.3">
      <c r="A116" s="6">
        <v>1</v>
      </c>
      <c r="B116" s="6">
        <v>3</v>
      </c>
      <c r="C116" s="36">
        <v>59</v>
      </c>
      <c r="D116" s="9">
        <v>0.25063177314913176</v>
      </c>
      <c r="E116" s="9">
        <v>0.29023159330669462</v>
      </c>
      <c r="F116">
        <v>190</v>
      </c>
    </row>
    <row r="117" spans="1:6" x14ac:dyDescent="0.3">
      <c r="A117" s="6">
        <v>1</v>
      </c>
      <c r="B117" s="6">
        <v>3</v>
      </c>
      <c r="C117" s="36">
        <v>59</v>
      </c>
      <c r="D117" s="9">
        <v>0.25063177314913176</v>
      </c>
      <c r="E117" s="9">
        <v>0.29023159330669462</v>
      </c>
      <c r="F117">
        <v>195</v>
      </c>
    </row>
    <row r="118" spans="1:6" x14ac:dyDescent="0.3">
      <c r="A118" s="6">
        <v>1</v>
      </c>
      <c r="B118" s="6">
        <v>3</v>
      </c>
      <c r="C118" s="36">
        <v>59</v>
      </c>
      <c r="D118" s="9">
        <v>0.25063177314913176</v>
      </c>
      <c r="E118" s="9">
        <v>0.29023159330669462</v>
      </c>
      <c r="F118">
        <v>200</v>
      </c>
    </row>
    <row r="119" spans="1:6" x14ac:dyDescent="0.3">
      <c r="A119" s="6">
        <v>1</v>
      </c>
      <c r="B119" s="6">
        <v>3</v>
      </c>
      <c r="C119" s="36">
        <v>59</v>
      </c>
      <c r="D119" s="9">
        <v>0.25063177314913176</v>
      </c>
      <c r="E119" s="9">
        <v>0.29023159330669462</v>
      </c>
      <c r="F119">
        <v>205</v>
      </c>
    </row>
    <row r="120" spans="1:6" x14ac:dyDescent="0.3">
      <c r="D120" s="9"/>
      <c r="E120" s="9"/>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D41"/>
  <sheetViews>
    <sheetView topLeftCell="J19" zoomScale="90" zoomScaleNormal="90" workbookViewId="0">
      <selection activeCell="AB37" sqref="AB37"/>
    </sheetView>
  </sheetViews>
  <sheetFormatPr defaultRowHeight="14.4" x14ac:dyDescent="0.3"/>
  <cols>
    <col min="1" max="1" width="13.5546875" customWidth="1"/>
    <col min="2" max="2" width="13.109375" customWidth="1"/>
    <col min="3" max="3" width="11.88671875" customWidth="1"/>
    <col min="4" max="4" width="14" customWidth="1"/>
    <col min="9" max="9" width="11.5546875" customWidth="1"/>
    <col min="11" max="11" width="13.6640625" customWidth="1"/>
    <col min="12" max="12" width="13.33203125" customWidth="1"/>
    <col min="17" max="17" width="13.33203125" customWidth="1"/>
    <col min="18" max="18" width="11.44140625" customWidth="1"/>
    <col min="19" max="19" width="15.44140625" customWidth="1"/>
    <col min="20" max="20" width="15.109375" customWidth="1"/>
    <col min="22" max="22" width="15.44140625" customWidth="1"/>
    <col min="25" max="25" width="13.88671875" customWidth="1"/>
  </cols>
  <sheetData>
    <row r="2" spans="1:15" x14ac:dyDescent="0.3">
      <c r="A2" s="2" t="s">
        <v>114</v>
      </c>
      <c r="B2" s="2" t="s">
        <v>115</v>
      </c>
      <c r="C2" s="2" t="s">
        <v>6</v>
      </c>
      <c r="D2" s="2" t="s">
        <v>228</v>
      </c>
      <c r="E2" s="2" t="s">
        <v>7</v>
      </c>
      <c r="F2" s="2" t="s">
        <v>11</v>
      </c>
      <c r="G2" s="2" t="s">
        <v>18</v>
      </c>
      <c r="H2" s="2" t="s">
        <v>19</v>
      </c>
      <c r="I2" s="2" t="s">
        <v>9</v>
      </c>
      <c r="J2" s="8" t="s">
        <v>13</v>
      </c>
      <c r="K2" s="5" t="s">
        <v>116</v>
      </c>
      <c r="L2" s="5" t="s">
        <v>117</v>
      </c>
      <c r="M2" s="5" t="s">
        <v>118</v>
      </c>
    </row>
    <row r="3" spans="1:15" x14ac:dyDescent="0.3">
      <c r="A3" s="58">
        <v>3</v>
      </c>
      <c r="B3" s="58">
        <v>0.5</v>
      </c>
      <c r="C3" s="23">
        <v>74</v>
      </c>
      <c r="D3" s="3">
        <v>-4</v>
      </c>
      <c r="E3" s="23">
        <f t="shared" ref="E3:E18" si="0">$O$4*(C3-$D$3)+1</f>
        <v>77.978200000000001</v>
      </c>
      <c r="F3" s="23">
        <f>E3-1</f>
        <v>76.978200000000001</v>
      </c>
      <c r="G3" s="22">
        <f>(1000*K3*1*4.751)/(PI()*2.543^2/4*F3)</f>
        <v>0.60758169535269402</v>
      </c>
      <c r="H3" s="22">
        <f>(1000*L3*0.386*4.751)/(PI()*2.543^2/4*F3)</f>
        <v>3.9087755734356654E-2</v>
      </c>
      <c r="I3" s="3">
        <v>12.5</v>
      </c>
      <c r="J3" s="3">
        <v>0</v>
      </c>
      <c r="K3" s="57">
        <f>A3/60</f>
        <v>0.05</v>
      </c>
      <c r="L3" s="57">
        <f>B3/60</f>
        <v>8.3333333333333332E-3</v>
      </c>
      <c r="M3" s="3">
        <v>150</v>
      </c>
      <c r="N3" s="3"/>
      <c r="O3" s="11" t="s">
        <v>15</v>
      </c>
    </row>
    <row r="4" spans="1:15" x14ac:dyDescent="0.3">
      <c r="A4" s="58">
        <v>3</v>
      </c>
      <c r="B4" s="58">
        <v>0.5</v>
      </c>
      <c r="C4" s="23">
        <v>90</v>
      </c>
      <c r="D4" s="3"/>
      <c r="E4" s="23">
        <f t="shared" si="0"/>
        <v>93.768600000000006</v>
      </c>
      <c r="F4" s="23">
        <f t="shared" ref="F4:F18" si="1">E4-1</f>
        <v>92.768600000000006</v>
      </c>
      <c r="G4" s="22">
        <f t="shared" ref="G4:G18" si="2">(1000*K4*1*4.751)/(PI()*2.543^2/4*F4)</f>
        <v>0.50416353444159723</v>
      </c>
      <c r="H4" s="22">
        <f t="shared" ref="H4:H18" si="3">(1000*L4*0.386*4.751)/(PI()*2.543^2/4*F4)</f>
        <v>3.2434520715742751E-2</v>
      </c>
      <c r="I4" s="22">
        <v>12.15</v>
      </c>
      <c r="J4" s="3">
        <v>10</v>
      </c>
      <c r="K4" s="57">
        <f t="shared" ref="K4:L18" si="4">A4/60</f>
        <v>0.05</v>
      </c>
      <c r="L4" s="57">
        <f t="shared" si="4"/>
        <v>8.3333333333333332E-3</v>
      </c>
      <c r="M4" s="3">
        <v>150</v>
      </c>
      <c r="N4" s="3"/>
      <c r="O4" s="3">
        <v>0.9869</v>
      </c>
    </row>
    <row r="5" spans="1:15" x14ac:dyDescent="0.3">
      <c r="A5" s="58">
        <v>3</v>
      </c>
      <c r="B5" s="58">
        <v>0.5</v>
      </c>
      <c r="C5" s="36">
        <v>95</v>
      </c>
      <c r="E5" s="23">
        <f t="shared" si="0"/>
        <v>98.703100000000006</v>
      </c>
      <c r="F5" s="23">
        <f t="shared" si="1"/>
        <v>97.703100000000006</v>
      </c>
      <c r="G5" s="22">
        <f t="shared" si="2"/>
        <v>0.47870072967181954</v>
      </c>
      <c r="H5" s="22">
        <f t="shared" si="3"/>
        <v>3.0796413608887057E-2</v>
      </c>
      <c r="J5">
        <v>20</v>
      </c>
      <c r="K5" s="57">
        <f t="shared" si="4"/>
        <v>0.05</v>
      </c>
      <c r="L5" s="57">
        <f t="shared" si="4"/>
        <v>8.3333333333333332E-3</v>
      </c>
      <c r="M5" s="3">
        <v>150</v>
      </c>
    </row>
    <row r="6" spans="1:15" x14ac:dyDescent="0.3">
      <c r="A6" s="58">
        <v>3</v>
      </c>
      <c r="B6" s="58">
        <v>0.5</v>
      </c>
      <c r="C6" s="36">
        <v>64</v>
      </c>
      <c r="E6" s="23">
        <f t="shared" si="0"/>
        <v>68.109200000000001</v>
      </c>
      <c r="F6" s="23">
        <f t="shared" si="1"/>
        <v>67.109200000000001</v>
      </c>
      <c r="G6" s="22">
        <f t="shared" si="2"/>
        <v>0.69693194466926667</v>
      </c>
      <c r="H6" s="22">
        <f t="shared" si="3"/>
        <v>4.4835955107056159E-2</v>
      </c>
      <c r="J6">
        <v>30</v>
      </c>
      <c r="K6" s="57">
        <f t="shared" si="4"/>
        <v>0.05</v>
      </c>
      <c r="L6" s="57">
        <f t="shared" si="4"/>
        <v>8.3333333333333332E-3</v>
      </c>
      <c r="M6" s="3">
        <v>150</v>
      </c>
    </row>
    <row r="7" spans="1:15" x14ac:dyDescent="0.3">
      <c r="A7" s="58">
        <v>3</v>
      </c>
      <c r="B7" s="58">
        <v>0.5</v>
      </c>
      <c r="C7" s="36">
        <v>67</v>
      </c>
      <c r="E7" s="23">
        <f t="shared" si="0"/>
        <v>71.069900000000004</v>
      </c>
      <c r="F7" s="23">
        <f t="shared" si="1"/>
        <v>70.069900000000004</v>
      </c>
      <c r="G7" s="22">
        <f t="shared" si="2"/>
        <v>0.66748411602126945</v>
      </c>
      <c r="H7" s="22">
        <f t="shared" si="3"/>
        <v>4.294147813070167E-2</v>
      </c>
      <c r="J7">
        <v>40</v>
      </c>
      <c r="K7" s="57">
        <f t="shared" si="4"/>
        <v>0.05</v>
      </c>
      <c r="L7" s="57">
        <f t="shared" si="4"/>
        <v>8.3333333333333332E-3</v>
      </c>
      <c r="M7" s="3">
        <v>150</v>
      </c>
    </row>
    <row r="8" spans="1:15" x14ac:dyDescent="0.3">
      <c r="A8" s="58">
        <v>3</v>
      </c>
      <c r="B8" s="58">
        <v>0.5</v>
      </c>
      <c r="C8" s="36">
        <v>71</v>
      </c>
      <c r="E8" s="23">
        <f t="shared" si="0"/>
        <v>75.017499999999998</v>
      </c>
      <c r="F8" s="23">
        <f t="shared" si="1"/>
        <v>74.017499999999998</v>
      </c>
      <c r="G8" s="22">
        <f t="shared" si="2"/>
        <v>0.63188496316680187</v>
      </c>
      <c r="H8" s="22">
        <f t="shared" si="3"/>
        <v>4.0651265963730927E-2</v>
      </c>
      <c r="J8">
        <v>50</v>
      </c>
      <c r="K8" s="57">
        <f t="shared" si="4"/>
        <v>0.05</v>
      </c>
      <c r="L8" s="57">
        <f t="shared" si="4"/>
        <v>8.3333333333333332E-3</v>
      </c>
      <c r="M8" s="3">
        <v>150</v>
      </c>
    </row>
    <row r="9" spans="1:15" x14ac:dyDescent="0.3">
      <c r="A9" s="58">
        <v>3</v>
      </c>
      <c r="B9" s="58">
        <v>0.5</v>
      </c>
      <c r="C9" s="36">
        <v>72</v>
      </c>
      <c r="E9" s="23">
        <f t="shared" si="0"/>
        <v>76.004400000000004</v>
      </c>
      <c r="F9" s="23">
        <f t="shared" si="1"/>
        <v>75.004400000000004</v>
      </c>
      <c r="G9" s="22">
        <f t="shared" si="2"/>
        <v>0.62357068733565968</v>
      </c>
      <c r="H9" s="22">
        <f t="shared" si="3"/>
        <v>4.0116380885260775E-2</v>
      </c>
      <c r="J9">
        <v>60</v>
      </c>
      <c r="K9" s="57">
        <f t="shared" si="4"/>
        <v>0.05</v>
      </c>
      <c r="L9" s="57">
        <f t="shared" si="4"/>
        <v>8.3333333333333332E-3</v>
      </c>
      <c r="M9" s="3">
        <v>150</v>
      </c>
    </row>
    <row r="10" spans="1:15" x14ac:dyDescent="0.3">
      <c r="A10" s="58">
        <v>3</v>
      </c>
      <c r="B10" s="58">
        <v>0.5</v>
      </c>
      <c r="C10" s="36">
        <v>72</v>
      </c>
      <c r="E10" s="23">
        <f t="shared" si="0"/>
        <v>76.004400000000004</v>
      </c>
      <c r="F10" s="23">
        <f t="shared" si="1"/>
        <v>75.004400000000004</v>
      </c>
      <c r="G10" s="22">
        <f t="shared" si="2"/>
        <v>0.62357068733565968</v>
      </c>
      <c r="H10" s="22">
        <f t="shared" si="3"/>
        <v>4.0116380885260775E-2</v>
      </c>
      <c r="J10">
        <v>70</v>
      </c>
      <c r="K10" s="57">
        <f t="shared" si="4"/>
        <v>0.05</v>
      </c>
      <c r="L10" s="57">
        <f t="shared" si="4"/>
        <v>8.3333333333333332E-3</v>
      </c>
      <c r="M10" s="3">
        <v>150</v>
      </c>
    </row>
    <row r="11" spans="1:15" x14ac:dyDescent="0.3">
      <c r="A11" s="58">
        <v>3</v>
      </c>
      <c r="B11" s="58">
        <v>0.5</v>
      </c>
      <c r="C11" s="36">
        <v>73</v>
      </c>
      <c r="E11" s="23">
        <f t="shared" si="0"/>
        <v>76.991299999999995</v>
      </c>
      <c r="F11" s="23">
        <f t="shared" si="1"/>
        <v>75.991299999999995</v>
      </c>
      <c r="G11" s="22">
        <f t="shared" si="2"/>
        <v>0.61547236672091088</v>
      </c>
      <c r="H11" s="22">
        <f>(1000*L11*0.386*4.751)/(PI()*2.543^2/4*F11)</f>
        <v>3.959538892571194E-2</v>
      </c>
      <c r="J11">
        <v>80</v>
      </c>
      <c r="K11" s="57">
        <f t="shared" si="4"/>
        <v>0.05</v>
      </c>
      <c r="L11" s="57">
        <f t="shared" si="4"/>
        <v>8.3333333333333332E-3</v>
      </c>
      <c r="M11" s="3">
        <v>150</v>
      </c>
    </row>
    <row r="12" spans="1:15" x14ac:dyDescent="0.3">
      <c r="A12" s="58">
        <v>3</v>
      </c>
      <c r="B12" s="58">
        <v>0.5</v>
      </c>
      <c r="C12" s="36">
        <v>74</v>
      </c>
      <c r="E12" s="23">
        <f t="shared" si="0"/>
        <v>77.978200000000001</v>
      </c>
      <c r="F12" s="23">
        <f t="shared" si="1"/>
        <v>76.978200000000001</v>
      </c>
      <c r="G12" s="22">
        <f t="shared" si="2"/>
        <v>0.60758169535269402</v>
      </c>
      <c r="H12" s="22">
        <f t="shared" si="3"/>
        <v>3.9087755734356654E-2</v>
      </c>
      <c r="J12">
        <v>90</v>
      </c>
      <c r="K12" s="57">
        <f t="shared" si="4"/>
        <v>0.05</v>
      </c>
      <c r="L12" s="57">
        <f t="shared" si="4"/>
        <v>8.3333333333333332E-3</v>
      </c>
      <c r="M12" s="3">
        <v>150</v>
      </c>
    </row>
    <row r="13" spans="1:15" x14ac:dyDescent="0.3">
      <c r="A13" s="58">
        <v>3</v>
      </c>
      <c r="B13" s="58">
        <v>0.5</v>
      </c>
      <c r="C13" s="36">
        <v>74</v>
      </c>
      <c r="E13" s="23">
        <f t="shared" si="0"/>
        <v>77.978200000000001</v>
      </c>
      <c r="F13" s="23">
        <f t="shared" si="1"/>
        <v>76.978200000000001</v>
      </c>
      <c r="G13" s="22">
        <f t="shared" si="2"/>
        <v>0.60758169535269402</v>
      </c>
      <c r="H13" s="22">
        <f t="shared" si="3"/>
        <v>3.9087755734356654E-2</v>
      </c>
      <c r="J13">
        <v>100</v>
      </c>
      <c r="K13" s="57">
        <f t="shared" si="4"/>
        <v>0.05</v>
      </c>
      <c r="L13" s="57">
        <f t="shared" si="4"/>
        <v>8.3333333333333332E-3</v>
      </c>
      <c r="M13" s="3">
        <v>150</v>
      </c>
    </row>
    <row r="14" spans="1:15" x14ac:dyDescent="0.3">
      <c r="A14" s="58">
        <v>3</v>
      </c>
      <c r="B14" s="58">
        <v>0.5</v>
      </c>
      <c r="C14" s="36">
        <v>74</v>
      </c>
      <c r="E14" s="23">
        <f t="shared" si="0"/>
        <v>77.978200000000001</v>
      </c>
      <c r="F14" s="23">
        <f t="shared" si="1"/>
        <v>76.978200000000001</v>
      </c>
      <c r="G14" s="22">
        <f t="shared" si="2"/>
        <v>0.60758169535269402</v>
      </c>
      <c r="H14" s="22">
        <f t="shared" si="3"/>
        <v>3.9087755734356654E-2</v>
      </c>
      <c r="J14">
        <v>110</v>
      </c>
      <c r="K14" s="57">
        <f t="shared" si="4"/>
        <v>0.05</v>
      </c>
      <c r="L14" s="57">
        <f t="shared" si="4"/>
        <v>8.3333333333333332E-3</v>
      </c>
      <c r="M14" s="3">
        <v>150</v>
      </c>
    </row>
    <row r="15" spans="1:15" x14ac:dyDescent="0.3">
      <c r="A15" s="58">
        <v>3</v>
      </c>
      <c r="B15" s="58">
        <v>0.5</v>
      </c>
      <c r="C15" s="36">
        <v>74</v>
      </c>
      <c r="E15" s="23">
        <f t="shared" si="0"/>
        <v>77.978200000000001</v>
      </c>
      <c r="F15" s="23">
        <f t="shared" si="1"/>
        <v>76.978200000000001</v>
      </c>
      <c r="G15" s="22">
        <f t="shared" si="2"/>
        <v>0.60758169535269402</v>
      </c>
      <c r="H15" s="22">
        <f t="shared" si="3"/>
        <v>3.9087755734356654E-2</v>
      </c>
      <c r="J15">
        <v>120</v>
      </c>
      <c r="K15" s="57">
        <f t="shared" si="4"/>
        <v>0.05</v>
      </c>
      <c r="L15" s="57">
        <f t="shared" si="4"/>
        <v>8.3333333333333332E-3</v>
      </c>
      <c r="M15" s="3">
        <v>150</v>
      </c>
    </row>
    <row r="16" spans="1:15" x14ac:dyDescent="0.3">
      <c r="A16" s="58">
        <v>3</v>
      </c>
      <c r="B16" s="58">
        <v>0.5</v>
      </c>
      <c r="C16" s="36">
        <v>74</v>
      </c>
      <c r="E16" s="23">
        <f t="shared" si="0"/>
        <v>77.978200000000001</v>
      </c>
      <c r="F16" s="23">
        <f t="shared" si="1"/>
        <v>76.978200000000001</v>
      </c>
      <c r="G16" s="22">
        <f t="shared" si="2"/>
        <v>0.60758169535269402</v>
      </c>
      <c r="H16" s="22">
        <f t="shared" si="3"/>
        <v>3.9087755734356654E-2</v>
      </c>
      <c r="J16">
        <v>130</v>
      </c>
      <c r="K16" s="57">
        <f t="shared" si="4"/>
        <v>0.05</v>
      </c>
      <c r="L16" s="57">
        <f t="shared" si="4"/>
        <v>8.3333333333333332E-3</v>
      </c>
      <c r="M16" s="3">
        <v>150</v>
      </c>
    </row>
    <row r="17" spans="1:25" x14ac:dyDescent="0.3">
      <c r="A17" s="58">
        <v>3</v>
      </c>
      <c r="B17" s="58">
        <v>0.5</v>
      </c>
      <c r="C17" s="36">
        <v>74</v>
      </c>
      <c r="E17" s="23">
        <f t="shared" si="0"/>
        <v>77.978200000000001</v>
      </c>
      <c r="F17" s="23">
        <f t="shared" si="1"/>
        <v>76.978200000000001</v>
      </c>
      <c r="G17" s="22">
        <f t="shared" si="2"/>
        <v>0.60758169535269402</v>
      </c>
      <c r="H17" s="22">
        <f t="shared" si="3"/>
        <v>3.9087755734356654E-2</v>
      </c>
      <c r="J17">
        <v>140</v>
      </c>
      <c r="K17" s="57">
        <f t="shared" si="4"/>
        <v>0.05</v>
      </c>
      <c r="L17" s="57">
        <f t="shared" si="4"/>
        <v>8.3333333333333332E-3</v>
      </c>
      <c r="M17" s="3">
        <v>150</v>
      </c>
    </row>
    <row r="18" spans="1:25" x14ac:dyDescent="0.3">
      <c r="A18" s="58">
        <v>3</v>
      </c>
      <c r="B18" s="58">
        <v>0.5</v>
      </c>
      <c r="C18" s="36">
        <v>74</v>
      </c>
      <c r="E18" s="23">
        <f t="shared" si="0"/>
        <v>77.978200000000001</v>
      </c>
      <c r="F18" s="23">
        <f t="shared" si="1"/>
        <v>76.978200000000001</v>
      </c>
      <c r="G18" s="22">
        <f t="shared" si="2"/>
        <v>0.60758169535269402</v>
      </c>
      <c r="H18" s="22">
        <f t="shared" si="3"/>
        <v>3.9087755734356654E-2</v>
      </c>
      <c r="J18">
        <v>150</v>
      </c>
      <c r="K18" s="57">
        <f t="shared" si="4"/>
        <v>0.05</v>
      </c>
      <c r="L18" s="57">
        <f t="shared" si="4"/>
        <v>8.3333333333333332E-3</v>
      </c>
      <c r="M18" s="3">
        <v>150</v>
      </c>
    </row>
    <row r="19" spans="1:25" x14ac:dyDescent="0.3">
      <c r="S19" t="s">
        <v>21</v>
      </c>
      <c r="T19" t="s">
        <v>109</v>
      </c>
      <c r="U19" t="s">
        <v>1</v>
      </c>
      <c r="W19" t="s">
        <v>110</v>
      </c>
    </row>
    <row r="20" spans="1:25" x14ac:dyDescent="0.3">
      <c r="S20">
        <v>51.344900000000003</v>
      </c>
      <c r="T20">
        <v>55.307099999999998</v>
      </c>
      <c r="U20">
        <v>3.9621999999999957</v>
      </c>
      <c r="W20">
        <v>20.168372857278499</v>
      </c>
    </row>
    <row r="22" spans="1:25" x14ac:dyDescent="0.3">
      <c r="S22" t="s">
        <v>2</v>
      </c>
      <c r="T22" t="s">
        <v>3</v>
      </c>
      <c r="U22" t="s">
        <v>235</v>
      </c>
    </row>
    <row r="23" spans="1:25" x14ac:dyDescent="0.3">
      <c r="S23">
        <v>24.130572857278541</v>
      </c>
      <c r="T23">
        <v>16.419833973418793</v>
      </c>
      <c r="W23" t="s">
        <v>138</v>
      </c>
    </row>
    <row r="24" spans="1:25" x14ac:dyDescent="0.3">
      <c r="W24" s="9">
        <v>4.4196109411019897</v>
      </c>
    </row>
    <row r="27" spans="1:25" x14ac:dyDescent="0.3">
      <c r="Q27" t="s">
        <v>125</v>
      </c>
      <c r="R27" t="s">
        <v>20</v>
      </c>
      <c r="S27" t="s">
        <v>109</v>
      </c>
      <c r="T27" t="s">
        <v>111</v>
      </c>
      <c r="U27" t="s">
        <v>197</v>
      </c>
      <c r="V27" t="s">
        <v>196</v>
      </c>
      <c r="W27" t="s">
        <v>156</v>
      </c>
    </row>
    <row r="28" spans="1:25" x14ac:dyDescent="0.3">
      <c r="Q28">
        <v>55.859200000000001</v>
      </c>
      <c r="R28">
        <v>0.73609999999999998</v>
      </c>
      <c r="S28">
        <f>Q28-R28</f>
        <v>55.123100000000001</v>
      </c>
      <c r="T28">
        <v>0.68400000000000005</v>
      </c>
      <c r="U28" s="6">
        <f>(S28-$S$20-T28*W24)/(1-T28)</f>
        <v>2.3898294819184724</v>
      </c>
      <c r="V28" s="36">
        <f>U28/W24*100</f>
        <v>54.073299975191716</v>
      </c>
    </row>
    <row r="30" spans="1:25" x14ac:dyDescent="0.3">
      <c r="Q30" t="s">
        <v>125</v>
      </c>
      <c r="R30" t="s">
        <v>20</v>
      </c>
      <c r="S30" t="s">
        <v>109</v>
      </c>
      <c r="T30" t="s">
        <v>111</v>
      </c>
      <c r="U30" t="s">
        <v>197</v>
      </c>
      <c r="V30" t="s">
        <v>196</v>
      </c>
    </row>
    <row r="31" spans="1:25" x14ac:dyDescent="0.3">
      <c r="Q31">
        <v>55.816299999999998</v>
      </c>
      <c r="R31">
        <v>0.73609999999999998</v>
      </c>
      <c r="S31">
        <f>Q31-R31</f>
        <v>55.080199999999998</v>
      </c>
      <c r="T31">
        <v>0.68400000000000005</v>
      </c>
      <c r="U31" s="6">
        <f>(S31-$S$20-T31*W24)/(1-T31)</f>
        <v>2.254069988247577</v>
      </c>
      <c r="V31" s="36">
        <f>U31/W24*100</f>
        <v>51.001547835012495</v>
      </c>
      <c r="W31" t="s">
        <v>160</v>
      </c>
      <c r="Y31" t="s">
        <v>196</v>
      </c>
    </row>
    <row r="32" spans="1:25" x14ac:dyDescent="0.3">
      <c r="Y32" s="63">
        <f>(V28+V31+V34+V37+V40)/5</f>
        <v>51.381041689160568</v>
      </c>
    </row>
    <row r="33" spans="17:30" x14ac:dyDescent="0.3">
      <c r="Q33" t="s">
        <v>125</v>
      </c>
      <c r="R33" t="s">
        <v>20</v>
      </c>
      <c r="S33" t="s">
        <v>109</v>
      </c>
      <c r="T33" t="s">
        <v>111</v>
      </c>
      <c r="U33" t="s">
        <v>197</v>
      </c>
      <c r="V33" t="s">
        <v>196</v>
      </c>
      <c r="W33" t="s">
        <v>160</v>
      </c>
    </row>
    <row r="34" spans="17:30" x14ac:dyDescent="0.3">
      <c r="Q34">
        <v>55.784500000000001</v>
      </c>
      <c r="R34">
        <v>0.73609999999999998</v>
      </c>
      <c r="S34">
        <f>Q34-R34</f>
        <v>55.048400000000001</v>
      </c>
      <c r="T34">
        <v>0.68400000000000005</v>
      </c>
      <c r="U34" s="6">
        <f>(S34-$S$20-T34*W24)/(1-T34)</f>
        <v>2.1534370768551816</v>
      </c>
      <c r="V34" s="36">
        <f>U34/W24*100</f>
        <v>48.724584710124773</v>
      </c>
    </row>
    <row r="36" spans="17:30" x14ac:dyDescent="0.3">
      <c r="Q36" t="s">
        <v>125</v>
      </c>
      <c r="R36" t="s">
        <v>20</v>
      </c>
      <c r="S36" t="s">
        <v>109</v>
      </c>
      <c r="T36" t="s">
        <v>111</v>
      </c>
      <c r="U36" t="s">
        <v>197</v>
      </c>
      <c r="V36" t="s">
        <v>196</v>
      </c>
      <c r="W36" t="s">
        <v>160</v>
      </c>
      <c r="Y36" s="2" t="s">
        <v>184</v>
      </c>
      <c r="Z36" s="2" t="s">
        <v>185</v>
      </c>
      <c r="AA36" s="2" t="s">
        <v>190</v>
      </c>
      <c r="AB36" s="2" t="s">
        <v>186</v>
      </c>
      <c r="AC36" s="2" t="s">
        <v>187</v>
      </c>
      <c r="AD36" s="2" t="s">
        <v>188</v>
      </c>
    </row>
    <row r="37" spans="17:30" x14ac:dyDescent="0.3">
      <c r="Q37">
        <v>55.806699999999999</v>
      </c>
      <c r="R37">
        <v>0.73609999999999998</v>
      </c>
      <c r="S37">
        <f>Q37-R37</f>
        <v>55.070599999999999</v>
      </c>
      <c r="T37">
        <v>0.68400000000000005</v>
      </c>
      <c r="U37" s="6">
        <f>(S37-$S$20-T37*W24)/(1-T37)</f>
        <v>2.2236902414121373</v>
      </c>
      <c r="V37" s="36">
        <f>U37/W24*100</f>
        <v>50.31416274070677</v>
      </c>
      <c r="Y37" s="36">
        <f>(Y32-V28)^2</f>
        <v>7.2482546787033746</v>
      </c>
      <c r="Z37" s="36">
        <f>SQRT(SUM(Y37:Y41)/(5-1))</f>
        <v>2.0962452492718335</v>
      </c>
      <c r="AA37">
        <v>4.6040000000000001</v>
      </c>
      <c r="AB37" s="63">
        <f>AA37*Z37/SQRT(5)</f>
        <v>4.3161090023920927</v>
      </c>
      <c r="AC37" s="36">
        <f>Y32+AB37</f>
        <v>55.697150691552665</v>
      </c>
      <c r="AD37" s="36">
        <f>Y32-AB37</f>
        <v>47.064932686768472</v>
      </c>
    </row>
    <row r="38" spans="17:30" x14ac:dyDescent="0.3">
      <c r="Y38" s="36">
        <f>(Y32-V31)^2</f>
        <v>0.14401558533615907</v>
      </c>
    </row>
    <row r="39" spans="17:30" x14ac:dyDescent="0.3">
      <c r="Q39" t="s">
        <v>125</v>
      </c>
      <c r="R39" t="s">
        <v>20</v>
      </c>
      <c r="S39" t="s">
        <v>109</v>
      </c>
      <c r="T39" t="s">
        <v>111</v>
      </c>
      <c r="U39" t="s">
        <v>197</v>
      </c>
      <c r="V39" t="s">
        <v>196</v>
      </c>
      <c r="W39" t="s">
        <v>160</v>
      </c>
      <c r="Y39" s="36">
        <f>(Y32-V34)^2</f>
        <v>7.0567636814679826</v>
      </c>
    </row>
    <row r="40" spans="17:30" x14ac:dyDescent="0.3">
      <c r="Q40">
        <v>55.841299999999997</v>
      </c>
      <c r="R40">
        <v>0.73609999999999998</v>
      </c>
      <c r="S40">
        <f>Q40-R40</f>
        <v>55.105199999999996</v>
      </c>
      <c r="T40">
        <v>0.68400000000000005</v>
      </c>
      <c r="U40" s="6">
        <f>(S40-$S$20-T40*W24)/(1-T40)</f>
        <v>2.3331839122982054</v>
      </c>
      <c r="V40" s="36">
        <f>U40/W24*100</f>
        <v>52.791613184767058</v>
      </c>
      <c r="Y40" s="36">
        <f>(Y32-V37)^2</f>
        <v>1.1382306906538822</v>
      </c>
    </row>
    <row r="41" spans="17:30" x14ac:dyDescent="0.3">
      <c r="Y41" s="36">
        <f>(Y32-V40)^2</f>
        <v>1.9897119442175304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28"/>
  <sheetViews>
    <sheetView topLeftCell="A45" zoomScale="90" zoomScaleNormal="90" workbookViewId="0">
      <selection activeCell="F49" sqref="F49:F80"/>
    </sheetView>
  </sheetViews>
  <sheetFormatPr defaultRowHeight="14.4" x14ac:dyDescent="0.3"/>
  <cols>
    <col min="1" max="1" width="10.5546875" customWidth="1"/>
    <col min="2" max="2" width="11.44140625" customWidth="1"/>
    <col min="3" max="3" width="17.5546875" customWidth="1"/>
    <col min="4" max="4" width="15" customWidth="1"/>
    <col min="5" max="5" width="11" customWidth="1"/>
    <col min="6" max="6" width="13.88671875" customWidth="1"/>
    <col min="7" max="7" width="10.6640625" customWidth="1"/>
    <col min="9" max="9" width="10.44140625" customWidth="1"/>
    <col min="10" max="10" width="14" customWidth="1"/>
    <col min="14" max="14" width="9.6640625" customWidth="1"/>
    <col min="15" max="15" width="10.33203125" customWidth="1"/>
  </cols>
  <sheetData>
    <row r="1" spans="1:15" x14ac:dyDescent="0.3">
      <c r="J1" s="2" t="s">
        <v>162</v>
      </c>
    </row>
    <row r="2" spans="1:15" x14ac:dyDescent="0.3">
      <c r="A2" s="2" t="s">
        <v>0</v>
      </c>
      <c r="B2" s="2" t="s">
        <v>164</v>
      </c>
      <c r="C2" s="2" t="s">
        <v>123</v>
      </c>
      <c r="D2" s="2" t="s">
        <v>7</v>
      </c>
      <c r="E2" s="2" t="s">
        <v>11</v>
      </c>
      <c r="F2" s="2" t="s">
        <v>25</v>
      </c>
      <c r="G2" s="2" t="s">
        <v>9</v>
      </c>
      <c r="H2" s="8" t="s">
        <v>13</v>
      </c>
      <c r="I2" s="5" t="s">
        <v>10</v>
      </c>
      <c r="J2" s="5" t="s">
        <v>159</v>
      </c>
    </row>
    <row r="3" spans="1:15" x14ac:dyDescent="0.3">
      <c r="A3" s="6">
        <v>0.8</v>
      </c>
      <c r="B3">
        <v>9.06</v>
      </c>
      <c r="C3">
        <v>-0.04</v>
      </c>
      <c r="D3" s="6">
        <f>$O$4*(B3-C3)+1</f>
        <v>9.9807899999999989</v>
      </c>
      <c r="E3" s="6">
        <f>D3-1</f>
        <v>8.9807899999999989</v>
      </c>
      <c r="F3" s="61">
        <f>(1000*I3*1*4.7)/(PI()*(2.54^2)/4*E3)</f>
        <v>1.3770976546655596</v>
      </c>
      <c r="G3" s="3">
        <v>11.43</v>
      </c>
      <c r="H3">
        <v>0</v>
      </c>
      <c r="I3" s="7">
        <f>A3/60</f>
        <v>1.3333333333333334E-2</v>
      </c>
      <c r="J3">
        <v>60</v>
      </c>
      <c r="O3" s="2" t="s">
        <v>15</v>
      </c>
    </row>
    <row r="4" spans="1:15" x14ac:dyDescent="0.3">
      <c r="A4" s="6">
        <v>0.8</v>
      </c>
      <c r="B4">
        <v>9.24</v>
      </c>
      <c r="C4">
        <v>-0.04</v>
      </c>
      <c r="D4" s="6">
        <f t="shared" ref="D4:D67" si="0">$O$4*(B4-C4)+1</f>
        <v>10.158431999999999</v>
      </c>
      <c r="E4" s="6">
        <f t="shared" ref="E4:E80" si="1">D4-1</f>
        <v>9.1584319999999995</v>
      </c>
      <c r="F4" s="61">
        <f t="shared" ref="F4:F37" si="2">(1000*I4*1*4.7)/(PI()*(2.54^2)/4*E4)</f>
        <v>1.3503867087776498</v>
      </c>
      <c r="G4">
        <v>11.49</v>
      </c>
      <c r="H4">
        <v>6</v>
      </c>
      <c r="I4" s="7">
        <f t="shared" ref="I4:I67" si="3">A4/60</f>
        <v>1.3333333333333334E-2</v>
      </c>
      <c r="J4">
        <v>60</v>
      </c>
      <c r="O4">
        <v>0.9869</v>
      </c>
    </row>
    <row r="5" spans="1:15" x14ac:dyDescent="0.3">
      <c r="A5" s="6">
        <v>0.8</v>
      </c>
      <c r="B5">
        <v>9.3699999999999992</v>
      </c>
      <c r="C5">
        <v>-0.04</v>
      </c>
      <c r="D5" s="6">
        <f t="shared" si="0"/>
        <v>10.286728999999998</v>
      </c>
      <c r="E5" s="6">
        <f t="shared" si="1"/>
        <v>9.2867289999999976</v>
      </c>
      <c r="F5" s="61">
        <f t="shared" si="2"/>
        <v>1.3317309944162159</v>
      </c>
      <c r="G5">
        <v>11.54</v>
      </c>
      <c r="H5">
        <v>11</v>
      </c>
      <c r="I5" s="7">
        <f t="shared" si="3"/>
        <v>1.3333333333333334E-2</v>
      </c>
      <c r="J5">
        <v>60</v>
      </c>
    </row>
    <row r="6" spans="1:15" x14ac:dyDescent="0.3">
      <c r="A6" s="6">
        <v>0.8</v>
      </c>
      <c r="B6">
        <v>9.68</v>
      </c>
      <c r="C6">
        <v>-0.04</v>
      </c>
      <c r="D6" s="6">
        <f t="shared" si="0"/>
        <v>10.592668</v>
      </c>
      <c r="E6" s="6">
        <f t="shared" si="1"/>
        <v>9.5926679999999998</v>
      </c>
      <c r="F6" s="61">
        <f t="shared" si="2"/>
        <v>1.2892580923309249</v>
      </c>
      <c r="G6">
        <v>12.13</v>
      </c>
      <c r="H6">
        <f>H5+9</f>
        <v>20</v>
      </c>
      <c r="I6" s="7">
        <f t="shared" si="3"/>
        <v>1.3333333333333334E-2</v>
      </c>
      <c r="J6">
        <v>60</v>
      </c>
    </row>
    <row r="7" spans="1:15" x14ac:dyDescent="0.3">
      <c r="A7" s="6">
        <v>0.8</v>
      </c>
      <c r="B7">
        <v>9.7799999999999994</v>
      </c>
      <c r="C7">
        <v>-0.04</v>
      </c>
      <c r="D7" s="6">
        <f t="shared" si="0"/>
        <v>10.691357999999999</v>
      </c>
      <c r="E7" s="6">
        <f t="shared" si="1"/>
        <v>9.6913579999999993</v>
      </c>
      <c r="F7" s="61">
        <f t="shared" si="2"/>
        <v>1.2761291911870256</v>
      </c>
      <c r="G7">
        <v>12.17</v>
      </c>
      <c r="H7">
        <v>24</v>
      </c>
      <c r="I7" s="7">
        <f t="shared" si="3"/>
        <v>1.3333333333333334E-2</v>
      </c>
      <c r="J7">
        <v>60</v>
      </c>
    </row>
    <row r="8" spans="1:15" x14ac:dyDescent="0.3">
      <c r="A8" s="6">
        <v>0.8</v>
      </c>
      <c r="B8">
        <v>9.81</v>
      </c>
      <c r="C8">
        <v>-0.04</v>
      </c>
      <c r="D8" s="6">
        <f>$O$4*(B8-C8)+1</f>
        <v>10.720965</v>
      </c>
      <c r="E8" s="6">
        <f t="shared" si="1"/>
        <v>9.7209649999999996</v>
      </c>
      <c r="F8" s="61">
        <f t="shared" si="2"/>
        <v>1.2722425032950853</v>
      </c>
      <c r="G8">
        <v>12.22</v>
      </c>
      <c r="H8">
        <f>H7+5</f>
        <v>29</v>
      </c>
      <c r="I8" s="7">
        <f t="shared" si="3"/>
        <v>1.3333333333333334E-2</v>
      </c>
      <c r="J8">
        <v>60</v>
      </c>
    </row>
    <row r="9" spans="1:15" x14ac:dyDescent="0.3">
      <c r="A9" s="6">
        <v>0.8</v>
      </c>
      <c r="B9">
        <v>9.91</v>
      </c>
      <c r="C9">
        <v>-0.04</v>
      </c>
      <c r="D9" s="6">
        <f t="shared" si="0"/>
        <v>10.819654999999999</v>
      </c>
      <c r="E9" s="6">
        <f t="shared" si="1"/>
        <v>9.8196549999999991</v>
      </c>
      <c r="F9" s="61">
        <f t="shared" si="2"/>
        <v>1.2594561464780494</v>
      </c>
      <c r="G9">
        <v>12.29</v>
      </c>
      <c r="H9">
        <f>36</f>
        <v>36</v>
      </c>
      <c r="I9" s="7">
        <f t="shared" si="3"/>
        <v>1.3333333333333334E-2</v>
      </c>
      <c r="J9">
        <v>60</v>
      </c>
    </row>
    <row r="10" spans="1:15" x14ac:dyDescent="0.3">
      <c r="A10" s="6">
        <v>0.8</v>
      </c>
      <c r="B10">
        <v>10.02</v>
      </c>
      <c r="C10">
        <v>-0.04</v>
      </c>
      <c r="D10" s="6">
        <f t="shared" si="0"/>
        <v>10.928213999999999</v>
      </c>
      <c r="E10" s="6">
        <f t="shared" si="1"/>
        <v>9.9282139999999988</v>
      </c>
      <c r="F10" s="61">
        <f t="shared" si="2"/>
        <v>1.2456847572024445</v>
      </c>
      <c r="G10">
        <v>12.39</v>
      </c>
      <c r="H10">
        <v>46</v>
      </c>
      <c r="I10" s="7">
        <f t="shared" si="3"/>
        <v>1.3333333333333334E-2</v>
      </c>
      <c r="J10">
        <v>60</v>
      </c>
    </row>
    <row r="11" spans="1:15" x14ac:dyDescent="0.3">
      <c r="A11" s="6">
        <v>0.8</v>
      </c>
      <c r="B11">
        <v>10.07</v>
      </c>
      <c r="C11">
        <v>-0.04</v>
      </c>
      <c r="D11" s="6">
        <f t="shared" si="0"/>
        <v>10.977558999999999</v>
      </c>
      <c r="E11" s="6">
        <f t="shared" si="1"/>
        <v>9.9775589999999994</v>
      </c>
      <c r="F11" s="61">
        <f t="shared" si="2"/>
        <v>1.2395241006386339</v>
      </c>
      <c r="G11">
        <v>12.43</v>
      </c>
      <c r="H11">
        <v>50</v>
      </c>
      <c r="I11" s="7">
        <f t="shared" si="3"/>
        <v>1.3333333333333334E-2</v>
      </c>
      <c r="J11">
        <v>60</v>
      </c>
      <c r="N11" s="10"/>
    </row>
    <row r="12" spans="1:15" x14ac:dyDescent="0.3">
      <c r="A12" s="6">
        <v>0.8</v>
      </c>
      <c r="B12">
        <v>10.5</v>
      </c>
      <c r="C12">
        <v>-0.04</v>
      </c>
      <c r="D12" s="6">
        <f t="shared" si="0"/>
        <v>11.401926</v>
      </c>
      <c r="E12" s="6">
        <f t="shared" si="1"/>
        <v>10.401926</v>
      </c>
      <c r="F12" s="61">
        <f t="shared" si="2"/>
        <v>1.1889552805936043</v>
      </c>
      <c r="G12">
        <v>12.48</v>
      </c>
      <c r="H12">
        <v>55</v>
      </c>
      <c r="I12" s="7">
        <f t="shared" si="3"/>
        <v>1.3333333333333334E-2</v>
      </c>
      <c r="J12">
        <v>60</v>
      </c>
    </row>
    <row r="13" spans="1:15" x14ac:dyDescent="0.3">
      <c r="A13" s="6">
        <v>0.8</v>
      </c>
      <c r="B13">
        <v>11.1</v>
      </c>
      <c r="C13">
        <v>-0.04</v>
      </c>
      <c r="D13" s="6">
        <f t="shared" si="0"/>
        <v>11.994065999999998</v>
      </c>
      <c r="E13" s="6">
        <f t="shared" si="1"/>
        <v>10.994065999999998</v>
      </c>
      <c r="F13" s="61">
        <f t="shared" si="2"/>
        <v>1.1249181918722253</v>
      </c>
      <c r="G13">
        <v>12.5</v>
      </c>
      <c r="H13">
        <v>57</v>
      </c>
      <c r="I13" s="7">
        <f t="shared" si="3"/>
        <v>1.3333333333333334E-2</v>
      </c>
      <c r="J13">
        <v>60</v>
      </c>
    </row>
    <row r="14" spans="1:15" x14ac:dyDescent="0.3">
      <c r="A14" s="6">
        <v>0.7</v>
      </c>
      <c r="B14">
        <v>9.2200000000000006</v>
      </c>
      <c r="C14">
        <v>-0.04</v>
      </c>
      <c r="D14" s="6">
        <f t="shared" si="0"/>
        <v>10.138693999999999</v>
      </c>
      <c r="E14" s="6">
        <f t="shared" si="1"/>
        <v>9.1386939999999992</v>
      </c>
      <c r="F14" s="61">
        <f t="shared" si="2"/>
        <v>1.1841403968978959</v>
      </c>
      <c r="G14">
        <v>12.52</v>
      </c>
      <c r="H14">
        <v>59</v>
      </c>
      <c r="I14" s="7">
        <f t="shared" si="3"/>
        <v>1.1666666666666665E-2</v>
      </c>
      <c r="J14">
        <v>60</v>
      </c>
    </row>
    <row r="15" spans="1:15" x14ac:dyDescent="0.3">
      <c r="A15" s="6">
        <v>0.7</v>
      </c>
      <c r="B15">
        <v>9.2100000000000009</v>
      </c>
      <c r="C15">
        <v>-0.04</v>
      </c>
      <c r="D15" s="6">
        <f t="shared" si="0"/>
        <v>10.128825000000001</v>
      </c>
      <c r="E15" s="6">
        <f t="shared" si="1"/>
        <v>9.1288250000000009</v>
      </c>
      <c r="F15" s="61">
        <f t="shared" si="2"/>
        <v>1.1854205486783258</v>
      </c>
      <c r="G15">
        <v>13.02</v>
      </c>
      <c r="H15">
        <v>69</v>
      </c>
      <c r="I15" s="7">
        <f t="shared" si="3"/>
        <v>1.1666666666666665E-2</v>
      </c>
      <c r="J15">
        <v>60</v>
      </c>
    </row>
    <row r="16" spans="1:15" x14ac:dyDescent="0.3">
      <c r="A16" s="6">
        <v>0.7</v>
      </c>
      <c r="B16">
        <v>9.24</v>
      </c>
      <c r="C16">
        <v>-0.04</v>
      </c>
      <c r="D16" s="6">
        <f t="shared" si="0"/>
        <v>10.158431999999999</v>
      </c>
      <c r="E16" s="6">
        <f t="shared" si="1"/>
        <v>9.1584319999999995</v>
      </c>
      <c r="F16" s="61">
        <f t="shared" si="2"/>
        <v>1.1815883701804435</v>
      </c>
      <c r="G16">
        <v>13.04</v>
      </c>
      <c r="H16">
        <v>71</v>
      </c>
      <c r="I16" s="7">
        <f t="shared" si="3"/>
        <v>1.1666666666666665E-2</v>
      </c>
      <c r="J16">
        <v>60</v>
      </c>
    </row>
    <row r="17" spans="1:10" x14ac:dyDescent="0.3">
      <c r="A17" s="6">
        <v>0.7</v>
      </c>
      <c r="B17">
        <v>9.34</v>
      </c>
      <c r="C17">
        <v>-0.04</v>
      </c>
      <c r="D17" s="6">
        <f t="shared" si="0"/>
        <v>10.257121999999999</v>
      </c>
      <c r="E17" s="6">
        <f t="shared" si="1"/>
        <v>9.257121999999999</v>
      </c>
      <c r="F17" s="61">
        <f t="shared" si="2"/>
        <v>1.1689914792403535</v>
      </c>
      <c r="G17">
        <v>13.09</v>
      </c>
      <c r="H17">
        <v>76</v>
      </c>
      <c r="I17" s="7">
        <f t="shared" si="3"/>
        <v>1.1666666666666665E-2</v>
      </c>
      <c r="J17">
        <v>60</v>
      </c>
    </row>
    <row r="18" spans="1:10" x14ac:dyDescent="0.3">
      <c r="A18" s="6">
        <v>0.7</v>
      </c>
      <c r="B18">
        <v>9.4</v>
      </c>
      <c r="C18">
        <v>-0.04</v>
      </c>
      <c r="D18" s="6">
        <f t="shared" si="0"/>
        <v>10.316336</v>
      </c>
      <c r="E18" s="6">
        <f t="shared" si="1"/>
        <v>9.3163359999999997</v>
      </c>
      <c r="F18" s="61">
        <f t="shared" si="2"/>
        <v>1.1615614486519614</v>
      </c>
      <c r="G18">
        <v>13.17</v>
      </c>
      <c r="H18">
        <f>H17+8</f>
        <v>84</v>
      </c>
      <c r="I18" s="7">
        <f t="shared" si="3"/>
        <v>1.1666666666666665E-2</v>
      </c>
      <c r="J18">
        <v>60</v>
      </c>
    </row>
    <row r="19" spans="1:10" x14ac:dyDescent="0.3">
      <c r="A19" s="6">
        <v>0.7</v>
      </c>
      <c r="B19">
        <v>9.4499999999999993</v>
      </c>
      <c r="C19">
        <v>-0.04</v>
      </c>
      <c r="D19" s="6">
        <f t="shared" si="0"/>
        <v>10.365680999999999</v>
      </c>
      <c r="E19" s="6">
        <f t="shared" si="1"/>
        <v>9.3656809999999986</v>
      </c>
      <c r="F19" s="61">
        <f t="shared" si="2"/>
        <v>1.1554415253187056</v>
      </c>
      <c r="G19">
        <v>13.21</v>
      </c>
      <c r="H19">
        <v>88</v>
      </c>
      <c r="I19" s="7">
        <f t="shared" si="3"/>
        <v>1.1666666666666665E-2</v>
      </c>
      <c r="J19">
        <v>60</v>
      </c>
    </row>
    <row r="20" spans="1:10" x14ac:dyDescent="0.3">
      <c r="A20" s="6">
        <v>0.7</v>
      </c>
      <c r="B20">
        <v>9.4499999999999993</v>
      </c>
      <c r="C20">
        <v>-0.04</v>
      </c>
      <c r="D20" s="6">
        <f t="shared" si="0"/>
        <v>10.365680999999999</v>
      </c>
      <c r="E20" s="6">
        <f t="shared" si="1"/>
        <v>9.3656809999999986</v>
      </c>
      <c r="F20" s="61">
        <f t="shared" si="2"/>
        <v>1.1554415253187056</v>
      </c>
      <c r="G20">
        <v>13.25</v>
      </c>
      <c r="H20">
        <f>H19+4</f>
        <v>92</v>
      </c>
      <c r="I20" s="7">
        <f t="shared" si="3"/>
        <v>1.1666666666666665E-2</v>
      </c>
      <c r="J20">
        <v>60</v>
      </c>
    </row>
    <row r="21" spans="1:10" x14ac:dyDescent="0.3">
      <c r="A21" s="6">
        <v>0.7</v>
      </c>
      <c r="B21">
        <v>9.51</v>
      </c>
      <c r="C21">
        <v>-0.04</v>
      </c>
      <c r="D21" s="6">
        <f t="shared" si="0"/>
        <v>10.424894999999999</v>
      </c>
      <c r="E21" s="6">
        <f t="shared" si="1"/>
        <v>9.4248949999999994</v>
      </c>
      <c r="F21" s="61">
        <f t="shared" si="2"/>
        <v>1.1481822068350278</v>
      </c>
      <c r="G21">
        <v>13.3</v>
      </c>
      <c r="H21">
        <f>H20+5</f>
        <v>97</v>
      </c>
      <c r="I21" s="7">
        <f t="shared" si="3"/>
        <v>1.1666666666666665E-2</v>
      </c>
      <c r="J21">
        <v>60</v>
      </c>
    </row>
    <row r="22" spans="1:10" x14ac:dyDescent="0.3">
      <c r="A22" s="6">
        <v>0.7</v>
      </c>
      <c r="B22">
        <v>9.57</v>
      </c>
      <c r="C22">
        <v>-0.04</v>
      </c>
      <c r="D22" s="6">
        <f t="shared" si="0"/>
        <v>10.484109</v>
      </c>
      <c r="E22" s="6">
        <f t="shared" si="1"/>
        <v>9.4841090000000001</v>
      </c>
      <c r="F22" s="61">
        <f t="shared" si="2"/>
        <v>1.1410135354083784</v>
      </c>
      <c r="G22">
        <v>13.35</v>
      </c>
      <c r="H22">
        <f>H21+5</f>
        <v>102</v>
      </c>
      <c r="I22" s="7">
        <f t="shared" si="3"/>
        <v>1.1666666666666665E-2</v>
      </c>
      <c r="J22">
        <v>60</v>
      </c>
    </row>
    <row r="23" spans="1:10" x14ac:dyDescent="0.3">
      <c r="A23" s="6">
        <v>0.7</v>
      </c>
      <c r="B23">
        <v>9.68</v>
      </c>
      <c r="C23">
        <v>-0.04</v>
      </c>
      <c r="D23" s="6">
        <f t="shared" si="0"/>
        <v>10.592668</v>
      </c>
      <c r="E23" s="6">
        <f t="shared" si="1"/>
        <v>9.5926679999999998</v>
      </c>
      <c r="F23" s="61">
        <f t="shared" si="2"/>
        <v>1.1281008307895593</v>
      </c>
      <c r="G23">
        <v>13.5</v>
      </c>
      <c r="H23">
        <f>H22+15</f>
        <v>117</v>
      </c>
      <c r="I23" s="7">
        <f t="shared" si="3"/>
        <v>1.1666666666666665E-2</v>
      </c>
      <c r="J23">
        <v>60</v>
      </c>
    </row>
    <row r="24" spans="1:10" x14ac:dyDescent="0.3">
      <c r="A24" s="6">
        <v>0.7</v>
      </c>
      <c r="B24">
        <v>9.75</v>
      </c>
      <c r="C24">
        <v>-0.04</v>
      </c>
      <c r="D24" s="6">
        <f t="shared" si="0"/>
        <v>10.661750999999999</v>
      </c>
      <c r="E24" s="6">
        <f t="shared" si="1"/>
        <v>9.6617509999999989</v>
      </c>
      <c r="F24" s="61">
        <f t="shared" si="2"/>
        <v>1.1200347370045471</v>
      </c>
      <c r="G24">
        <v>14</v>
      </c>
      <c r="H24">
        <f>H23+10</f>
        <v>127</v>
      </c>
      <c r="I24" s="7">
        <f t="shared" si="3"/>
        <v>1.1666666666666665E-2</v>
      </c>
      <c r="J24">
        <v>60</v>
      </c>
    </row>
    <row r="25" spans="1:10" x14ac:dyDescent="0.3">
      <c r="A25" s="6">
        <v>0.7</v>
      </c>
      <c r="B25">
        <v>9.82</v>
      </c>
      <c r="C25">
        <v>-0.04</v>
      </c>
      <c r="D25" s="6">
        <f t="shared" si="0"/>
        <v>10.730834</v>
      </c>
      <c r="E25" s="6">
        <f t="shared" si="1"/>
        <v>9.7308339999999998</v>
      </c>
      <c r="F25" s="61">
        <f t="shared" si="2"/>
        <v>1.112083171934535</v>
      </c>
      <c r="G25">
        <v>14.1</v>
      </c>
      <c r="H25">
        <f>H24+10</f>
        <v>137</v>
      </c>
      <c r="I25" s="7">
        <f t="shared" si="3"/>
        <v>1.1666666666666665E-2</v>
      </c>
      <c r="J25">
        <v>60</v>
      </c>
    </row>
    <row r="26" spans="1:10" x14ac:dyDescent="0.3">
      <c r="A26" s="6">
        <v>0.7</v>
      </c>
      <c r="B26">
        <v>9.83</v>
      </c>
      <c r="C26">
        <v>-0.04</v>
      </c>
      <c r="D26" s="6">
        <f t="shared" si="0"/>
        <v>10.740703</v>
      </c>
      <c r="E26" s="6">
        <f t="shared" si="1"/>
        <v>9.7407029999999999</v>
      </c>
      <c r="F26" s="61">
        <f t="shared" si="2"/>
        <v>1.1109564412638819</v>
      </c>
      <c r="G26">
        <v>14.15</v>
      </c>
      <c r="H26">
        <f>H25+5</f>
        <v>142</v>
      </c>
      <c r="I26" s="7">
        <f t="shared" si="3"/>
        <v>1.1666666666666665E-2</v>
      </c>
      <c r="J26">
        <v>60</v>
      </c>
    </row>
    <row r="27" spans="1:10" x14ac:dyDescent="0.3">
      <c r="A27" s="6">
        <v>0.7</v>
      </c>
      <c r="B27">
        <v>9.9600000000000009</v>
      </c>
      <c r="C27">
        <v>-0.04</v>
      </c>
      <c r="D27" s="6">
        <f t="shared" si="0"/>
        <v>10.869</v>
      </c>
      <c r="E27" s="6">
        <f t="shared" si="1"/>
        <v>9.8689999999999998</v>
      </c>
      <c r="F27" s="61">
        <f t="shared" si="2"/>
        <v>1.0965140075274515</v>
      </c>
      <c r="G27">
        <v>14.33</v>
      </c>
      <c r="H27">
        <f>H26+18</f>
        <v>160</v>
      </c>
      <c r="I27" s="7">
        <f t="shared" si="3"/>
        <v>1.1666666666666665E-2</v>
      </c>
      <c r="J27">
        <v>60</v>
      </c>
    </row>
    <row r="28" spans="1:10" x14ac:dyDescent="0.3">
      <c r="A28" s="6">
        <v>0.7</v>
      </c>
      <c r="B28">
        <v>10.050000000000001</v>
      </c>
      <c r="C28">
        <v>-0.04</v>
      </c>
      <c r="D28" s="6">
        <f t="shared" si="0"/>
        <v>10.957820999999999</v>
      </c>
      <c r="E28" s="6">
        <f t="shared" si="1"/>
        <v>9.9578209999999991</v>
      </c>
      <c r="F28" s="61">
        <f t="shared" si="2"/>
        <v>1.0867334068656607</v>
      </c>
      <c r="G28">
        <v>14.44</v>
      </c>
      <c r="H28">
        <f>H27+11</f>
        <v>171</v>
      </c>
      <c r="I28" s="7">
        <f t="shared" si="3"/>
        <v>1.1666666666666665E-2</v>
      </c>
      <c r="J28">
        <v>60</v>
      </c>
    </row>
    <row r="29" spans="1:10" x14ac:dyDescent="0.3">
      <c r="A29" s="6">
        <v>0.7</v>
      </c>
      <c r="B29">
        <v>10.08</v>
      </c>
      <c r="C29">
        <v>-0.04</v>
      </c>
      <c r="D29" s="6">
        <f t="shared" si="0"/>
        <v>10.987428</v>
      </c>
      <c r="E29" s="6">
        <f t="shared" si="1"/>
        <v>9.9874279999999995</v>
      </c>
      <c r="F29" s="61">
        <f t="shared" si="2"/>
        <v>1.0835118651457032</v>
      </c>
      <c r="G29">
        <v>14.57</v>
      </c>
      <c r="H29">
        <f>H28+13</f>
        <v>184</v>
      </c>
      <c r="I29" s="7">
        <f t="shared" si="3"/>
        <v>1.1666666666666665E-2</v>
      </c>
      <c r="J29">
        <v>60</v>
      </c>
    </row>
    <row r="30" spans="1:10" x14ac:dyDescent="0.3">
      <c r="A30" s="6">
        <v>0.6</v>
      </c>
      <c r="B30">
        <v>8.89</v>
      </c>
      <c r="C30">
        <v>-0.04</v>
      </c>
      <c r="D30" s="6">
        <f t="shared" si="0"/>
        <v>9.8130170000000003</v>
      </c>
      <c r="E30" s="6">
        <f t="shared" si="1"/>
        <v>8.8130170000000003</v>
      </c>
      <c r="F30" s="61">
        <f t="shared" si="2"/>
        <v>1.0524850496184144</v>
      </c>
      <c r="G30">
        <v>15.02</v>
      </c>
      <c r="H30">
        <f>H29+5</f>
        <v>189</v>
      </c>
      <c r="I30" s="7">
        <f t="shared" si="3"/>
        <v>0.01</v>
      </c>
      <c r="J30">
        <v>60</v>
      </c>
    </row>
    <row r="31" spans="1:10" x14ac:dyDescent="0.3">
      <c r="A31" s="6">
        <v>0.6</v>
      </c>
      <c r="B31">
        <v>8.9700000000000006</v>
      </c>
      <c r="C31">
        <v>-0.04</v>
      </c>
      <c r="D31" s="6">
        <f t="shared" si="0"/>
        <v>9.8919689999999996</v>
      </c>
      <c r="E31" s="6">
        <f t="shared" si="1"/>
        <v>8.8919689999999996</v>
      </c>
      <c r="F31" s="61">
        <f t="shared" si="2"/>
        <v>1.0431400103321247</v>
      </c>
      <c r="G31">
        <v>15.08</v>
      </c>
      <c r="H31">
        <f>H30+6</f>
        <v>195</v>
      </c>
      <c r="I31" s="7">
        <f t="shared" si="3"/>
        <v>0.01</v>
      </c>
      <c r="J31">
        <v>60</v>
      </c>
    </row>
    <row r="32" spans="1:10" x14ac:dyDescent="0.3">
      <c r="A32" s="6">
        <v>0.6</v>
      </c>
      <c r="B32">
        <v>9.07</v>
      </c>
      <c r="C32">
        <v>-0.04</v>
      </c>
      <c r="D32" s="6">
        <f t="shared" si="0"/>
        <v>9.9906589999999991</v>
      </c>
      <c r="E32" s="6">
        <f t="shared" si="1"/>
        <v>8.9906589999999991</v>
      </c>
      <c r="F32" s="61">
        <f t="shared" si="2"/>
        <v>1.0316895162560311</v>
      </c>
      <c r="G32">
        <v>15.15</v>
      </c>
      <c r="H32">
        <f>H31+7</f>
        <v>202</v>
      </c>
      <c r="I32" s="7">
        <f t="shared" si="3"/>
        <v>0.01</v>
      </c>
      <c r="J32">
        <v>60</v>
      </c>
    </row>
    <row r="33" spans="1:10" x14ac:dyDescent="0.3">
      <c r="A33" s="6">
        <v>0.6</v>
      </c>
      <c r="B33">
        <v>9.1199999999999992</v>
      </c>
      <c r="C33">
        <v>-0.04</v>
      </c>
      <c r="D33" s="6">
        <f t="shared" si="0"/>
        <v>10.040003999999998</v>
      </c>
      <c r="E33" s="6">
        <f t="shared" si="1"/>
        <v>9.0400039999999979</v>
      </c>
      <c r="F33" s="61">
        <f t="shared" si="2"/>
        <v>1.0260580232633671</v>
      </c>
      <c r="G33">
        <v>15.25</v>
      </c>
      <c r="H33">
        <f>H32+10</f>
        <v>212</v>
      </c>
      <c r="I33" s="7">
        <f t="shared" si="3"/>
        <v>0.01</v>
      </c>
      <c r="J33">
        <v>60</v>
      </c>
    </row>
    <row r="34" spans="1:10" x14ac:dyDescent="0.3">
      <c r="A34" s="6">
        <v>0.6</v>
      </c>
      <c r="B34">
        <v>9.19</v>
      </c>
      <c r="C34">
        <v>-0.04</v>
      </c>
      <c r="D34" s="6">
        <f t="shared" si="0"/>
        <v>10.109086999999999</v>
      </c>
      <c r="E34" s="6">
        <f t="shared" si="1"/>
        <v>9.1090869999999988</v>
      </c>
      <c r="F34" s="61">
        <f t="shared" si="2"/>
        <v>1.0182764347879136</v>
      </c>
      <c r="G34">
        <v>15.31</v>
      </c>
      <c r="H34">
        <f>H33+6</f>
        <v>218</v>
      </c>
      <c r="I34" s="7">
        <f t="shared" si="3"/>
        <v>0.01</v>
      </c>
      <c r="J34">
        <v>60</v>
      </c>
    </row>
    <row r="35" spans="1:10" x14ac:dyDescent="0.3">
      <c r="A35" s="6">
        <v>0.6</v>
      </c>
      <c r="B35">
        <v>9.2200000000000006</v>
      </c>
      <c r="C35">
        <v>-0.04</v>
      </c>
      <c r="D35" s="6">
        <f t="shared" si="0"/>
        <v>10.138693999999999</v>
      </c>
      <c r="E35" s="6">
        <f t="shared" si="1"/>
        <v>9.1386939999999992</v>
      </c>
      <c r="F35" s="61">
        <f t="shared" si="2"/>
        <v>1.0149774830553393</v>
      </c>
      <c r="G35">
        <v>15.36</v>
      </c>
      <c r="H35">
        <f>H34+5</f>
        <v>223</v>
      </c>
      <c r="I35" s="7">
        <f t="shared" si="3"/>
        <v>0.01</v>
      </c>
      <c r="J35">
        <v>60</v>
      </c>
    </row>
    <row r="36" spans="1:10" x14ac:dyDescent="0.3">
      <c r="A36" s="6">
        <v>0.6</v>
      </c>
      <c r="B36">
        <v>9.2799999999999994</v>
      </c>
      <c r="C36">
        <v>-0.04</v>
      </c>
      <c r="D36" s="6">
        <f t="shared" si="0"/>
        <v>10.197907999999998</v>
      </c>
      <c r="E36" s="6">
        <f t="shared" si="1"/>
        <v>9.1979079999999982</v>
      </c>
      <c r="F36" s="61">
        <f t="shared" si="2"/>
        <v>1.0084432932502623</v>
      </c>
      <c r="G36">
        <v>15.47</v>
      </c>
      <c r="H36">
        <f>H35+11</f>
        <v>234</v>
      </c>
      <c r="I36" s="7">
        <f t="shared" si="3"/>
        <v>0.01</v>
      </c>
      <c r="J36">
        <v>60</v>
      </c>
    </row>
    <row r="37" spans="1:10" x14ac:dyDescent="0.3">
      <c r="A37" s="6">
        <v>0.6</v>
      </c>
      <c r="B37">
        <v>9.31</v>
      </c>
      <c r="C37">
        <v>-0.04</v>
      </c>
      <c r="D37" s="6">
        <f t="shared" si="0"/>
        <v>10.227515</v>
      </c>
      <c r="E37" s="6">
        <f t="shared" si="1"/>
        <v>9.2275150000000004</v>
      </c>
      <c r="F37" s="61">
        <f t="shared" si="2"/>
        <v>1.0052076463200472</v>
      </c>
      <c r="G37">
        <v>15.56</v>
      </c>
      <c r="H37">
        <f>H36+9</f>
        <v>243</v>
      </c>
      <c r="I37" s="7">
        <f t="shared" si="3"/>
        <v>0.01</v>
      </c>
      <c r="J37">
        <v>60</v>
      </c>
    </row>
    <row r="38" spans="1:10" x14ac:dyDescent="0.3">
      <c r="A38" s="6">
        <v>0.6</v>
      </c>
      <c r="B38">
        <v>9.3699999999999992</v>
      </c>
      <c r="C38">
        <v>-0.04</v>
      </c>
      <c r="D38" s="6">
        <f t="shared" si="0"/>
        <v>10.286728999999998</v>
      </c>
      <c r="E38" s="6">
        <f t="shared" si="1"/>
        <v>9.2867289999999976</v>
      </c>
      <c r="F38" s="61">
        <f t="shared" ref="F38:F80" si="4">(1000*I38*1*4.7)/(PI()*(2.54^2)/4*E38)</f>
        <v>0.99879824581216192</v>
      </c>
      <c r="G38">
        <v>16.079999999999998</v>
      </c>
      <c r="H38">
        <f>H37+12</f>
        <v>255</v>
      </c>
      <c r="I38" s="7">
        <f t="shared" si="3"/>
        <v>0.01</v>
      </c>
      <c r="J38">
        <v>60</v>
      </c>
    </row>
    <row r="39" spans="1:10" x14ac:dyDescent="0.3">
      <c r="A39" s="6">
        <v>0.6</v>
      </c>
      <c r="B39">
        <v>9.42</v>
      </c>
      <c r="C39">
        <v>-0.04</v>
      </c>
      <c r="D39" s="6">
        <f t="shared" si="0"/>
        <v>10.336073999999998</v>
      </c>
      <c r="E39" s="6">
        <f t="shared" si="1"/>
        <v>9.3360739999999982</v>
      </c>
      <c r="F39" s="61">
        <f t="shared" si="4"/>
        <v>0.99351918531632588</v>
      </c>
      <c r="G39">
        <v>16.18</v>
      </c>
      <c r="H39">
        <f>H38+10</f>
        <v>265</v>
      </c>
      <c r="I39" s="7">
        <f t="shared" si="3"/>
        <v>0.01</v>
      </c>
      <c r="J39">
        <v>60</v>
      </c>
    </row>
    <row r="40" spans="1:10" x14ac:dyDescent="0.3">
      <c r="A40" s="6">
        <v>0.6</v>
      </c>
      <c r="B40">
        <v>9.4600000000000009</v>
      </c>
      <c r="C40">
        <v>-0.04</v>
      </c>
      <c r="D40" s="6">
        <f t="shared" si="0"/>
        <v>10.37555</v>
      </c>
      <c r="E40" s="6">
        <f t="shared" si="1"/>
        <v>9.3755500000000005</v>
      </c>
      <c r="F40" s="61">
        <f t="shared" si="4"/>
        <v>0.98933594664130964</v>
      </c>
      <c r="G40">
        <v>16.32</v>
      </c>
      <c r="H40">
        <f>H39+4</f>
        <v>269</v>
      </c>
      <c r="I40" s="7">
        <f t="shared" si="3"/>
        <v>0.01</v>
      </c>
      <c r="J40">
        <v>60</v>
      </c>
    </row>
    <row r="41" spans="1:10" x14ac:dyDescent="0.3">
      <c r="A41" s="6">
        <v>0.6</v>
      </c>
      <c r="B41">
        <v>9.5299999999999994</v>
      </c>
      <c r="C41">
        <v>-0.04</v>
      </c>
      <c r="D41" s="6">
        <f t="shared" si="0"/>
        <v>10.444632999999998</v>
      </c>
      <c r="E41" s="6">
        <f t="shared" si="1"/>
        <v>9.4446329999999978</v>
      </c>
      <c r="F41" s="61">
        <f t="shared" si="4"/>
        <v>0.98209942456556354</v>
      </c>
      <c r="G41">
        <v>16.41</v>
      </c>
      <c r="H41">
        <f>H40+9</f>
        <v>278</v>
      </c>
      <c r="I41" s="7">
        <f t="shared" si="3"/>
        <v>0.01</v>
      </c>
      <c r="J41">
        <v>60</v>
      </c>
    </row>
    <row r="42" spans="1:10" x14ac:dyDescent="0.3">
      <c r="A42" s="6">
        <v>0.6</v>
      </c>
      <c r="B42">
        <v>9.5399999999999991</v>
      </c>
      <c r="C42">
        <v>-0.04</v>
      </c>
      <c r="D42" s="6">
        <f t="shared" si="0"/>
        <v>10.454501999999998</v>
      </c>
      <c r="E42" s="6">
        <f t="shared" si="1"/>
        <v>9.454501999999998</v>
      </c>
      <c r="F42" s="61">
        <f t="shared" si="4"/>
        <v>0.98107426859002533</v>
      </c>
      <c r="G42">
        <v>16.489999999999998</v>
      </c>
      <c r="H42">
        <f>H41+8</f>
        <v>286</v>
      </c>
      <c r="I42" s="7">
        <f t="shared" si="3"/>
        <v>0.01</v>
      </c>
      <c r="J42">
        <v>60</v>
      </c>
    </row>
    <row r="43" spans="1:10" x14ac:dyDescent="0.3">
      <c r="A43" s="6">
        <v>0.6</v>
      </c>
      <c r="B43">
        <v>9.58</v>
      </c>
      <c r="C43">
        <v>-0.04</v>
      </c>
      <c r="D43" s="6">
        <f t="shared" si="0"/>
        <v>10.493977999999998</v>
      </c>
      <c r="E43" s="6">
        <f t="shared" si="1"/>
        <v>9.4939779999999985</v>
      </c>
      <c r="F43" s="61">
        <f t="shared" si="4"/>
        <v>0.97699495770191713</v>
      </c>
      <c r="G43">
        <v>16.55</v>
      </c>
      <c r="H43">
        <f>H42+6</f>
        <v>292</v>
      </c>
      <c r="I43" s="7">
        <f t="shared" si="3"/>
        <v>0.01</v>
      </c>
      <c r="J43">
        <v>60</v>
      </c>
    </row>
    <row r="44" spans="1:10" x14ac:dyDescent="0.3">
      <c r="A44" s="6">
        <v>0.6</v>
      </c>
      <c r="B44">
        <v>9.6</v>
      </c>
      <c r="C44">
        <v>-0.04</v>
      </c>
      <c r="D44" s="6">
        <f t="shared" si="0"/>
        <v>10.513715999999999</v>
      </c>
      <c r="E44" s="6">
        <f t="shared" si="1"/>
        <v>9.5137159999999987</v>
      </c>
      <c r="F44" s="61">
        <f t="shared" si="4"/>
        <v>0.97496799720875971</v>
      </c>
      <c r="G44">
        <v>17.010000000000002</v>
      </c>
      <c r="H44">
        <f>H43+6</f>
        <v>298</v>
      </c>
      <c r="I44" s="7">
        <f t="shared" si="3"/>
        <v>0.01</v>
      </c>
      <c r="J44">
        <v>60</v>
      </c>
    </row>
    <row r="45" spans="1:10" x14ac:dyDescent="0.3">
      <c r="A45" s="6">
        <v>0.6</v>
      </c>
      <c r="B45">
        <v>9.64</v>
      </c>
      <c r="C45">
        <v>-0.04</v>
      </c>
      <c r="D45" s="6">
        <f t="shared" si="0"/>
        <v>10.553191999999999</v>
      </c>
      <c r="E45" s="6">
        <f t="shared" si="1"/>
        <v>9.5531919999999992</v>
      </c>
      <c r="F45" s="61">
        <f t="shared" si="4"/>
        <v>0.97093920383186383</v>
      </c>
      <c r="G45">
        <v>17.14</v>
      </c>
      <c r="H45">
        <f>H44+13</f>
        <v>311</v>
      </c>
      <c r="I45" s="7">
        <f t="shared" si="3"/>
        <v>0.01</v>
      </c>
      <c r="J45">
        <v>60</v>
      </c>
    </row>
    <row r="46" spans="1:10" x14ac:dyDescent="0.3">
      <c r="A46" s="6">
        <v>0.6</v>
      </c>
      <c r="B46">
        <v>9.67</v>
      </c>
      <c r="C46">
        <v>-0.04</v>
      </c>
      <c r="D46" s="6">
        <f t="shared" si="0"/>
        <v>10.582799</v>
      </c>
      <c r="E46" s="6">
        <f t="shared" si="1"/>
        <v>9.5827989999999996</v>
      </c>
      <c r="F46" s="61">
        <f t="shared" si="4"/>
        <v>0.96793939166760468</v>
      </c>
      <c r="G46">
        <v>17.2</v>
      </c>
      <c r="H46">
        <f>H45+6</f>
        <v>317</v>
      </c>
      <c r="I46" s="7">
        <f t="shared" si="3"/>
        <v>0.01</v>
      </c>
      <c r="J46">
        <v>60</v>
      </c>
    </row>
    <row r="47" spans="1:10" x14ac:dyDescent="0.3">
      <c r="A47" s="6">
        <v>0.6</v>
      </c>
      <c r="B47">
        <v>9.6300000000000008</v>
      </c>
      <c r="C47">
        <v>-0.04</v>
      </c>
      <c r="D47" s="6">
        <f t="shared" si="0"/>
        <v>10.543322999999999</v>
      </c>
      <c r="E47" s="6">
        <f t="shared" si="1"/>
        <v>9.5433229999999991</v>
      </c>
      <c r="F47" s="61">
        <f t="shared" si="4"/>
        <v>0.97194327746560927</v>
      </c>
      <c r="G47">
        <v>17.25</v>
      </c>
      <c r="H47">
        <f>H46+5</f>
        <v>322</v>
      </c>
      <c r="I47" s="7">
        <f t="shared" si="3"/>
        <v>0.01</v>
      </c>
      <c r="J47">
        <v>60</v>
      </c>
    </row>
    <row r="48" spans="1:10" x14ac:dyDescent="0.3">
      <c r="A48" s="6">
        <v>0.6</v>
      </c>
      <c r="B48">
        <v>9.69</v>
      </c>
      <c r="C48">
        <v>-0.04</v>
      </c>
      <c r="D48" s="6">
        <f t="shared" si="0"/>
        <v>10.602536999999998</v>
      </c>
      <c r="E48" s="6">
        <f t="shared" si="1"/>
        <v>9.6025369999999981</v>
      </c>
      <c r="F48" s="61">
        <f t="shared" si="4"/>
        <v>0.9659497937402306</v>
      </c>
      <c r="G48">
        <v>17.3</v>
      </c>
      <c r="H48">
        <f>H47+5</f>
        <v>327</v>
      </c>
      <c r="I48" s="7">
        <f t="shared" si="3"/>
        <v>0.01</v>
      </c>
      <c r="J48">
        <v>60</v>
      </c>
    </row>
    <row r="49" spans="1:10" x14ac:dyDescent="0.3">
      <c r="A49" s="35">
        <v>5</v>
      </c>
      <c r="B49" s="56">
        <v>70.5</v>
      </c>
      <c r="C49" s="2">
        <v>-3.5</v>
      </c>
      <c r="D49" s="36">
        <f t="shared" si="0"/>
        <v>74.030600000000007</v>
      </c>
      <c r="E49" s="56">
        <f t="shared" si="1"/>
        <v>73.030600000000007</v>
      </c>
      <c r="F49" s="35">
        <f t="shared" si="4"/>
        <v>1.0584112041770766</v>
      </c>
      <c r="G49" s="2">
        <v>14</v>
      </c>
      <c r="H49" s="2">
        <v>0</v>
      </c>
      <c r="I49" s="32">
        <f t="shared" si="3"/>
        <v>8.3333333333333329E-2</v>
      </c>
      <c r="J49" s="2" t="s">
        <v>124</v>
      </c>
    </row>
    <row r="50" spans="1:10" x14ac:dyDescent="0.3">
      <c r="A50" s="35">
        <v>5</v>
      </c>
      <c r="B50" s="36">
        <v>71</v>
      </c>
      <c r="C50" s="2">
        <v>-3.5</v>
      </c>
      <c r="D50" s="36">
        <f t="shared" si="0"/>
        <v>74.524050000000003</v>
      </c>
      <c r="E50" s="36">
        <f t="shared" si="1"/>
        <v>73.524050000000003</v>
      </c>
      <c r="F50" s="28">
        <f t="shared" si="4"/>
        <v>1.0513077732765594</v>
      </c>
      <c r="G50">
        <v>14.05</v>
      </c>
      <c r="H50">
        <v>5</v>
      </c>
      <c r="I50" s="32">
        <f t="shared" si="3"/>
        <v>8.3333333333333329E-2</v>
      </c>
      <c r="J50" s="2">
        <v>150</v>
      </c>
    </row>
    <row r="51" spans="1:10" x14ac:dyDescent="0.3">
      <c r="A51" s="35">
        <v>5</v>
      </c>
      <c r="B51" s="36">
        <v>72.5</v>
      </c>
      <c r="C51" s="2">
        <v>-3.5</v>
      </c>
      <c r="D51" s="36">
        <f t="shared" si="0"/>
        <v>76.004400000000004</v>
      </c>
      <c r="E51" s="36">
        <f t="shared" si="1"/>
        <v>75.004400000000004</v>
      </c>
      <c r="F51" s="28">
        <f t="shared" si="4"/>
        <v>1.0305582777513642</v>
      </c>
      <c r="G51">
        <v>14.1</v>
      </c>
      <c r="H51">
        <v>10</v>
      </c>
      <c r="I51" s="32">
        <f t="shared" si="3"/>
        <v>8.3333333333333329E-2</v>
      </c>
      <c r="J51" s="2">
        <v>150</v>
      </c>
    </row>
    <row r="52" spans="1:10" x14ac:dyDescent="0.3">
      <c r="A52" s="35">
        <v>5</v>
      </c>
      <c r="B52" s="36">
        <v>74</v>
      </c>
      <c r="C52" s="2">
        <v>-3.5</v>
      </c>
      <c r="D52" s="36">
        <f t="shared" si="0"/>
        <v>77.484750000000005</v>
      </c>
      <c r="E52" s="36">
        <f t="shared" si="1"/>
        <v>76.484750000000005</v>
      </c>
      <c r="F52" s="28">
        <f t="shared" si="4"/>
        <v>1.0106119885045635</v>
      </c>
      <c r="G52">
        <v>14.15</v>
      </c>
      <c r="H52">
        <v>15</v>
      </c>
      <c r="I52" s="32">
        <f t="shared" si="3"/>
        <v>8.3333333333333329E-2</v>
      </c>
      <c r="J52" s="2">
        <v>150</v>
      </c>
    </row>
    <row r="53" spans="1:10" x14ac:dyDescent="0.3">
      <c r="A53" s="35">
        <v>5</v>
      </c>
      <c r="B53" s="36">
        <v>74.5</v>
      </c>
      <c r="C53" s="2">
        <v>-3.5</v>
      </c>
      <c r="D53" s="36">
        <f t="shared" si="0"/>
        <v>77.978200000000001</v>
      </c>
      <c r="E53" s="36">
        <f t="shared" si="1"/>
        <v>76.978200000000001</v>
      </c>
      <c r="F53" s="28">
        <f t="shared" si="4"/>
        <v>1.0041337065269702</v>
      </c>
      <c r="G53">
        <v>14.2</v>
      </c>
      <c r="H53">
        <v>20</v>
      </c>
      <c r="I53" s="32">
        <f t="shared" si="3"/>
        <v>8.3333333333333329E-2</v>
      </c>
      <c r="J53" s="2">
        <v>150</v>
      </c>
    </row>
    <row r="54" spans="1:10" x14ac:dyDescent="0.3">
      <c r="A54" s="35">
        <v>5</v>
      </c>
      <c r="B54" s="36">
        <v>75.5</v>
      </c>
      <c r="C54" s="2">
        <v>-3.5</v>
      </c>
      <c r="D54" s="36">
        <f t="shared" si="0"/>
        <v>78.965100000000007</v>
      </c>
      <c r="E54" s="36">
        <f t="shared" si="1"/>
        <v>77.965100000000007</v>
      </c>
      <c r="F54" s="61">
        <f t="shared" si="4"/>
        <v>0.99142315327979336</v>
      </c>
      <c r="G54">
        <v>14.25</v>
      </c>
      <c r="H54">
        <v>25</v>
      </c>
      <c r="I54" s="32">
        <f t="shared" si="3"/>
        <v>8.3333333333333329E-2</v>
      </c>
      <c r="J54" s="2">
        <v>150</v>
      </c>
    </row>
    <row r="55" spans="1:10" x14ac:dyDescent="0.3">
      <c r="A55" s="35">
        <v>5</v>
      </c>
      <c r="B55" s="36">
        <v>76</v>
      </c>
      <c r="C55" s="2">
        <v>-3.5</v>
      </c>
      <c r="D55" s="36">
        <f t="shared" si="0"/>
        <v>79.458550000000002</v>
      </c>
      <c r="E55" s="36">
        <f t="shared" si="1"/>
        <v>78.458550000000002</v>
      </c>
      <c r="F55" s="61">
        <f t="shared" si="4"/>
        <v>0.98518778753589531</v>
      </c>
      <c r="G55">
        <v>14.35</v>
      </c>
      <c r="H55">
        <v>35</v>
      </c>
      <c r="I55" s="32">
        <f t="shared" si="3"/>
        <v>8.3333333333333329E-2</v>
      </c>
      <c r="J55" s="2">
        <v>150</v>
      </c>
    </row>
    <row r="56" spans="1:10" x14ac:dyDescent="0.3">
      <c r="A56" s="35">
        <v>5</v>
      </c>
      <c r="B56" s="36">
        <v>77</v>
      </c>
      <c r="C56" s="2">
        <v>-3.5</v>
      </c>
      <c r="D56" s="36">
        <f t="shared" si="0"/>
        <v>80.445449999999994</v>
      </c>
      <c r="E56" s="36">
        <f t="shared" si="1"/>
        <v>79.445449999999994</v>
      </c>
      <c r="F56" s="61">
        <f t="shared" si="4"/>
        <v>0.97294942992675382</v>
      </c>
      <c r="G56">
        <v>14.4</v>
      </c>
      <c r="H56">
        <v>40</v>
      </c>
      <c r="I56" s="32">
        <f t="shared" si="3"/>
        <v>8.3333333333333329E-2</v>
      </c>
      <c r="J56" s="2">
        <v>150</v>
      </c>
    </row>
    <row r="57" spans="1:10" x14ac:dyDescent="0.3">
      <c r="A57" s="35">
        <v>5</v>
      </c>
      <c r="B57" s="36">
        <v>78</v>
      </c>
      <c r="C57" s="2">
        <v>-3.5</v>
      </c>
      <c r="D57" s="36">
        <f t="shared" si="0"/>
        <v>81.43235</v>
      </c>
      <c r="E57" s="36">
        <f t="shared" si="1"/>
        <v>80.43235</v>
      </c>
      <c r="F57" s="61">
        <f t="shared" si="4"/>
        <v>0.96101140011170161</v>
      </c>
      <c r="G57">
        <v>14.45</v>
      </c>
      <c r="H57">
        <v>45</v>
      </c>
      <c r="I57" s="32">
        <f t="shared" si="3"/>
        <v>8.3333333333333329E-2</v>
      </c>
      <c r="J57" s="2">
        <v>150</v>
      </c>
    </row>
    <row r="58" spans="1:10" x14ac:dyDescent="0.3">
      <c r="A58" s="35">
        <v>5</v>
      </c>
      <c r="B58" s="36">
        <v>79</v>
      </c>
      <c r="C58" s="2">
        <v>-3.5</v>
      </c>
      <c r="D58" s="36">
        <f t="shared" si="0"/>
        <v>82.419250000000005</v>
      </c>
      <c r="E58" s="36">
        <f t="shared" si="1"/>
        <v>81.419250000000005</v>
      </c>
      <c r="F58" s="61">
        <f t="shared" si="4"/>
        <v>0.94936277708004457</v>
      </c>
      <c r="G58">
        <v>14.5</v>
      </c>
      <c r="H58">
        <v>50</v>
      </c>
      <c r="I58" s="32">
        <f t="shared" si="3"/>
        <v>8.3333333333333329E-2</v>
      </c>
      <c r="J58" s="2">
        <v>150</v>
      </c>
    </row>
    <row r="59" spans="1:10" x14ac:dyDescent="0.3">
      <c r="A59" s="35">
        <v>5</v>
      </c>
      <c r="B59" s="36">
        <v>79</v>
      </c>
      <c r="C59" s="2">
        <v>-3.5</v>
      </c>
      <c r="D59" s="36">
        <f t="shared" si="0"/>
        <v>82.419250000000005</v>
      </c>
      <c r="E59" s="36">
        <f t="shared" si="1"/>
        <v>81.419250000000005</v>
      </c>
      <c r="F59" s="61">
        <f t="shared" si="4"/>
        <v>0.94936277708004457</v>
      </c>
      <c r="G59">
        <v>14.55</v>
      </c>
      <c r="H59">
        <v>55</v>
      </c>
      <c r="I59" s="32">
        <f t="shared" si="3"/>
        <v>8.3333333333333329E-2</v>
      </c>
      <c r="J59" s="2">
        <v>150</v>
      </c>
    </row>
    <row r="60" spans="1:10" x14ac:dyDescent="0.3">
      <c r="A60" s="35">
        <v>5</v>
      </c>
      <c r="B60" s="36">
        <v>80</v>
      </c>
      <c r="C60" s="2">
        <v>-3.5</v>
      </c>
      <c r="D60" s="36">
        <f t="shared" si="0"/>
        <v>83.406149999999997</v>
      </c>
      <c r="E60" s="36">
        <f t="shared" si="1"/>
        <v>82.406149999999997</v>
      </c>
      <c r="F60" s="61">
        <f t="shared" si="4"/>
        <v>0.93799316298327762</v>
      </c>
      <c r="G60">
        <v>15.05</v>
      </c>
      <c r="H60">
        <v>65</v>
      </c>
      <c r="I60" s="32">
        <f t="shared" si="3"/>
        <v>8.3333333333333329E-2</v>
      </c>
      <c r="J60" s="2">
        <v>150</v>
      </c>
    </row>
    <row r="61" spans="1:10" x14ac:dyDescent="0.3">
      <c r="A61" s="35">
        <v>5</v>
      </c>
      <c r="B61" s="36">
        <v>81</v>
      </c>
      <c r="C61" s="2">
        <v>-3.5</v>
      </c>
      <c r="D61" s="36">
        <f t="shared" si="0"/>
        <v>84.393050000000002</v>
      </c>
      <c r="E61" s="36">
        <f t="shared" si="1"/>
        <v>83.393050000000002</v>
      </c>
      <c r="F61" s="61">
        <f t="shared" si="4"/>
        <v>0.92689265217874173</v>
      </c>
      <c r="G61">
        <v>15.1</v>
      </c>
      <c r="H61">
        <v>70</v>
      </c>
      <c r="I61" s="32">
        <f t="shared" si="3"/>
        <v>8.3333333333333329E-2</v>
      </c>
      <c r="J61" s="2">
        <v>150</v>
      </c>
    </row>
    <row r="62" spans="1:10" x14ac:dyDescent="0.3">
      <c r="A62" s="35">
        <v>5</v>
      </c>
      <c r="B62" s="36">
        <v>81.5</v>
      </c>
      <c r="C62" s="2">
        <v>-3.5</v>
      </c>
      <c r="D62" s="36">
        <f t="shared" si="0"/>
        <v>84.886499999999998</v>
      </c>
      <c r="E62" s="36">
        <f t="shared" si="1"/>
        <v>83.886499999999998</v>
      </c>
      <c r="F62" s="61">
        <f t="shared" si="4"/>
        <v>0.92144034246004336</v>
      </c>
      <c r="G62">
        <v>15.15</v>
      </c>
      <c r="H62">
        <v>75</v>
      </c>
      <c r="I62" s="32">
        <f t="shared" si="3"/>
        <v>8.3333333333333329E-2</v>
      </c>
      <c r="J62" s="2">
        <v>150</v>
      </c>
    </row>
    <row r="63" spans="1:10" x14ac:dyDescent="0.3">
      <c r="A63" s="35">
        <v>5</v>
      </c>
      <c r="B63" s="36">
        <v>82</v>
      </c>
      <c r="C63" s="2">
        <v>-3.5</v>
      </c>
      <c r="D63" s="36">
        <f t="shared" si="0"/>
        <v>85.379949999999994</v>
      </c>
      <c r="E63" s="36">
        <f t="shared" si="1"/>
        <v>84.379949999999994</v>
      </c>
      <c r="F63" s="61">
        <f t="shared" si="4"/>
        <v>0.9160518024456572</v>
      </c>
      <c r="G63">
        <v>15.2</v>
      </c>
      <c r="H63">
        <v>80</v>
      </c>
      <c r="I63" s="32">
        <f t="shared" si="3"/>
        <v>8.3333333333333329E-2</v>
      </c>
      <c r="J63" s="2">
        <v>150</v>
      </c>
    </row>
    <row r="64" spans="1:10" x14ac:dyDescent="0.3">
      <c r="A64" s="35">
        <v>5</v>
      </c>
      <c r="B64" s="36">
        <v>82</v>
      </c>
      <c r="C64" s="2">
        <v>-3.5</v>
      </c>
      <c r="D64" s="36">
        <f t="shared" si="0"/>
        <v>85.379949999999994</v>
      </c>
      <c r="E64" s="36">
        <f t="shared" si="1"/>
        <v>84.379949999999994</v>
      </c>
      <c r="F64" s="61">
        <f t="shared" si="4"/>
        <v>0.9160518024456572</v>
      </c>
      <c r="G64">
        <v>15.25</v>
      </c>
      <c r="H64">
        <v>85</v>
      </c>
      <c r="I64" s="32">
        <f t="shared" si="3"/>
        <v>8.3333333333333329E-2</v>
      </c>
      <c r="J64" s="2">
        <v>150</v>
      </c>
    </row>
    <row r="65" spans="1:10" x14ac:dyDescent="0.3">
      <c r="A65" s="35">
        <v>5</v>
      </c>
      <c r="B65" s="36">
        <v>82.5</v>
      </c>
      <c r="C65" s="2">
        <v>-3.5</v>
      </c>
      <c r="D65" s="36">
        <f t="shared" si="0"/>
        <v>85.873400000000004</v>
      </c>
      <c r="E65" s="36">
        <f t="shared" si="1"/>
        <v>84.873400000000004</v>
      </c>
      <c r="F65" s="61">
        <f t="shared" si="4"/>
        <v>0.91072591987329865</v>
      </c>
      <c r="G65">
        <v>15.3</v>
      </c>
      <c r="H65">
        <v>90</v>
      </c>
      <c r="I65" s="32">
        <f t="shared" si="3"/>
        <v>8.3333333333333329E-2</v>
      </c>
      <c r="J65" s="2">
        <v>150</v>
      </c>
    </row>
    <row r="66" spans="1:10" x14ac:dyDescent="0.3">
      <c r="A66" s="35">
        <v>5</v>
      </c>
      <c r="B66" s="36">
        <v>84</v>
      </c>
      <c r="C66" s="2">
        <v>-3.5</v>
      </c>
      <c r="D66" s="36">
        <f t="shared" si="0"/>
        <v>87.353750000000005</v>
      </c>
      <c r="E66" s="36">
        <f t="shared" si="1"/>
        <v>86.353750000000005</v>
      </c>
      <c r="F66" s="61">
        <f t="shared" si="4"/>
        <v>0.89511347553261345</v>
      </c>
      <c r="G66">
        <v>15.4</v>
      </c>
      <c r="H66">
        <v>100</v>
      </c>
      <c r="I66" s="32">
        <f t="shared" si="3"/>
        <v>8.3333333333333329E-2</v>
      </c>
      <c r="J66" s="2">
        <v>150</v>
      </c>
    </row>
    <row r="67" spans="1:10" x14ac:dyDescent="0.3">
      <c r="A67" s="35">
        <v>5</v>
      </c>
      <c r="B67" s="36">
        <v>84</v>
      </c>
      <c r="C67" s="2">
        <v>-3.5</v>
      </c>
      <c r="D67" s="36">
        <f t="shared" si="0"/>
        <v>87.353750000000005</v>
      </c>
      <c r="E67" s="36">
        <f t="shared" si="1"/>
        <v>86.353750000000005</v>
      </c>
      <c r="F67" s="61">
        <f t="shared" si="4"/>
        <v>0.89511347553261345</v>
      </c>
      <c r="G67">
        <v>15.45</v>
      </c>
      <c r="H67">
        <v>105</v>
      </c>
      <c r="I67" s="32">
        <f t="shared" si="3"/>
        <v>8.3333333333333329E-2</v>
      </c>
      <c r="J67" s="2">
        <v>150</v>
      </c>
    </row>
    <row r="68" spans="1:10" x14ac:dyDescent="0.3">
      <c r="A68" s="35">
        <v>5</v>
      </c>
      <c r="B68" s="36">
        <v>85</v>
      </c>
      <c r="C68" s="2">
        <v>-3.5</v>
      </c>
      <c r="D68" s="36">
        <f t="shared" ref="D68:D80" si="5">$O$4*(B68-C68)+1</f>
        <v>88.340649999999997</v>
      </c>
      <c r="E68" s="36">
        <f t="shared" si="1"/>
        <v>87.340649999999997</v>
      </c>
      <c r="F68" s="61">
        <f t="shared" si="4"/>
        <v>0.88499919897292301</v>
      </c>
      <c r="G68">
        <v>15.5</v>
      </c>
      <c r="H68">
        <v>110</v>
      </c>
      <c r="I68" s="32">
        <f t="shared" ref="I68:I80" si="6">A68/60</f>
        <v>8.3333333333333329E-2</v>
      </c>
      <c r="J68" s="2">
        <v>150</v>
      </c>
    </row>
    <row r="69" spans="1:10" x14ac:dyDescent="0.3">
      <c r="A69" s="35">
        <v>5</v>
      </c>
      <c r="B69" s="36">
        <v>87</v>
      </c>
      <c r="C69" s="2">
        <v>-3.5</v>
      </c>
      <c r="D69" s="36">
        <f t="shared" si="5"/>
        <v>90.314449999999994</v>
      </c>
      <c r="E69" s="36">
        <f t="shared" si="1"/>
        <v>89.314449999999994</v>
      </c>
      <c r="F69" s="61">
        <f t="shared" si="4"/>
        <v>0.86544120562545512</v>
      </c>
      <c r="G69">
        <v>15.55</v>
      </c>
      <c r="H69">
        <v>115</v>
      </c>
      <c r="I69" s="32">
        <f t="shared" si="6"/>
        <v>8.3333333333333329E-2</v>
      </c>
      <c r="J69" s="2">
        <v>150</v>
      </c>
    </row>
    <row r="70" spans="1:10" x14ac:dyDescent="0.3">
      <c r="A70" s="35">
        <v>5</v>
      </c>
      <c r="B70" s="36">
        <v>85.5</v>
      </c>
      <c r="C70" s="2">
        <v>-3.5</v>
      </c>
      <c r="D70" s="36">
        <f t="shared" si="5"/>
        <v>88.834100000000007</v>
      </c>
      <c r="E70" s="36">
        <f t="shared" si="1"/>
        <v>87.834100000000007</v>
      </c>
      <c r="F70" s="61">
        <f t="shared" si="4"/>
        <v>0.8800272933607155</v>
      </c>
      <c r="G70">
        <v>16</v>
      </c>
      <c r="H70">
        <v>120</v>
      </c>
      <c r="I70" s="32">
        <f t="shared" si="6"/>
        <v>8.3333333333333329E-2</v>
      </c>
      <c r="J70" s="2">
        <v>150</v>
      </c>
    </row>
    <row r="71" spans="1:10" x14ac:dyDescent="0.3">
      <c r="A71" s="35">
        <v>5</v>
      </c>
      <c r="B71" s="36">
        <v>87</v>
      </c>
      <c r="C71" s="2">
        <v>-3.5</v>
      </c>
      <c r="D71" s="36">
        <f t="shared" si="5"/>
        <v>90.314449999999994</v>
      </c>
      <c r="E71" s="36">
        <f t="shared" si="1"/>
        <v>89.314449999999994</v>
      </c>
      <c r="F71" s="61">
        <f t="shared" si="4"/>
        <v>0.86544120562545512</v>
      </c>
      <c r="G71">
        <v>16.05</v>
      </c>
      <c r="H71">
        <v>125</v>
      </c>
      <c r="I71" s="32">
        <f t="shared" si="6"/>
        <v>8.3333333333333329E-2</v>
      </c>
      <c r="J71" s="2">
        <v>150</v>
      </c>
    </row>
    <row r="72" spans="1:10" x14ac:dyDescent="0.3">
      <c r="A72" s="35">
        <v>5</v>
      </c>
      <c r="B72" s="36">
        <v>86</v>
      </c>
      <c r="C72" s="2">
        <v>-3.5</v>
      </c>
      <c r="D72" s="36">
        <f t="shared" si="5"/>
        <v>89.327550000000002</v>
      </c>
      <c r="E72" s="36">
        <f t="shared" si="1"/>
        <v>88.327550000000002</v>
      </c>
      <c r="F72" s="61">
        <f t="shared" si="4"/>
        <v>0.87511093976652155</v>
      </c>
      <c r="G72">
        <v>16.100000000000001</v>
      </c>
      <c r="H72">
        <v>130</v>
      </c>
      <c r="I72" s="32">
        <f t="shared" si="6"/>
        <v>8.3333333333333329E-2</v>
      </c>
      <c r="J72" s="2">
        <v>150</v>
      </c>
    </row>
    <row r="73" spans="1:10" x14ac:dyDescent="0.3">
      <c r="A73" s="35">
        <v>5</v>
      </c>
      <c r="B73" s="36">
        <v>87</v>
      </c>
      <c r="C73" s="2">
        <v>-3.5</v>
      </c>
      <c r="D73" s="36">
        <f t="shared" si="5"/>
        <v>90.314449999999994</v>
      </c>
      <c r="E73" s="36">
        <f t="shared" si="1"/>
        <v>89.314449999999994</v>
      </c>
      <c r="F73" s="61">
        <f t="shared" si="4"/>
        <v>0.86544120562545512</v>
      </c>
      <c r="G73">
        <v>16.149999999999999</v>
      </c>
      <c r="H73">
        <v>135</v>
      </c>
      <c r="I73" s="32">
        <f t="shared" si="6"/>
        <v>8.3333333333333329E-2</v>
      </c>
      <c r="J73" s="2">
        <v>150</v>
      </c>
    </row>
    <row r="74" spans="1:10" x14ac:dyDescent="0.3">
      <c r="A74" s="35">
        <v>5</v>
      </c>
      <c r="B74" s="36">
        <v>85.5</v>
      </c>
      <c r="C74" s="2">
        <v>-3.5</v>
      </c>
      <c r="D74" s="36">
        <f t="shared" si="5"/>
        <v>88.834100000000007</v>
      </c>
      <c r="E74" s="36">
        <f t="shared" si="1"/>
        <v>87.834100000000007</v>
      </c>
      <c r="F74" s="61">
        <f t="shared" si="4"/>
        <v>0.8800272933607155</v>
      </c>
      <c r="G74">
        <v>16.2</v>
      </c>
      <c r="H74">
        <v>140</v>
      </c>
      <c r="I74" s="32">
        <f t="shared" si="6"/>
        <v>8.3333333333333329E-2</v>
      </c>
      <c r="J74" s="2">
        <v>150</v>
      </c>
    </row>
    <row r="75" spans="1:10" x14ac:dyDescent="0.3">
      <c r="A75" s="35">
        <v>5</v>
      </c>
      <c r="B75" s="36">
        <v>87</v>
      </c>
      <c r="C75" s="2">
        <v>-3.5</v>
      </c>
      <c r="D75" s="36">
        <f t="shared" si="5"/>
        <v>90.314449999999994</v>
      </c>
      <c r="E75" s="36">
        <f t="shared" si="1"/>
        <v>89.314449999999994</v>
      </c>
      <c r="F75" s="61">
        <f t="shared" si="4"/>
        <v>0.86544120562545512</v>
      </c>
      <c r="G75">
        <v>16.3</v>
      </c>
      <c r="H75">
        <v>145</v>
      </c>
      <c r="I75" s="32">
        <f t="shared" si="6"/>
        <v>8.3333333333333329E-2</v>
      </c>
      <c r="J75" s="2">
        <v>150</v>
      </c>
    </row>
    <row r="76" spans="1:10" x14ac:dyDescent="0.3">
      <c r="A76" s="35">
        <v>5</v>
      </c>
      <c r="B76" s="36">
        <v>87</v>
      </c>
      <c r="C76" s="2">
        <v>-3.5</v>
      </c>
      <c r="D76" s="36">
        <f t="shared" si="5"/>
        <v>90.314449999999994</v>
      </c>
      <c r="E76" s="36">
        <f t="shared" si="1"/>
        <v>89.314449999999994</v>
      </c>
      <c r="F76" s="61">
        <f t="shared" si="4"/>
        <v>0.86544120562545512</v>
      </c>
      <c r="G76">
        <v>16.350000000000001</v>
      </c>
      <c r="H76">
        <v>150</v>
      </c>
      <c r="I76" s="32">
        <f t="shared" si="6"/>
        <v>8.3333333333333329E-2</v>
      </c>
      <c r="J76" s="2">
        <v>150</v>
      </c>
    </row>
    <row r="77" spans="1:10" x14ac:dyDescent="0.3">
      <c r="A77" s="35">
        <v>5</v>
      </c>
      <c r="B77" s="36">
        <v>87</v>
      </c>
      <c r="C77" s="2">
        <v>-3.5</v>
      </c>
      <c r="D77" s="36">
        <f t="shared" si="5"/>
        <v>90.314449999999994</v>
      </c>
      <c r="E77" s="36">
        <f t="shared" si="1"/>
        <v>89.314449999999994</v>
      </c>
      <c r="F77" s="61">
        <f t="shared" si="4"/>
        <v>0.86544120562545512</v>
      </c>
      <c r="G77">
        <v>16.399999999999999</v>
      </c>
      <c r="H77">
        <v>155</v>
      </c>
      <c r="I77" s="32">
        <f t="shared" si="6"/>
        <v>8.3333333333333329E-2</v>
      </c>
      <c r="J77" s="2">
        <v>150</v>
      </c>
    </row>
    <row r="78" spans="1:10" x14ac:dyDescent="0.3">
      <c r="A78" s="35">
        <v>5</v>
      </c>
      <c r="B78" s="36">
        <v>87</v>
      </c>
      <c r="C78" s="2">
        <v>-3.5</v>
      </c>
      <c r="D78" s="36">
        <f t="shared" si="5"/>
        <v>90.314449999999994</v>
      </c>
      <c r="E78" s="36">
        <f t="shared" si="1"/>
        <v>89.314449999999994</v>
      </c>
      <c r="F78" s="61">
        <f t="shared" si="4"/>
        <v>0.86544120562545512</v>
      </c>
      <c r="G78">
        <v>16.45</v>
      </c>
      <c r="H78">
        <v>160</v>
      </c>
      <c r="I78" s="32">
        <f t="shared" si="6"/>
        <v>8.3333333333333329E-2</v>
      </c>
      <c r="J78" s="2">
        <v>150</v>
      </c>
    </row>
    <row r="79" spans="1:10" x14ac:dyDescent="0.3">
      <c r="A79" s="35">
        <v>5</v>
      </c>
      <c r="B79" s="36">
        <v>87</v>
      </c>
      <c r="C79" s="2">
        <v>-3.5</v>
      </c>
      <c r="D79" s="36">
        <f t="shared" si="5"/>
        <v>90.314449999999994</v>
      </c>
      <c r="E79" s="36">
        <f t="shared" si="1"/>
        <v>89.314449999999994</v>
      </c>
      <c r="F79" s="61">
        <f t="shared" si="4"/>
        <v>0.86544120562545512</v>
      </c>
      <c r="G79">
        <v>16.5</v>
      </c>
      <c r="H79">
        <v>165</v>
      </c>
      <c r="I79" s="32">
        <f t="shared" si="6"/>
        <v>8.3333333333333329E-2</v>
      </c>
      <c r="J79" s="2">
        <v>150</v>
      </c>
    </row>
    <row r="80" spans="1:10" x14ac:dyDescent="0.3">
      <c r="A80" s="35">
        <v>5</v>
      </c>
      <c r="B80" s="36">
        <v>87</v>
      </c>
      <c r="C80" s="2">
        <v>-3.5</v>
      </c>
      <c r="D80" s="36">
        <f t="shared" si="5"/>
        <v>90.314449999999994</v>
      </c>
      <c r="E80" s="36">
        <f t="shared" si="1"/>
        <v>89.314449999999994</v>
      </c>
      <c r="F80" s="61">
        <f t="shared" si="4"/>
        <v>0.86544120562545512</v>
      </c>
      <c r="G80">
        <v>16.55</v>
      </c>
      <c r="H80">
        <v>170</v>
      </c>
      <c r="I80" s="32">
        <f t="shared" si="6"/>
        <v>8.3333333333333329E-2</v>
      </c>
      <c r="J80" s="2">
        <v>150</v>
      </c>
    </row>
    <row r="81" spans="1:16" x14ac:dyDescent="0.3">
      <c r="A81" s="2"/>
      <c r="F81" s="4"/>
      <c r="I81" s="14"/>
      <c r="J81" s="2"/>
    </row>
    <row r="82" spans="1:16" x14ac:dyDescent="0.3">
      <c r="A82" s="2"/>
      <c r="F82" s="4"/>
      <c r="I82" s="14"/>
      <c r="J82" s="2"/>
    </row>
    <row r="83" spans="1:16" x14ac:dyDescent="0.3">
      <c r="A83" s="2"/>
      <c r="F83" s="4"/>
      <c r="I83" s="14"/>
      <c r="J83" s="2"/>
    </row>
    <row r="84" spans="1:16" x14ac:dyDescent="0.3">
      <c r="A84" s="2"/>
      <c r="F84" s="4"/>
      <c r="I84" s="14"/>
      <c r="J84" s="2"/>
    </row>
    <row r="85" spans="1:16" x14ac:dyDescent="0.3">
      <c r="A85" s="2"/>
      <c r="F85" s="4"/>
      <c r="I85" s="14"/>
      <c r="J85" s="2"/>
    </row>
    <row r="86" spans="1:16" x14ac:dyDescent="0.3">
      <c r="A86" s="2"/>
      <c r="F86" s="4"/>
      <c r="I86" s="14"/>
      <c r="J86" s="2"/>
    </row>
    <row r="87" spans="1:16" x14ac:dyDescent="0.3">
      <c r="A87" s="2"/>
      <c r="F87" s="4"/>
      <c r="I87" s="14"/>
      <c r="J87" s="2"/>
    </row>
    <row r="88" spans="1:16" x14ac:dyDescent="0.3">
      <c r="A88" s="2"/>
      <c r="F88" s="4"/>
      <c r="I88" s="14"/>
      <c r="J88" s="2"/>
    </row>
    <row r="89" spans="1:16" x14ac:dyDescent="0.3">
      <c r="A89" s="2"/>
      <c r="F89" s="4"/>
      <c r="I89" s="14"/>
      <c r="J89" s="2"/>
    </row>
    <row r="90" spans="1:16" x14ac:dyDescent="0.3">
      <c r="A90" s="2"/>
      <c r="F90" s="4"/>
      <c r="I90" s="14"/>
      <c r="J90" s="2"/>
    </row>
    <row r="91" spans="1:16" x14ac:dyDescent="0.3">
      <c r="A91" s="2"/>
      <c r="F91" s="4"/>
      <c r="I91" s="14"/>
      <c r="J91" s="2"/>
    </row>
    <row r="92" spans="1:16" x14ac:dyDescent="0.3">
      <c r="A92" s="2"/>
      <c r="F92" s="4"/>
      <c r="I92" s="14"/>
      <c r="J92" s="2"/>
    </row>
    <row r="93" spans="1:16" x14ac:dyDescent="0.3">
      <c r="A93" s="2"/>
      <c r="F93" s="4"/>
      <c r="I93" s="14"/>
      <c r="J93" s="2"/>
    </row>
    <row r="94" spans="1:16" x14ac:dyDescent="0.3">
      <c r="A94" s="2"/>
      <c r="F94" s="4"/>
      <c r="I94" s="14"/>
      <c r="J94" s="2"/>
    </row>
    <row r="95" spans="1:16" x14ac:dyDescent="0.3">
      <c r="A95" s="2"/>
      <c r="F95" s="4"/>
      <c r="I95" s="14"/>
      <c r="J95" s="2"/>
      <c r="P95" s="1"/>
    </row>
    <row r="96" spans="1:16" x14ac:dyDescent="0.3">
      <c r="A96" s="2"/>
      <c r="F96" s="4"/>
      <c r="I96" s="14"/>
      <c r="J96" s="2"/>
      <c r="P96" s="1"/>
    </row>
    <row r="97" spans="1:10" x14ac:dyDescent="0.3">
      <c r="A97" s="2"/>
      <c r="F97" s="4"/>
      <c r="I97" s="14"/>
      <c r="J97" s="2"/>
    </row>
    <row r="98" spans="1:10" x14ac:dyDescent="0.3">
      <c r="A98" s="2"/>
      <c r="F98" s="4"/>
      <c r="I98" s="14"/>
      <c r="J98" s="2"/>
    </row>
    <row r="99" spans="1:10" x14ac:dyDescent="0.3">
      <c r="A99" s="2"/>
      <c r="F99" s="4"/>
      <c r="I99" s="14"/>
      <c r="J99" s="2"/>
    </row>
    <row r="100" spans="1:10" x14ac:dyDescent="0.3">
      <c r="A100" s="2"/>
      <c r="F100" s="4"/>
      <c r="I100" s="14"/>
      <c r="J100" s="2"/>
    </row>
    <row r="101" spans="1:10" x14ac:dyDescent="0.3">
      <c r="A101" s="2"/>
      <c r="F101" s="4"/>
      <c r="I101" s="14"/>
      <c r="J101" s="2"/>
    </row>
    <row r="102" spans="1:10" x14ac:dyDescent="0.3">
      <c r="A102" s="2"/>
      <c r="F102" s="4"/>
      <c r="I102" s="14"/>
      <c r="J102" s="2"/>
    </row>
    <row r="105" spans="1:10" x14ac:dyDescent="0.3">
      <c r="C105" s="2" t="s">
        <v>21</v>
      </c>
      <c r="D105" s="2" t="s">
        <v>109</v>
      </c>
      <c r="E105" s="2" t="s">
        <v>1</v>
      </c>
      <c r="G105" s="2" t="s">
        <v>110</v>
      </c>
    </row>
    <row r="106" spans="1:10" x14ac:dyDescent="0.3">
      <c r="C106">
        <v>51.344900000000003</v>
      </c>
      <c r="D106">
        <v>55.307099999999998</v>
      </c>
      <c r="E106">
        <v>3.9621999999999957</v>
      </c>
      <c r="G106">
        <v>20.168372857278499</v>
      </c>
    </row>
    <row r="108" spans="1:10" x14ac:dyDescent="0.3">
      <c r="C108" s="2" t="s">
        <v>2</v>
      </c>
      <c r="D108" s="2" t="s">
        <v>3</v>
      </c>
      <c r="E108" t="s">
        <v>235</v>
      </c>
    </row>
    <row r="109" spans="1:10" x14ac:dyDescent="0.3">
      <c r="C109">
        <v>24.130572857278541</v>
      </c>
      <c r="D109">
        <v>16.419833973418793</v>
      </c>
      <c r="G109" s="2" t="s">
        <v>138</v>
      </c>
    </row>
    <row r="110" spans="1:10" x14ac:dyDescent="0.3">
      <c r="G110" s="9">
        <v>4.4196109411019897</v>
      </c>
    </row>
    <row r="113" spans="1:15" x14ac:dyDescent="0.3">
      <c r="A113" s="2" t="s">
        <v>125</v>
      </c>
      <c r="B113" s="2" t="s">
        <v>20</v>
      </c>
      <c r="C113" s="2" t="s">
        <v>109</v>
      </c>
      <c r="D113" s="2" t="s">
        <v>111</v>
      </c>
      <c r="E113" s="2" t="s">
        <v>169</v>
      </c>
      <c r="F113" s="2" t="s">
        <v>127</v>
      </c>
      <c r="G113" s="2" t="s">
        <v>142</v>
      </c>
    </row>
    <row r="114" spans="1:15" x14ac:dyDescent="0.3">
      <c r="A114">
        <v>56.044899999999998</v>
      </c>
      <c r="B114">
        <v>0.73609999999999998</v>
      </c>
      <c r="C114">
        <f>A114-B114</f>
        <v>55.308799999999998</v>
      </c>
      <c r="D114">
        <f>0.684</f>
        <v>0.68400000000000005</v>
      </c>
      <c r="E114" s="6">
        <f>(C114-$C$106-D114*G110)/(1-D114)</f>
        <v>2.9774877097665646</v>
      </c>
      <c r="F114" s="56">
        <f>E114/G110*100</f>
        <v>67.369905393169176</v>
      </c>
    </row>
    <row r="116" spans="1:15" x14ac:dyDescent="0.3">
      <c r="A116" s="2" t="s">
        <v>125</v>
      </c>
      <c r="B116" s="2" t="s">
        <v>20</v>
      </c>
      <c r="C116" s="2" t="s">
        <v>109</v>
      </c>
      <c r="D116" s="2" t="s">
        <v>111</v>
      </c>
      <c r="E116" s="2" t="s">
        <v>169</v>
      </c>
      <c r="F116" s="2" t="s">
        <v>127</v>
      </c>
    </row>
    <row r="117" spans="1:15" x14ac:dyDescent="0.3">
      <c r="A117" s="6">
        <v>56.14</v>
      </c>
      <c r="B117">
        <v>0.7349</v>
      </c>
      <c r="C117">
        <f>A117-B117</f>
        <v>55.405099999999997</v>
      </c>
      <c r="D117">
        <f>0.684</f>
        <v>0.68400000000000005</v>
      </c>
      <c r="E117" s="6">
        <f>(C117-$C$106-D117*G110)/(1-D117)</f>
        <v>3.2822345452096009</v>
      </c>
      <c r="F117" s="56">
        <f>E117/G110*100</f>
        <v>74.265237120424118</v>
      </c>
      <c r="G117" t="s">
        <v>148</v>
      </c>
    </row>
    <row r="119" spans="1:15" x14ac:dyDescent="0.3">
      <c r="A119" s="2" t="s">
        <v>125</v>
      </c>
      <c r="B119" s="2" t="s">
        <v>20</v>
      </c>
      <c r="C119" s="2" t="s">
        <v>109</v>
      </c>
      <c r="D119" s="2" t="s">
        <v>111</v>
      </c>
      <c r="E119" s="2" t="s">
        <v>169</v>
      </c>
      <c r="F119" s="2" t="s">
        <v>127</v>
      </c>
    </row>
    <row r="120" spans="1:15" x14ac:dyDescent="0.3">
      <c r="A120">
        <v>56.107799999999997</v>
      </c>
      <c r="B120">
        <v>0.7349</v>
      </c>
      <c r="C120">
        <f>A120-B120</f>
        <v>55.372899999999994</v>
      </c>
      <c r="D120">
        <f>0.684</f>
        <v>0.68400000000000005</v>
      </c>
      <c r="E120" s="6">
        <f>(C120-$C$106-D120*G110)/(1-D120)</f>
        <v>3.1803358110323758</v>
      </c>
      <c r="F120" s="56">
        <f>E120/G110*100</f>
        <v>71.959632949939888</v>
      </c>
      <c r="G120" t="s">
        <v>148</v>
      </c>
    </row>
    <row r="122" spans="1:15" x14ac:dyDescent="0.3">
      <c r="A122" s="2" t="s">
        <v>125</v>
      </c>
      <c r="B122" s="2" t="s">
        <v>20</v>
      </c>
      <c r="C122" s="2" t="s">
        <v>109</v>
      </c>
      <c r="D122" s="2" t="s">
        <v>111</v>
      </c>
      <c r="E122" s="2" t="s">
        <v>169</v>
      </c>
      <c r="F122" s="2" t="s">
        <v>127</v>
      </c>
    </row>
    <row r="123" spans="1:15" x14ac:dyDescent="0.3">
      <c r="A123">
        <v>56.068899999999999</v>
      </c>
      <c r="B123">
        <v>0.7349</v>
      </c>
      <c r="C123">
        <f>A123-B123</f>
        <v>55.333999999999996</v>
      </c>
      <c r="D123">
        <f>0.684</f>
        <v>0.68400000000000005</v>
      </c>
      <c r="E123" s="6">
        <f>(C123-$C$106-D123*G110)/(1-D123)</f>
        <v>3.0572345452095968</v>
      </c>
      <c r="F123" s="56">
        <f>E123/G110*100</f>
        <v>69.174291265721749</v>
      </c>
      <c r="G123" t="s">
        <v>148</v>
      </c>
      <c r="I123" s="2" t="s">
        <v>127</v>
      </c>
      <c r="J123" s="2" t="s">
        <v>198</v>
      </c>
      <c r="K123" s="2" t="s">
        <v>185</v>
      </c>
      <c r="L123" s="2" t="s">
        <v>190</v>
      </c>
      <c r="M123" s="2" t="s">
        <v>199</v>
      </c>
      <c r="N123" s="2" t="s">
        <v>200</v>
      </c>
      <c r="O123" s="2" t="s">
        <v>201</v>
      </c>
    </row>
    <row r="124" spans="1:15" x14ac:dyDescent="0.3">
      <c r="I124" s="63">
        <f>(F114+F117+F120+F123+F126)/5</f>
        <v>70.166703495625811</v>
      </c>
      <c r="J124" s="36">
        <f>(I124-F114)^2</f>
        <v>7.8220796259050296</v>
      </c>
      <c r="K124" s="36">
        <f>SQRT(SUM(J124:J128)/(5-1))</f>
        <v>2.882663792958795</v>
      </c>
      <c r="L124">
        <v>4.6040000000000001</v>
      </c>
      <c r="M124" s="63">
        <f>L124*K124/SQRT(5)</f>
        <v>5.9353222873044524</v>
      </c>
      <c r="N124" s="36">
        <f>I124+M124</f>
        <v>76.102025782930269</v>
      </c>
      <c r="O124" s="36">
        <f>I124-M124</f>
        <v>64.231381208321352</v>
      </c>
    </row>
    <row r="125" spans="1:15" x14ac:dyDescent="0.3">
      <c r="A125" s="2" t="s">
        <v>125</v>
      </c>
      <c r="B125" s="2" t="s">
        <v>20</v>
      </c>
      <c r="C125" s="2" t="s">
        <v>109</v>
      </c>
      <c r="D125" s="2" t="s">
        <v>111</v>
      </c>
      <c r="E125" s="2" t="s">
        <v>169</v>
      </c>
      <c r="F125" s="2" t="s">
        <v>127</v>
      </c>
      <c r="J125" s="36">
        <f>(I124-F117)^2</f>
        <v>16.797977873602349</v>
      </c>
    </row>
    <row r="126" spans="1:15" x14ac:dyDescent="0.3">
      <c r="A126">
        <v>56.053400000000003</v>
      </c>
      <c r="B126">
        <v>0.7349</v>
      </c>
      <c r="C126">
        <f>A126-B126</f>
        <v>55.3185</v>
      </c>
      <c r="D126">
        <f>0.684</f>
        <v>0.68400000000000005</v>
      </c>
      <c r="E126" s="6">
        <f>(C126-$C$106-D126*G110)/(1-D126)</f>
        <v>3.0081839122982177</v>
      </c>
      <c r="F126" s="56">
        <f>E126/G110*100</f>
        <v>68.064450748874165</v>
      </c>
      <c r="G126" t="s">
        <v>148</v>
      </c>
      <c r="J126" s="36">
        <f>(I124-F120)^2</f>
        <v>3.2145960281469739</v>
      </c>
    </row>
    <row r="127" spans="1:15" x14ac:dyDescent="0.3">
      <c r="J127" s="36">
        <f>(I124-F123)^2</f>
        <v>0.98488203406315256</v>
      </c>
    </row>
    <row r="128" spans="1:15" x14ac:dyDescent="0.3">
      <c r="J128" s="36">
        <f>(I124-F126)^2</f>
        <v>4.4194666112248377</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0"/>
  <sheetViews>
    <sheetView zoomScaleNormal="100" workbookViewId="0">
      <selection activeCell="J15" sqref="J15"/>
    </sheetView>
  </sheetViews>
  <sheetFormatPr defaultRowHeight="14.4" x14ac:dyDescent="0.3"/>
  <cols>
    <col min="8" max="8" width="9.5546875" bestFit="1" customWidth="1"/>
  </cols>
  <sheetData>
    <row r="1" spans="1:10" x14ac:dyDescent="0.3">
      <c r="A1">
        <f>54.5029-43.0553</f>
        <v>11.447599999999994</v>
      </c>
    </row>
    <row r="2" spans="1:10" x14ac:dyDescent="0.3">
      <c r="A2">
        <f>5.06/16</f>
        <v>0.31624999999999998</v>
      </c>
    </row>
    <row r="3" spans="1:10" x14ac:dyDescent="0.3">
      <c r="A3">
        <f>4.88/16</f>
        <v>0.30499999999999999</v>
      </c>
      <c r="H3" s="2" t="s">
        <v>237</v>
      </c>
      <c r="I3" s="2" t="s">
        <v>19</v>
      </c>
      <c r="J3" s="2" t="s">
        <v>18</v>
      </c>
    </row>
    <row r="4" spans="1:10" x14ac:dyDescent="0.3">
      <c r="G4" s="2" t="s">
        <v>236</v>
      </c>
      <c r="H4" s="36">
        <f>'Keo@Swi150bar'!H108</f>
        <v>32.835255332415642</v>
      </c>
      <c r="I4" s="6">
        <f>'Keo@Swi150bar'!M9</f>
        <v>3.9689105822577515</v>
      </c>
      <c r="J4">
        <v>0</v>
      </c>
    </row>
    <row r="5" spans="1:10" x14ac:dyDescent="0.3">
      <c r="G5" s="2" t="s">
        <v>167</v>
      </c>
      <c r="H5" s="36">
        <f>'Κe@Sw2'!V63</f>
        <v>42.78276112583935</v>
      </c>
      <c r="I5" s="9">
        <f>'Κe@Sw2'!H46</f>
        <v>0.4254202252018352</v>
      </c>
      <c r="J5" s="9">
        <f>'Κe@Sw2'!G46</f>
        <v>0.1377656169695062</v>
      </c>
    </row>
    <row r="6" spans="1:10" x14ac:dyDescent="0.3">
      <c r="G6" s="2" t="s">
        <v>168</v>
      </c>
      <c r="H6" s="36">
        <f>'Ke@Sw1'!J76</f>
        <v>45.301979761393689</v>
      </c>
      <c r="I6" s="9">
        <f>'Ke@Sw1'!E119</f>
        <v>0.29023159330669462</v>
      </c>
      <c r="J6" s="9">
        <f>'Ke@Sw1'!D119</f>
        <v>0.25063177314913176</v>
      </c>
    </row>
    <row r="7" spans="1:10" x14ac:dyDescent="0.3">
      <c r="G7" s="2" t="s">
        <v>224</v>
      </c>
      <c r="H7" s="36">
        <f>'Ke@Sw3'!Y32</f>
        <v>51.381041689160568</v>
      </c>
      <c r="I7" s="9">
        <f>'Ke@Sw3'!H18</f>
        <v>3.9087755734356654E-2</v>
      </c>
      <c r="J7" s="9">
        <f>'Ke@Sw3'!G18</f>
        <v>0.60758169535269402</v>
      </c>
    </row>
    <row r="8" spans="1:10" x14ac:dyDescent="0.3">
      <c r="G8" s="2" t="s">
        <v>225</v>
      </c>
      <c r="H8" s="36">
        <f>'Kew@1-Sor'!I124</f>
        <v>70.166703495625811</v>
      </c>
      <c r="I8">
        <v>0</v>
      </c>
      <c r="J8" s="9">
        <f>'Kew@1-Sor'!F80</f>
        <v>0.86544120562545512</v>
      </c>
    </row>
    <row r="10" spans="1:10" x14ac:dyDescent="0.3">
      <c r="I10" s="2" t="s">
        <v>146</v>
      </c>
      <c r="J10" s="2" t="s">
        <v>147</v>
      </c>
    </row>
    <row r="11" spans="1:10" x14ac:dyDescent="0.3">
      <c r="I11">
        <v>1</v>
      </c>
      <c r="J11">
        <v>0</v>
      </c>
    </row>
    <row r="12" spans="1:10" x14ac:dyDescent="0.3">
      <c r="I12" s="9">
        <f>I5/I4</f>
        <v>0.10718816067653279</v>
      </c>
      <c r="J12" s="9">
        <f>J5/I4</f>
        <v>3.4711191928929012E-2</v>
      </c>
    </row>
    <row r="13" spans="1:10" x14ac:dyDescent="0.3">
      <c r="I13" s="7">
        <f>I6/I4</f>
        <v>7.3126261549987776E-2</v>
      </c>
      <c r="J13" s="7">
        <f>J6/I4</f>
        <v>6.3148757815188056E-2</v>
      </c>
    </row>
    <row r="14" spans="1:10" x14ac:dyDescent="0.3">
      <c r="I14" s="9">
        <f>I7/I4</f>
        <v>9.8484848484848512E-3</v>
      </c>
      <c r="J14" s="9">
        <f>J7/I4</f>
        <v>0.15308525671219975</v>
      </c>
    </row>
    <row r="15" spans="1:10" x14ac:dyDescent="0.3">
      <c r="I15">
        <v>0</v>
      </c>
      <c r="J15" s="9">
        <f>J8/I4</f>
        <v>0.21805510295299746</v>
      </c>
    </row>
    <row r="26" spans="3:7" x14ac:dyDescent="0.3">
      <c r="D26" s="2" t="s">
        <v>11</v>
      </c>
      <c r="E26" s="2"/>
      <c r="F26" s="2"/>
      <c r="G26" s="2" t="s">
        <v>19</v>
      </c>
    </row>
    <row r="27" spans="3:7" x14ac:dyDescent="0.3">
      <c r="C27" s="2" t="s">
        <v>167</v>
      </c>
      <c r="D27" s="36">
        <v>84.873400000000004</v>
      </c>
      <c r="E27">
        <v>8599797.2550000008</v>
      </c>
      <c r="F27" s="15">
        <v>3.8934115714429844E-15</v>
      </c>
      <c r="G27" s="6">
        <v>3.9449992747646601</v>
      </c>
    </row>
    <row r="28" spans="3:7" x14ac:dyDescent="0.3">
      <c r="C28" s="2" t="s">
        <v>168</v>
      </c>
      <c r="D28" s="36">
        <v>61.681249999999999</v>
      </c>
      <c r="E28">
        <v>6249852.65625</v>
      </c>
      <c r="F28">
        <v>3.6967331622788155E-15</v>
      </c>
      <c r="G28" s="6">
        <v>3.7457148766790587</v>
      </c>
    </row>
    <row r="29" spans="3:7" x14ac:dyDescent="0.3">
      <c r="C29" s="2" t="s">
        <v>224</v>
      </c>
      <c r="D29" s="36">
        <v>76.978200000000001</v>
      </c>
      <c r="E29">
        <v>7799816.1150000002</v>
      </c>
      <c r="F29">
        <v>3.8397413243857236E-15</v>
      </c>
      <c r="G29" s="6">
        <v>3.8906178969338852</v>
      </c>
    </row>
    <row r="30" spans="3:7" x14ac:dyDescent="0.3">
      <c r="C30" s="2" t="s">
        <v>225</v>
      </c>
      <c r="D30" s="36">
        <v>89.314449999999994</v>
      </c>
      <c r="E30">
        <v>9049786.6462500002</v>
      </c>
      <c r="F30">
        <v>3.9194355989021451E-15</v>
      </c>
      <c r="G30" s="6">
        <v>3.9713681205876505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11</vt:i4>
      </vt:variant>
    </vt:vector>
  </HeadingPairs>
  <TitlesOfParts>
    <vt:vector size="11" baseType="lpstr">
      <vt:lpstr>Kw60bar1</vt:lpstr>
      <vt:lpstr>Kw60bar2</vt:lpstr>
      <vt:lpstr>Kw220bar</vt:lpstr>
      <vt:lpstr>Keo@Swi60bar</vt:lpstr>
      <vt:lpstr>Kw,abs150bar</vt:lpstr>
      <vt:lpstr>Keo@Swi150bar</vt:lpstr>
      <vt:lpstr>Κe@Sw2</vt:lpstr>
      <vt:lpstr>Ke@Sw1</vt:lpstr>
      <vt:lpstr>Ke@Sw3</vt:lpstr>
      <vt:lpstr>Kew@1-Sor</vt:lpstr>
      <vt:lpstr>διαγραμμα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Γιώργος Νικολάου</cp:lastModifiedBy>
  <dcterms:created xsi:type="dcterms:W3CDTF">2019-12-02T09:54:22Z</dcterms:created>
  <dcterms:modified xsi:type="dcterms:W3CDTF">2021-01-30T03:25:39Z</dcterms:modified>
</cp:coreProperties>
</file>