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dhav1997/Desktop/UFT Class Work/M1-EXCEL/"/>
    </mc:Choice>
  </mc:AlternateContent>
  <xr:revisionPtr revIDLastSave="0" documentId="13_ncr:1_{71A9153E-C2C6-F34E-8E2D-37998E9F01AE}" xr6:coauthVersionLast="36" xr6:coauthVersionMax="36" xr10:uidLastSave="{00000000-0000-0000-0000-000000000000}"/>
  <bookViews>
    <workbookView xWindow="28800" yWindow="60" windowWidth="20420" windowHeight="14280" firstSheet="7" activeTab="8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Edinburgh Research" sheetId="4" r:id="rId4"/>
    <sheet name="Successful U.S. Kickstarters" sheetId="6" r:id="rId5"/>
    <sheet name="Failed U.S. Kickstarters" sheetId="7" r:id="rId6"/>
    <sheet name="Descriptive Statistics" sheetId="8" r:id="rId7"/>
    <sheet name="GB  Campaign &amp; Amounts Pledged" sheetId="9" r:id="rId8"/>
    <sheet name="Theater Outcomes Based on Launc" sheetId="10" r:id="rId9"/>
    <sheet name="Data" sheetId="1" r:id="rId10"/>
    <sheet name="Outcomes Based on Goals" sheetId="11" r:id="rId11"/>
  </sheets>
  <definedNames>
    <definedName name="_xlnm._FilterDatabase" localSheetId="9" hidden="1">Data!$A$1:$T$4115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</definedNames>
  <calcPr calcId="191029"/>
  <pivotCaches>
    <pivotCache cacheId="8" r:id="rId12"/>
    <pivotCache cacheId="9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" i="10" l="1"/>
  <c r="C21" i="10"/>
  <c r="B3" i="11" l="1"/>
  <c r="C3" i="11"/>
  <c r="D3" i="11"/>
  <c r="B4" i="11"/>
  <c r="C4" i="11"/>
  <c r="D4" i="11"/>
  <c r="B5" i="11"/>
  <c r="C5" i="11"/>
  <c r="D5" i="11"/>
  <c r="B6" i="11"/>
  <c r="C6" i="11"/>
  <c r="D6" i="11"/>
  <c r="B7" i="11"/>
  <c r="C7" i="11"/>
  <c r="D7" i="11"/>
  <c r="B8" i="11"/>
  <c r="C8" i="11"/>
  <c r="D8" i="11"/>
  <c r="B9" i="11"/>
  <c r="C9" i="11"/>
  <c r="D9" i="11"/>
  <c r="B10" i="11"/>
  <c r="C10" i="11"/>
  <c r="D10" i="11"/>
  <c r="B11" i="11"/>
  <c r="C11" i="11"/>
  <c r="D11" i="11"/>
  <c r="B12" i="11"/>
  <c r="C12" i="11"/>
  <c r="D12" i="11"/>
  <c r="B13" i="11"/>
  <c r="C13" i="11"/>
  <c r="D13" i="11"/>
  <c r="D2" i="11"/>
  <c r="G13" i="11" l="1"/>
  <c r="H10" i="11"/>
  <c r="F8" i="11"/>
  <c r="G5" i="11"/>
  <c r="F13" i="11"/>
  <c r="G10" i="11"/>
  <c r="F5" i="11"/>
  <c r="F10" i="11"/>
  <c r="H4" i="11"/>
  <c r="H13" i="11"/>
  <c r="F11" i="11"/>
  <c r="G8" i="11"/>
  <c r="H5" i="11"/>
  <c r="F3" i="11"/>
  <c r="E10" i="11"/>
  <c r="E6" i="11"/>
  <c r="H6" i="11" s="1"/>
  <c r="E13" i="11"/>
  <c r="E9" i="11"/>
  <c r="G9" i="11" s="1"/>
  <c r="E5" i="11"/>
  <c r="E12" i="11"/>
  <c r="H12" i="11" s="1"/>
  <c r="E8" i="11"/>
  <c r="H8" i="11" s="1"/>
  <c r="E4" i="11"/>
  <c r="F4" i="11" s="1"/>
  <c r="E11" i="11"/>
  <c r="H11" i="11" s="1"/>
  <c r="E7" i="11"/>
  <c r="H7" i="11" s="1"/>
  <c r="E3" i="11"/>
  <c r="H3" i="11" s="1"/>
  <c r="C2" i="11"/>
  <c r="B2" i="11"/>
  <c r="E2" i="11" l="1"/>
  <c r="H2" i="11" s="1"/>
  <c r="F7" i="11"/>
  <c r="G12" i="11"/>
  <c r="F6" i="11"/>
  <c r="G11" i="11"/>
  <c r="G6" i="11"/>
  <c r="F12" i="11"/>
  <c r="G7" i="11"/>
  <c r="G4" i="11"/>
  <c r="H9" i="11"/>
  <c r="G3" i="11"/>
  <c r="F9" i="11"/>
  <c r="B2" i="4"/>
  <c r="G2" i="11" l="1"/>
  <c r="F2" i="11"/>
  <c r="C13" i="8"/>
  <c r="C6" i="8"/>
  <c r="B13" i="8"/>
  <c r="B6" i="8"/>
  <c r="C12" i="8"/>
  <c r="C14" i="8" s="1"/>
  <c r="C5" i="8"/>
  <c r="B12" i="8"/>
  <c r="B14" i="8" s="1"/>
  <c r="B5" i="8"/>
  <c r="C11" i="8"/>
  <c r="B11" i="8"/>
  <c r="B10" i="8"/>
  <c r="B4" i="8"/>
  <c r="C4" i="8"/>
  <c r="C10" i="8"/>
  <c r="C9" i="8"/>
  <c r="C2" i="8"/>
  <c r="B9" i="8"/>
  <c r="B2" i="8"/>
  <c r="C3" i="8"/>
  <c r="B3" i="8"/>
  <c r="D2" i="4"/>
  <c r="D3" i="4"/>
  <c r="D4" i="4"/>
  <c r="D5" i="4"/>
  <c r="D6" i="4"/>
  <c r="C2" i="4"/>
  <c r="C3" i="4"/>
  <c r="C4" i="4"/>
  <c r="C5" i="4"/>
  <c r="C6" i="4"/>
  <c r="B3" i="4"/>
  <c r="B4" i="4"/>
  <c r="B5" i="4"/>
  <c r="B6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C7" i="8" l="1"/>
  <c r="B7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<sst xmlns="http://schemas.openxmlformats.org/spreadsheetml/2006/main" count="38384" uniqueCount="8414">
  <si>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</si>
  <si>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</si>
  <si>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</si>
  <si>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</si>
  <si>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</si>
  <si>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</si>
  <si>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</si>
  <si>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</si>
  <si>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</si>
  <si>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</si>
  <si>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</si>
  <si>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</si>
  <si>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</si>
  <si>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</si>
  <si>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</si>
  <si>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</si>
  <si>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</si>
  <si>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</si>
  <si>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</si>
  <si>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</si>
  <si>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</si>
  <si>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</si>
  <si>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</si>
  <si>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</si>
  <si>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</si>
  <si>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</si>
  <si>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</si>
  <si>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</si>
  <si>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</si>
  <si>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</si>
  <si>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</si>
  <si>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</si>
  <si>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</si>
  <si>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</si>
  <si>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</si>
  <si>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</si>
  <si>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</si>
  <si>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</si>
  <si>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</si>
  <si>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</si>
  <si>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</si>
  <si>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</si>
  <si>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</si>
  <si>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</si>
  <si>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</si>
  <si>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</si>
  <si>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</si>
  <si>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</si>
  <si>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</si>
  <si>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</si>
  <si>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</si>
  <si>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</si>
  <si>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</si>
  <si>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</si>
  <si>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</si>
  <si>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</si>
  <si>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</si>
  <si>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</si>
  <si>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</si>
  <si>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</si>
  <si>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</si>
  <si>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</si>
  <si>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</si>
  <si>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</si>
  <si>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</si>
  <si>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</si>
  <si>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</si>
  <si>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</si>
  <si>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</si>
  <si>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</si>
  <si>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</si>
  <si>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</si>
  <si>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</si>
  <si>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</si>
  <si>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</si>
  <si>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</si>
  <si>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</si>
  <si>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</si>
  <si>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</si>
  <si>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</si>
  <si>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</si>
  <si>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</si>
  <si>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</si>
  <si>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</si>
  <si>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</si>
  <si>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</si>
  <si>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</si>
  <si>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</si>
  <si>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</si>
  <si>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</si>
  <si>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</si>
  <si>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</si>
  <si>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</si>
  <si>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</si>
  <si>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</si>
  <si>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</si>
  <si>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</si>
  <si>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</si>
  <si>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</si>
  <si>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</si>
  <si>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</si>
  <si>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</si>
  <si>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</si>
  <si>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</si>
  <si>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</si>
  <si>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</si>
  <si>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</si>
  <si>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</si>
  <si>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</si>
  <si>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</si>
  <si>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</si>
  <si>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</si>
  <si>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</si>
  <si>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</si>
  <si>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</si>
  <si>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</si>
  <si>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</si>
  <si>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</si>
  <si>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</si>
  <si>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</si>
  <si>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</si>
  <si>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</si>
  <si>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</si>
  <si>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</si>
  <si>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</si>
  <si>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</si>
  <si>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</si>
  <si>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</si>
  <si>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</si>
  <si>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</si>
  <si>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</si>
  <si>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</si>
  <si>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</si>
  <si>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</si>
  <si>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</si>
  <si>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</si>
  <si>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</si>
  <si>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</si>
  <si>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</si>
  <si>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</si>
  <si>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</si>
  <si>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</si>
  <si>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</si>
  <si>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</si>
  <si>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</si>
  <si>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</si>
  <si>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</si>
  <si>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</si>
  <si>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</si>
  <si>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</si>
  <si>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</si>
  <si>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</si>
  <si>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</si>
  <si>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</si>
  <si>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</si>
  <si>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</si>
  <si>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</si>
  <si>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</si>
  <si>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</si>
  <si>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</si>
  <si>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</si>
  <si>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</si>
  <si>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</si>
  <si>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</si>
  <si>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</si>
  <si>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</si>
  <si>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</si>
  <si>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</si>
  <si>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</si>
  <si>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</si>
  <si>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</si>
  <si>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</si>
  <si>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</si>
  <si>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</si>
  <si>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</si>
  <si>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</si>
  <si>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</si>
  <si>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</si>
  <si>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</si>
  <si>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</si>
  <si>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</si>
  <si>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</si>
  <si>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</si>
  <si>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</si>
  <si>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</si>
  <si>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</si>
  <si>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</si>
  <si>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</si>
  <si>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</si>
  <si>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</si>
  <si>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</si>
  <si>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</si>
  <si>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</si>
  <si>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</si>
  <si>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</si>
  <si>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</si>
  <si>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</si>
  <si>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</si>
  <si>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</si>
  <si>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</si>
  <si>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</si>
  <si>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</si>
  <si>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</si>
  <si>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</si>
  <si>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</si>
  <si>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</si>
  <si>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</si>
  <si>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</si>
  <si>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</si>
  <si>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</si>
  <si>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</si>
  <si>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</si>
  <si>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</si>
  <si>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</si>
  <si>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</si>
  <si>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</si>
  <si>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</si>
  <si>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</si>
  <si>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</si>
  <si>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</si>
  <si>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</si>
  <si>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</si>
  <si>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</si>
  <si>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</si>
  <si>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</si>
  <si>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</si>
  <si>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</si>
  <si>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</si>
  <si>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</si>
  <si>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</si>
  <si>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</si>
  <si>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</si>
  <si>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</si>
  <si>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</si>
  <si>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</si>
  <si>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</si>
  <si>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</si>
  <si>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</si>
  <si>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</si>
  <si>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</si>
  <si>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</si>
  <si>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</si>
  <si>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</si>
  <si>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</si>
  <si>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</si>
  <si>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</si>
  <si>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</si>
  <si>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</si>
  <si>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</si>
  <si>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</si>
  <si>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</si>
  <si>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</si>
  <si>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</si>
  <si>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</si>
  <si>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</si>
  <si>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</si>
  <si>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</si>
  <si>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</si>
  <si>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</si>
  <si>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</si>
  <si>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</si>
  <si>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</si>
  <si>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</si>
  <si>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</si>
  <si>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</si>
  <si>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</si>
  <si>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</si>
  <si>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</si>
  <si>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</si>
  <si>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</si>
  <si>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</si>
  <si>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</si>
  <si>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</si>
  <si>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</si>
  <si>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</si>
  <si>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</si>
  <si>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</si>
  <si>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</si>
  <si>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</si>
  <si>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</si>
  <si>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</si>
  <si>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</si>
  <si>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</si>
  <si>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</si>
  <si>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</si>
  <si>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</si>
  <si>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</si>
  <si>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</si>
  <si>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</si>
  <si>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</si>
  <si>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</si>
  <si>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</si>
  <si>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</si>
  <si>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</si>
  <si>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</si>
  <si>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</si>
  <si>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</si>
  <si>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</si>
  <si>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</si>
  <si>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</si>
  <si>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</si>
  <si>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</si>
  <si>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</si>
  <si>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</si>
  <si>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</si>
  <si>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</si>
  <si>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</si>
  <si>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</si>
  <si>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</si>
  <si>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</si>
  <si>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</si>
  <si>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</si>
  <si>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</si>
  <si>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</si>
  <si>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</si>
  <si>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</si>
  <si>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</si>
  <si>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</si>
  <si>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</si>
  <si>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</si>
  <si>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</si>
  <si>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</si>
  <si>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</si>
  <si>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</si>
  <si>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</si>
  <si>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</si>
  <si>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</si>
  <si>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</si>
  <si>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</si>
  <si>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</si>
  <si>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</si>
  <si>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</si>
  <si>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</si>
  <si>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</si>
  <si>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</si>
  <si>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</si>
  <si>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</si>
  <si>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</si>
  <si>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</si>
  <si>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</si>
  <si>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</si>
  <si>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</si>
  <si>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</si>
  <si>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</si>
  <si>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</si>
  <si>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</si>
  <si>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</si>
  <si>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</si>
  <si>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</si>
  <si>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</si>
  <si>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</si>
  <si>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</si>
  <si>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</si>
  <si>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</si>
  <si>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</si>
  <si>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</si>
  <si>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</si>
  <si>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</si>
  <si>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</si>
  <si>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</si>
  <si>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</si>
  <si>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</si>
  <si>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</si>
  <si>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</si>
  <si>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</si>
  <si>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</si>
  <si>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</si>
  <si>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</si>
  <si>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</si>
  <si>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</si>
  <si>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</si>
  <si>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</si>
  <si>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</si>
  <si>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</si>
  <si>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</si>
  <si>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</si>
  <si>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</si>
  <si>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</si>
  <si>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</si>
  <si>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</si>
  <si>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</si>
  <si>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</si>
  <si>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</si>
  <si>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</si>
  <si>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</si>
  <si>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</si>
  <si>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</si>
  <si>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</si>
  <si>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</si>
  <si>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</si>
  <si>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</si>
  <si>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</si>
  <si>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</si>
  <si>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</si>
  <si>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</si>
  <si>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</si>
  <si>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</si>
  <si>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</si>
  <si>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</si>
  <si>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</si>
  <si>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</si>
  <si>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</si>
  <si>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</si>
  <si>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</si>
  <si>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</si>
  <si>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</si>
  <si>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</si>
  <si>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</si>
  <si>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</si>
  <si>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</si>
  <si>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</si>
  <si>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</si>
  <si>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</si>
  <si>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</si>
  <si>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</si>
  <si>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</si>
  <si>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</si>
  <si>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</si>
  <si>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</si>
  <si>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</si>
  <si>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</si>
  <si>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</si>
  <si>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</si>
  <si>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</si>
  <si>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</si>
  <si>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</si>
  <si>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</si>
  <si>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</si>
  <si>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</si>
  <si>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</si>
  <si>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</si>
  <si>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</si>
  <si>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</si>
  <si>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</si>
  <si>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</si>
  <si>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</si>
  <si>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</si>
  <si>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</si>
  <si>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</si>
  <si>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</si>
  <si>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</si>
  <si>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</si>
  <si>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</si>
  <si>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</si>
  <si>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</si>
  <si>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</si>
  <si>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</si>
  <si>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</si>
  <si>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</si>
  <si>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</si>
  <si>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</si>
  <si>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</si>
  <si>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</si>
  <si>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</si>
  <si>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</si>
  <si>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</si>
  <si>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</si>
  <si>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</si>
  <si>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</si>
  <si>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</si>
  <si>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</si>
  <si>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</si>
  <si>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</si>
  <si>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</si>
  <si>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</si>
  <si>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</si>
  <si>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</si>
  <si>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</si>
  <si>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</si>
  <si>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</si>
  <si>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</si>
  <si>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</si>
  <si>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</si>
  <si>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</si>
  <si>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</si>
  <si>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</si>
  <si>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</si>
  <si>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</si>
  <si>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</si>
  <si>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</si>
  <si>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</si>
  <si>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</si>
  <si>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</si>
  <si>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</si>
  <si>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</si>
  <si>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</si>
  <si>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</si>
  <si>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</si>
  <si>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</si>
  <si>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</si>
  <si>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</si>
  <si>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</si>
  <si>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</si>
  <si>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</si>
  <si>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</si>
  <si>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</si>
  <si>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</si>
  <si>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</si>
  <si>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</si>
  <si>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</si>
  <si>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</si>
  <si>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</si>
  <si>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</si>
  <si>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</si>
  <si>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</si>
  <si>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</si>
  <si>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</si>
  <si>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</si>
  <si>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</si>
  <si>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</si>
  <si>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</si>
  <si>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</si>
  <si>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</si>
  <si>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</si>
  <si>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</si>
  <si>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</si>
  <si>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</si>
  <si>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</si>
  <si>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</si>
  <si>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</si>
  <si>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</si>
  <si>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</si>
  <si>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</si>
  <si>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</si>
  <si>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</si>
  <si>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</si>
  <si>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</si>
  <si>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</si>
  <si>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</si>
  <si>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</si>
  <si>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</si>
  <si>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</si>
  <si>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</si>
  <si>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</si>
  <si>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</si>
  <si>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</si>
  <si>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</si>
  <si>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</si>
  <si>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</si>
  <si>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</si>
  <si>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</si>
  <si>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</si>
  <si>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</si>
  <si>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</si>
  <si>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</si>
  <si>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</si>
  <si>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</si>
  <si>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</si>
  <si>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</si>
  <si>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</si>
  <si>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</si>
  <si>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</si>
  <si>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</si>
  <si>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</si>
  <si>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</si>
  <si>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</si>
  <si>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</si>
  <si>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</si>
  <si>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</si>
  <si>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</si>
  <si>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</si>
  <si>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</si>
  <si>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</si>
  <si>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</si>
  <si>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</si>
  <si>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</si>
  <si>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</si>
  <si>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</si>
  <si>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</si>
  <si>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</si>
  <si>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</si>
  <si>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</si>
  <si>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</si>
  <si>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</si>
  <si>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</si>
  <si>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</si>
  <si>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</si>
  <si>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</si>
  <si>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</si>
  <si>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</si>
  <si>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</si>
  <si>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</si>
  <si>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</si>
  <si>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</si>
  <si>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</si>
  <si>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</si>
  <si>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</si>
  <si>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</si>
  <si>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</si>
  <si>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</si>
  <si>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</si>
  <si>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</si>
  <si>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</si>
  <si>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</si>
  <si>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</si>
  <si>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</si>
  <si>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</si>
  <si>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</si>
  <si>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</si>
  <si>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</si>
  <si>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</si>
  <si>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</si>
  <si>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</si>
  <si>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</si>
  <si>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</si>
  <si>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</si>
  <si>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</si>
  <si>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</si>
  <si>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</si>
  <si>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</si>
  <si>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</si>
  <si>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</si>
  <si>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</si>
  <si>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</si>
  <si>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</si>
  <si>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</si>
  <si>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</si>
  <si>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</si>
  <si>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</si>
  <si>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</si>
  <si>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</si>
  <si>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</si>
  <si>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</si>
  <si>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</si>
  <si>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</si>
  <si>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</si>
  <si>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</si>
  <si>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</si>
  <si>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</si>
  <si>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</si>
  <si>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</si>
  <si>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</si>
  <si>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</si>
  <si>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</si>
  <si>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</si>
  <si>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</si>
  <si>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</si>
  <si>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</si>
  <si>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</si>
  <si>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</si>
  <si>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</si>
  <si>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</si>
  <si>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</si>
  <si>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</si>
  <si>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</si>
  <si>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</si>
  <si>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</si>
  <si>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</si>
  <si>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</si>
  <si>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</si>
  <si>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</si>
  <si>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</si>
  <si>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</si>
  <si>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</si>
  <si>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</si>
  <si>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</si>
  <si>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</si>
  <si>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</si>
  <si>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</si>
  <si>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</si>
  <si>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</si>
  <si>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</si>
  <si>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</si>
  <si>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</si>
  <si>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</si>
  <si>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</si>
  <si>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</si>
  <si>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</si>
  <si>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</si>
  <si>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</si>
  <si>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</si>
  <si>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</si>
  <si>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</si>
  <si>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</si>
  <si>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</si>
  <si>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</si>
  <si>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</si>
  <si>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</si>
  <si>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</si>
  <si>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</si>
  <si>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</si>
  <si>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</si>
  <si>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</si>
  <si>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</si>
  <si>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</si>
  <si>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</si>
  <si>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</si>
  <si>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</si>
  <si>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</si>
  <si>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</si>
  <si>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</si>
  <si>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</si>
  <si>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</si>
  <si>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</si>
  <si>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</si>
  <si>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</si>
  <si>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</si>
  <si>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</si>
  <si>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</si>
  <si>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</si>
  <si>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</si>
  <si>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</si>
  <si>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</si>
  <si>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</si>
  <si>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</si>
  <si>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</si>
  <si>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</si>
  <si>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</si>
  <si>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</si>
  <si>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</si>
  <si>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</si>
  <si>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</si>
  <si>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</si>
  <si>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</si>
  <si>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</si>
  <si>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</si>
  <si>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</si>
  <si>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</si>
  <si>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</si>
  <si>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</si>
  <si>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</si>
  <si>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</si>
  <si>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</si>
  <si>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</si>
  <si>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</si>
  <si>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</si>
  <si>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</si>
  <si>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</si>
  <si>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</si>
  <si>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</si>
  <si>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</si>
  <si>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</si>
  <si>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</si>
  <si>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</si>
  <si>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</si>
  <si>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</si>
  <si>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</si>
  <si>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</si>
  <si>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</si>
  <si>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</si>
  <si>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</si>
  <si>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</si>
  <si>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</si>
  <si>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</si>
  <si>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</si>
  <si>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</si>
  <si>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</si>
  <si>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</si>
  <si>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</si>
  <si>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</si>
  <si>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</si>
  <si>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</si>
  <si>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</si>
  <si>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</si>
  <si>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</si>
  <si>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</si>
  <si>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</si>
  <si>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</si>
  <si>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</si>
  <si>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</si>
  <si>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</si>
  <si>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</si>
  <si>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</si>
  <si>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</si>
  <si>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</si>
  <si>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</si>
  <si>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</si>
  <si>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</si>
  <si>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</si>
  <si>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</si>
  <si>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</si>
  <si>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</si>
  <si>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</si>
  <si>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</si>
  <si>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</si>
  <si>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</si>
  <si>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</si>
  <si>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</si>
  <si>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</si>
  <si>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</si>
  <si>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</si>
  <si>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</si>
  <si>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</si>
  <si>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</si>
  <si>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</si>
  <si>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</si>
  <si>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</si>
  <si>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</si>
  <si>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</si>
  <si>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</si>
  <si>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</si>
  <si>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</si>
  <si>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</si>
  <si>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</si>
  <si>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</si>
  <si>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</si>
  <si>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</si>
  <si>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</si>
  <si>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</si>
  <si>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</si>
  <si>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</si>
  <si>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</si>
  <si>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</si>
  <si>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</si>
  <si>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</si>
  <si>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</si>
  <si>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</si>
  <si>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</si>
  <si>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</si>
  <si>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</si>
  <si>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</si>
  <si>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</si>
  <si>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</si>
  <si>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</si>
  <si>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</si>
  <si>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</si>
  <si>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</si>
  <si>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</si>
  <si>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</si>
  <si>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</si>
  <si>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</si>
  <si>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</si>
  <si>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</si>
  <si>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</si>
  <si>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</si>
  <si>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</si>
  <si>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</si>
  <si>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</si>
  <si>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</si>
  <si>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</si>
  <si>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</si>
  <si>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</si>
  <si>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</si>
  <si>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</si>
  <si>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</si>
  <si>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</si>
  <si>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</si>
  <si>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</si>
  <si>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</si>
  <si>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</si>
  <si>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</si>
  <si>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</si>
  <si>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</si>
  <si>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</si>
  <si>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</si>
  <si>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</si>
  <si>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</si>
  <si>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</si>
  <si>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</si>
  <si>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</si>
  <si>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</si>
  <si>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</si>
  <si>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</si>
  <si>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</si>
  <si>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</si>
  <si>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</si>
  <si>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</si>
  <si>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</si>
  <si>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</si>
  <si>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</si>
  <si>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</si>
  <si>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</si>
  <si>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</si>
  <si>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</si>
  <si>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</si>
  <si>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</si>
  <si>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</si>
  <si>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</si>
  <si>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</si>
  <si>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</si>
  <si>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</si>
  <si>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</si>
  <si>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</si>
  <si>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</si>
  <si>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</si>
  <si>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</si>
  <si>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</si>
  <si>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</si>
  <si>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</si>
  <si>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</si>
  <si>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</si>
  <si>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</si>
  <si>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</si>
  <si>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</si>
  <si>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</si>
  <si>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</si>
  <si>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</si>
  <si>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</si>
  <si>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</si>
  <si>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</si>
  <si>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</si>
  <si>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</si>
  <si>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</si>
  <si>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</si>
  <si>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</si>
  <si>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</si>
  <si>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</si>
  <si>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</si>
  <si>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</si>
  <si>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</si>
  <si>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</si>
  <si>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</si>
  <si>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</si>
  <si>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</si>
  <si>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</si>
  <si>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</si>
  <si>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</si>
  <si>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</si>
  <si>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</si>
  <si>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</si>
  <si>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</si>
  <si>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</si>
  <si>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</si>
  <si>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</si>
  <si>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</si>
  <si>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</si>
  <si>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</si>
  <si>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</si>
  <si>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</si>
  <si>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</si>
  <si>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</si>
  <si>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</si>
  <si>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</si>
  <si>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</si>
  <si>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</si>
  <si>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</si>
  <si>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</si>
  <si>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</si>
  <si>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</si>
  <si>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</si>
  <si>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</si>
  <si>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</si>
  <si>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</si>
  <si>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</si>
  <si>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</si>
  <si>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</si>
  <si>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</si>
  <si>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</si>
  <si>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</si>
  <si>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</si>
  <si>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</si>
  <si>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</si>
  <si>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</si>
  <si>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</si>
  <si>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</si>
  <si>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</si>
  <si>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</si>
  <si>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</si>
  <si>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</si>
  <si>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</si>
  <si>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</si>
  <si>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</si>
  <si>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</si>
  <si>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</si>
  <si>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</si>
  <si>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</si>
  <si>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</si>
  <si>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</si>
  <si>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</si>
  <si>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</si>
  <si>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</si>
  <si>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</si>
  <si>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</si>
  <si>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</si>
  <si>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</si>
  <si>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</si>
  <si>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</si>
  <si>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</si>
  <si>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</si>
  <si>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</si>
  <si>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</si>
  <si>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</si>
  <si>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</si>
  <si>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</si>
  <si>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</si>
  <si>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</si>
  <si>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</si>
  <si>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</si>
  <si>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</si>
  <si>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</si>
  <si>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</si>
  <si>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</si>
  <si>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</si>
  <si>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</si>
  <si>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</si>
  <si>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</si>
  <si>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</si>
  <si>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</si>
  <si>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</si>
  <si>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</si>
  <si>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</si>
  <si>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</si>
  <si>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</si>
  <si>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</si>
  <si>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</si>
  <si>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</si>
  <si>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</si>
  <si>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</si>
  <si>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</si>
  <si>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</si>
  <si>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</si>
  <si>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</si>
  <si>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</si>
  <si>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</si>
  <si>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</si>
  <si>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</si>
  <si>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</si>
  <si>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</si>
  <si>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</si>
  <si>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</si>
  <si>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</si>
  <si>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</si>
  <si>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</si>
  <si>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</si>
  <si>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</si>
  <si>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</si>
  <si>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</si>
  <si>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</si>
  <si>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</si>
  <si>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</si>
  <si>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</si>
  <si>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</si>
  <si>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</si>
  <si>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</si>
  <si>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</si>
  <si>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</si>
  <si>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</si>
  <si>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</si>
  <si>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</si>
  <si>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</si>
  <si>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</si>
  <si>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</si>
  <si>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</si>
  <si>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</si>
  <si>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</si>
  <si>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</si>
  <si>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</si>
  <si>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</si>
  <si>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</si>
  <si>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</si>
  <si>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</si>
  <si>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</si>
  <si>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</si>
  <si>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</si>
  <si>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</si>
  <si>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</si>
  <si>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</si>
  <si>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</si>
  <si>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</si>
  <si>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</si>
  <si>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</si>
  <si>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</si>
  <si>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</si>
  <si>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</si>
  <si>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</si>
  <si>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</si>
  <si>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</si>
  <si>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</si>
  <si>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</si>
  <si>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</si>
  <si>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</si>
  <si>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</si>
  <si>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</si>
  <si>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</si>
  <si>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</si>
  <si>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</si>
  <si>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</si>
  <si>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</si>
  <si>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</si>
  <si>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</si>
  <si>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</si>
  <si>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</si>
  <si>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</si>
  <si>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</si>
  <si>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</si>
  <si>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</si>
  <si>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</si>
  <si>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</si>
  <si>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</si>
  <si>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</si>
  <si>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</si>
  <si>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</si>
  <si>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</si>
  <si>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</si>
  <si>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</si>
  <si>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</si>
  <si>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</si>
  <si>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</si>
  <si>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</si>
  <si>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</si>
  <si>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</si>
  <si>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</si>
  <si>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</si>
  <si>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</si>
  <si>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</si>
  <si>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</si>
  <si>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</si>
  <si>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</si>
  <si>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</si>
  <si>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</si>
  <si>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</si>
  <si>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</si>
  <si>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</si>
  <si>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</si>
  <si>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</si>
  <si>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</si>
  <si>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</si>
  <si>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</si>
  <si>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</si>
  <si>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</si>
  <si>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</si>
  <si>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</si>
  <si>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</si>
  <si>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</si>
  <si>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</si>
  <si>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</si>
  <si>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</si>
  <si>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</si>
  <si>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</si>
  <si>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</si>
  <si>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</si>
  <si>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</si>
  <si>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</si>
  <si>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</si>
  <si>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</si>
  <si>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</si>
  <si>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</si>
  <si>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</si>
  <si>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</si>
  <si>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</si>
  <si>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</si>
  <si>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</si>
  <si>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</si>
  <si>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</si>
  <si>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</si>
  <si>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</si>
  <si>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</si>
  <si>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</si>
  <si>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</si>
  <si>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</si>
  <si>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</si>
  <si>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</si>
  <si>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</si>
  <si>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</si>
  <si>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</si>
  <si>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</si>
  <si>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</si>
  <si>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</si>
  <si>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</si>
  <si>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</si>
  <si>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</si>
  <si>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</si>
  <si>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</si>
  <si>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</si>
  <si>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</si>
  <si>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</si>
  <si>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</si>
  <si>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</si>
  <si>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</si>
  <si>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</si>
  <si>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</si>
  <si>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</si>
  <si>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</si>
  <si>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</si>
  <si>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</si>
  <si>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</si>
  <si>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</si>
  <si>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</si>
  <si>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</si>
  <si>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</si>
  <si>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</si>
  <si>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</si>
  <si>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</si>
  <si>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</si>
  <si>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</si>
  <si>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</si>
  <si>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</si>
  <si>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</si>
  <si>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</si>
  <si>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</si>
  <si>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</si>
  <si>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</si>
  <si>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</si>
  <si>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</si>
  <si>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</si>
  <si>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</si>
  <si>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</si>
  <si>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</si>
  <si>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</si>
  <si>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</si>
  <si>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</si>
  <si>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</si>
  <si>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</si>
  <si>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</si>
  <si>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</si>
  <si>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</si>
  <si>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</si>
  <si>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</si>
  <si>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</si>
  <si>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</si>
  <si>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</si>
  <si>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</si>
  <si>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</si>
  <si>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</si>
  <si>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</si>
  <si>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</si>
  <si>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</si>
  <si>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</si>
  <si>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</si>
  <si>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</si>
  <si>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</si>
  <si>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</si>
  <si>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</si>
  <si>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</si>
  <si>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</si>
  <si>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</si>
  <si>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</si>
  <si>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</si>
  <si>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</si>
  <si>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</si>
  <si>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</si>
  <si>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</si>
  <si>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</si>
  <si>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</si>
  <si>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</si>
  <si>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</si>
  <si>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</si>
  <si>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</si>
  <si>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</si>
  <si>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</si>
  <si>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</si>
  <si>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</si>
  <si>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</si>
  <si>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</si>
  <si>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</si>
  <si>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</si>
  <si>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</si>
  <si>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</si>
  <si>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</si>
  <si>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</si>
  <si>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</si>
  <si>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</si>
  <si>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</si>
  <si>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</si>
  <si>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</si>
  <si>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</si>
  <si>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</si>
  <si>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</si>
  <si>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</si>
  <si>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</si>
  <si>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</si>
  <si>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</si>
  <si>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</si>
  <si>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</si>
  <si>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</si>
  <si>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</si>
  <si>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</si>
  <si>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</si>
  <si>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</si>
  <si>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</si>
  <si>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</si>
  <si>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</si>
  <si>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</si>
  <si>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</si>
  <si>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</si>
  <si>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</si>
  <si>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</si>
  <si>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</si>
  <si>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</si>
  <si>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</si>
  <si>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</si>
  <si>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</si>
  <si>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</si>
  <si>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</si>
  <si>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</si>
  <si>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</si>
  <si>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</si>
  <si>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</si>
  <si>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</si>
  <si>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</si>
  <si>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</si>
  <si>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</si>
  <si>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</si>
  <si>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</si>
  <si>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</si>
  <si>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</si>
  <si>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</si>
  <si>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</si>
  <si>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</si>
  <si>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</si>
  <si>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</si>
  <si>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</si>
  <si>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</si>
  <si>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</si>
  <si>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</si>
  <si>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</si>
  <si>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</si>
  <si>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</si>
  <si>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</si>
  <si>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</si>
  <si>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</si>
  <si>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</si>
  <si>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</si>
  <si>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</si>
  <si>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</si>
  <si>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</si>
  <si>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</si>
  <si>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</si>
  <si>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</si>
  <si>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</si>
  <si>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</si>
  <si>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</si>
  <si>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</si>
  <si>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</si>
  <si>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</si>
  <si>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</si>
  <si>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</si>
  <si>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</si>
  <si>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</si>
  <si>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</si>
  <si>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</si>
  <si>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</si>
  <si>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</si>
  <si>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</si>
  <si>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</si>
  <si>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</si>
  <si>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</si>
  <si>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</si>
  <si>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</si>
  <si>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</si>
  <si>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</si>
  <si>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</si>
  <si>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</si>
  <si>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</si>
  <si>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</si>
  <si>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</si>
  <si>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</si>
  <si>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</si>
  <si>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</si>
  <si>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</si>
  <si>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</si>
  <si>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</si>
  <si>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</si>
  <si>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</si>
  <si>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</si>
  <si>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</si>
  <si>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</si>
  <si>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</si>
  <si>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</si>
  <si>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</si>
  <si>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</si>
  <si>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</si>
  <si>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</si>
  <si>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</si>
  <si>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</si>
  <si>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</si>
  <si>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</si>
  <si>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</si>
  <si>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</si>
  <si>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</si>
  <si>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</si>
  <si>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</si>
  <si>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</si>
  <si>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</si>
  <si>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</si>
  <si>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</si>
  <si>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</si>
  <si>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</si>
  <si>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</si>
  <si>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</si>
  <si>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</si>
  <si>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</si>
  <si>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</si>
  <si>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</si>
  <si>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</si>
  <si>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</si>
  <si>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</si>
  <si>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</si>
  <si>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</si>
  <si>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</si>
  <si>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</si>
  <si>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</si>
  <si>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</si>
  <si>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</si>
  <si>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</si>
  <si>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</si>
  <si>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</si>
  <si>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</si>
  <si>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</si>
  <si>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</si>
  <si>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</si>
  <si>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</si>
  <si>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</si>
  <si>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</si>
  <si>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</si>
  <si>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</si>
  <si>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</si>
  <si>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</si>
  <si>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</si>
  <si>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</si>
  <si>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</si>
  <si>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</si>
  <si>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</si>
  <si>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</si>
  <si>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</si>
  <si>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</si>
  <si>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</si>
  <si>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</si>
  <si>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</si>
  <si>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</si>
  <si>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</si>
  <si>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</si>
  <si>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</si>
  <si>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</si>
  <si>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</si>
  <si>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</si>
  <si>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</si>
  <si>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</si>
  <si>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</si>
  <si>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</si>
  <si>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</si>
  <si>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</si>
  <si>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</si>
  <si>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</si>
  <si>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</si>
  <si>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</si>
  <si>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</si>
  <si>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</si>
  <si>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</si>
  <si>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</si>
  <si>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</si>
  <si>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</si>
  <si>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</si>
  <si>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</si>
  <si>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</si>
  <si>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</si>
  <si>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</si>
  <si>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</si>
  <si>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</si>
  <si>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</si>
  <si>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</si>
  <si>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</si>
  <si>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</si>
  <si>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</si>
  <si>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</si>
  <si>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</si>
  <si>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</si>
  <si>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</si>
  <si>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</si>
  <si>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</si>
  <si>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</si>
  <si>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</si>
  <si>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</si>
  <si>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</si>
  <si>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</si>
  <si>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</si>
  <si>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</si>
  <si>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</si>
  <si>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</si>
  <si>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</si>
  <si>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</si>
  <si>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</si>
  <si>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</si>
  <si>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</si>
  <si>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</si>
  <si>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</si>
  <si>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</si>
  <si>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</si>
  <si>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</si>
  <si>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</si>
  <si>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</si>
  <si>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</si>
  <si>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</si>
  <si>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</si>
  <si>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</si>
  <si>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</si>
  <si>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</si>
  <si>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</si>
  <si>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</si>
  <si>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</si>
  <si>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</si>
  <si>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</si>
  <si>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</si>
  <si>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</si>
  <si>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</si>
  <si>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</si>
  <si>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</si>
  <si>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</si>
  <si>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</si>
  <si>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</si>
  <si>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</si>
  <si>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</si>
  <si>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</si>
  <si>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</si>
  <si>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</si>
  <si>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</si>
  <si>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</si>
  <si>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</si>
  <si>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</si>
  <si>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</si>
  <si>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</si>
  <si>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</si>
  <si>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</si>
  <si>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</si>
  <si>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</si>
  <si>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</si>
  <si>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</si>
  <si>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</si>
  <si>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</si>
  <si>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</si>
  <si>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</si>
  <si>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</si>
  <si>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</si>
  <si>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</si>
  <si>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</si>
  <si>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</si>
  <si>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</si>
  <si>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</si>
  <si>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</si>
  <si>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</si>
  <si>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</si>
  <si>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</si>
  <si>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</si>
  <si>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</si>
  <si>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</si>
  <si>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</si>
  <si>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</si>
  <si>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</si>
  <si>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</si>
  <si>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</si>
  <si>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</si>
  <si>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</si>
  <si>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</si>
  <si>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</si>
  <si>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</si>
  <si>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</si>
  <si>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</si>
  <si>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</si>
  <si>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</si>
  <si>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</si>
  <si>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</si>
  <si>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</si>
  <si>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</si>
  <si>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</si>
  <si>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</si>
  <si>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</si>
  <si>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</si>
  <si>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</si>
  <si>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</si>
  <si>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</si>
  <si>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</si>
  <si>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</si>
  <si>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</si>
  <si>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</si>
  <si>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</si>
  <si>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</si>
  <si>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</si>
  <si>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</si>
  <si>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</si>
  <si>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</si>
  <si>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</si>
  <si>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</si>
  <si>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</si>
  <si>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</si>
  <si>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</si>
  <si>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</si>
  <si>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</si>
  <si>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</si>
  <si>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</si>
  <si>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</si>
  <si>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</si>
  <si>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</si>
  <si>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</si>
  <si>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</si>
  <si>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</si>
  <si>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</si>
  <si>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</si>
  <si>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</si>
  <si>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</si>
  <si>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</si>
  <si>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</si>
  <si>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</si>
  <si>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</si>
  <si>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</si>
  <si>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</si>
  <si>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</si>
  <si>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</si>
  <si>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</si>
  <si>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</si>
  <si>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</si>
  <si>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</si>
  <si>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</si>
  <si>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</si>
  <si>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</si>
  <si>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</si>
  <si>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</si>
  <si>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</si>
  <si>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</si>
  <si>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</si>
  <si>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</si>
  <si>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</si>
  <si>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</si>
  <si>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</si>
  <si>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</si>
  <si>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</si>
  <si>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</si>
  <si>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</si>
  <si>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</si>
  <si>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</si>
  <si>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</si>
  <si>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</si>
  <si>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</si>
  <si>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</si>
  <si>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</si>
  <si>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</si>
  <si>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</si>
  <si>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</si>
  <si>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</si>
  <si>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</si>
  <si>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</si>
  <si>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</si>
  <si>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</si>
  <si>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</si>
  <si>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</si>
  <si>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</si>
  <si>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</si>
  <si>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</si>
  <si>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</si>
  <si>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</si>
  <si>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</si>
  <si>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</si>
  <si>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</si>
  <si>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</si>
  <si>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</si>
  <si>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</si>
  <si>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</si>
  <si>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</si>
  <si>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</si>
  <si>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</si>
  <si>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</si>
  <si>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</si>
  <si>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</si>
  <si>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</si>
  <si>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</si>
  <si>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</si>
  <si>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</si>
  <si>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</si>
  <si>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</si>
  <si>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</si>
  <si>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</si>
  <si>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</si>
  <si>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</si>
  <si>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</si>
  <si>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</si>
  <si>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</si>
  <si>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</si>
  <si>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</si>
  <si>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</si>
  <si>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</si>
  <si>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</si>
  <si>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</si>
  <si>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</si>
  <si>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</si>
  <si>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</si>
  <si>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</si>
  <si>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</si>
  <si>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</si>
  <si>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</si>
  <si>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</si>
  <si>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</si>
  <si>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</si>
  <si>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</si>
  <si>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</si>
  <si>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</si>
  <si>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</si>
  <si>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</si>
  <si>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</si>
  <si>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</si>
  <si>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</si>
  <si>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</si>
  <si>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</si>
  <si>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</si>
  <si>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</si>
  <si>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</si>
  <si>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</si>
  <si>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</si>
  <si>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</si>
  <si>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</si>
  <si>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</si>
  <si>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</si>
  <si>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</si>
  <si>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</si>
  <si>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</si>
  <si>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</si>
  <si>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</si>
  <si>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</si>
  <si>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</si>
  <si>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</si>
  <si>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</si>
  <si>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</si>
  <si>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</si>
  <si>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</si>
  <si>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</si>
  <si>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</si>
  <si>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</si>
  <si>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</si>
  <si>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</si>
  <si>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</si>
  <si>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</si>
  <si>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</si>
  <si>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</si>
  <si>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</si>
  <si>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</si>
  <si>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</si>
  <si>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</si>
  <si>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</si>
  <si>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</si>
  <si>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</si>
  <si>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</si>
  <si>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</si>
  <si>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</si>
  <si>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</si>
  <si>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</si>
  <si>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</si>
  <si>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</si>
  <si>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</si>
  <si>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</si>
  <si>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</si>
  <si>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</si>
  <si>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</si>
  <si>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</si>
  <si>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</si>
  <si>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</si>
  <si>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</si>
  <si>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</si>
  <si>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</si>
  <si>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</si>
  <si>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</si>
  <si>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</si>
  <si>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</si>
  <si>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</si>
  <si>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</si>
  <si>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</si>
  <si>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</si>
  <si>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</si>
  <si>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</si>
  <si>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</si>
  <si>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</si>
  <si>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</si>
  <si>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</si>
  <si>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</si>
  <si>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</si>
  <si>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</si>
  <si>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</si>
  <si>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</si>
  <si>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</si>
  <si>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</si>
  <si>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</si>
  <si>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</si>
  <si>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</si>
  <si>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</si>
  <si>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</si>
  <si>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</si>
  <si>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</si>
  <si>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</si>
  <si>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</si>
  <si>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</si>
  <si>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</si>
  <si>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</si>
  <si>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</si>
  <si>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</si>
  <si>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</si>
  <si>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</si>
  <si>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</si>
  <si>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</si>
  <si>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</si>
  <si>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</si>
  <si>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</si>
  <si>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</si>
  <si>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</si>
  <si>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</si>
  <si>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</si>
  <si>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</si>
  <si>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</si>
  <si>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</si>
  <si>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</si>
  <si>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</si>
  <si>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</si>
  <si>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</si>
  <si>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</si>
  <si>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</si>
  <si>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</si>
  <si>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</si>
  <si>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</si>
  <si>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</si>
  <si>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</si>
  <si>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</si>
  <si>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</si>
  <si>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</si>
  <si>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</si>
  <si>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</si>
  <si>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</si>
  <si>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</si>
  <si>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</si>
  <si>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</si>
  <si>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</si>
  <si>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</si>
  <si>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</si>
  <si>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</si>
  <si>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</si>
  <si>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</si>
  <si>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</si>
  <si>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</si>
  <si>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</si>
  <si>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</si>
  <si>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</si>
  <si>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</si>
  <si>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</si>
  <si>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</si>
  <si>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</si>
  <si>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</si>
  <si>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</si>
  <si>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</si>
  <si>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</si>
  <si>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</si>
  <si>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</si>
  <si>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</si>
  <si>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</si>
  <si>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</si>
  <si>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</si>
  <si>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</si>
  <si>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</si>
  <si>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</si>
  <si>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</si>
  <si>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</si>
  <si>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</si>
  <si>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</si>
  <si>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</si>
  <si>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</si>
  <si>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</si>
  <si>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</si>
  <si>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</si>
  <si>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</si>
  <si>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</si>
  <si>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</si>
  <si>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</si>
  <si>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</si>
  <si>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</si>
  <si>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</si>
  <si>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</si>
  <si>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</si>
  <si>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</si>
  <si>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</si>
  <si>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</si>
  <si>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</si>
  <si>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</si>
  <si>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</si>
  <si>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</si>
  <si>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</si>
  <si>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</si>
  <si>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</si>
  <si>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</si>
  <si>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</si>
  <si>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</si>
  <si>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</si>
  <si>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</si>
  <si>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</si>
  <si>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</si>
  <si>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</si>
  <si>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</si>
  <si>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</si>
  <si>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</si>
  <si>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</si>
  <si>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</si>
  <si>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</si>
  <si>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</si>
  <si>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</si>
  <si>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</si>
  <si>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</si>
  <si>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</si>
  <si>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</si>
  <si>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</si>
  <si>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</si>
  <si>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</si>
  <si>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</si>
  <si>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</si>
  <si>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</si>
  <si>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</si>
  <si>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</si>
  <si>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</si>
  <si>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</si>
  <si>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</si>
  <si>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</si>
  <si>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</si>
  <si>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</si>
  <si>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</si>
  <si>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</si>
  <si>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</si>
  <si>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</si>
  <si>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</si>
  <si>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</si>
  <si>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</si>
  <si>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</si>
  <si>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</si>
  <si>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</si>
  <si>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</si>
  <si>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</si>
  <si>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</si>
  <si>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</si>
  <si>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</si>
  <si>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</si>
  <si>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</si>
  <si>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</si>
  <si>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</si>
  <si>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</si>
  <si>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</si>
  <si>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</si>
  <si>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</si>
  <si>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</si>
  <si>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</si>
  <si>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</si>
  <si>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</si>
  <si>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</si>
  <si>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</si>
  <si>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</si>
  <si>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</si>
  <si>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</si>
  <si>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</si>
  <si>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</si>
  <si>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</si>
  <si>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</si>
  <si>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</si>
  <si>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</si>
  <si>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</si>
  <si>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</si>
  <si>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</si>
  <si>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</si>
  <si>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</si>
  <si>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</si>
  <si>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</si>
  <si>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</si>
  <si>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</si>
  <si>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</si>
  <si>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</si>
  <si>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</si>
  <si>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</si>
  <si>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</si>
  <si>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</si>
  <si>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</si>
  <si>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</si>
  <si>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</si>
  <si>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</si>
  <si>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</si>
  <si>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</si>
  <si>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</si>
  <si>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</si>
  <si>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</si>
  <si>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</si>
  <si>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</si>
  <si>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</si>
  <si>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</si>
  <si>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</si>
  <si>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</si>
  <si>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</si>
  <si>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</si>
  <si>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</si>
  <si>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</si>
  <si>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</si>
  <si>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</si>
  <si>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</si>
  <si>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</si>
  <si>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</si>
  <si>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</si>
  <si>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</si>
  <si>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</si>
  <si>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</si>
  <si>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</si>
  <si>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</si>
  <si>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</si>
  <si>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</si>
  <si>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</si>
  <si>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</si>
  <si>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</si>
  <si>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</si>
  <si>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</si>
  <si>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</si>
  <si>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</si>
  <si>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</si>
  <si>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</si>
  <si>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</si>
  <si>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</si>
  <si>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</si>
  <si>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</si>
  <si>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</si>
  <si>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</si>
  <si>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</si>
  <si>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</si>
  <si>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</si>
  <si>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</si>
  <si>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</si>
  <si>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</si>
  <si>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</si>
  <si>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</si>
  <si>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</si>
  <si>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</si>
  <si>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</si>
  <si>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</si>
  <si>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</si>
  <si>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</si>
  <si>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</si>
  <si>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</si>
  <si>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</si>
  <si>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</si>
  <si>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</si>
  <si>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</si>
  <si>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</si>
  <si>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</si>
  <si>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</si>
  <si>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</si>
  <si>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</si>
  <si>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</si>
  <si>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</si>
  <si>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</si>
  <si>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</si>
  <si>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</si>
  <si>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</si>
  <si>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</si>
  <si>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</si>
  <si>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</si>
  <si>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</si>
  <si>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</si>
  <si>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</si>
  <si>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</si>
  <si>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</si>
  <si>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</si>
  <si>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</si>
  <si>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</si>
  <si>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</si>
  <si>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</si>
  <si>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</si>
  <si>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</si>
  <si>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</si>
  <si>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</si>
  <si>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</si>
  <si>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</si>
  <si>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</si>
  <si>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</si>
  <si>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</si>
  <si>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</si>
  <si>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</si>
  <si>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</si>
  <si>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</si>
  <si>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</si>
  <si>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</si>
  <si>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</si>
  <si>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</si>
  <si>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</si>
  <si>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</si>
  <si>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</si>
  <si>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</si>
  <si>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</si>
  <si>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</si>
  <si>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</si>
  <si>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</si>
  <si>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</si>
  <si>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</si>
  <si>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</si>
  <si>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</si>
  <si>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</si>
  <si>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</si>
  <si>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</si>
  <si>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</si>
  <si>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</si>
  <si>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</si>
  <si>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</si>
  <si>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</si>
  <si>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</si>
  <si>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</si>
  <si>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</si>
  <si>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</si>
  <si>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</si>
  <si>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</si>
  <si>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</si>
  <si>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</si>
  <si>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</si>
  <si>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</si>
  <si>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</si>
  <si>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</si>
  <si>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</si>
  <si>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</si>
  <si>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</si>
  <si>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</si>
  <si>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</si>
  <si>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</si>
  <si>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</si>
  <si>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</si>
  <si>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</si>
  <si>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</si>
  <si>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</si>
  <si>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</si>
  <si>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</si>
  <si>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</si>
  <si>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</si>
  <si>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</si>
  <si>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</si>
  <si>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</si>
  <si>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</si>
  <si>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</si>
  <si>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</si>
  <si>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</si>
  <si>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</si>
  <si>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</si>
  <si>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</si>
  <si>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</si>
  <si>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</si>
  <si>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</si>
  <si>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</si>
  <si>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</si>
  <si>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</si>
  <si>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</si>
  <si>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</si>
  <si>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</si>
  <si>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</si>
  <si>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</si>
  <si>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</si>
  <si>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</si>
  <si>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</si>
  <si>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</si>
  <si>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</si>
  <si>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</si>
  <si>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</si>
  <si>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</si>
  <si>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</si>
  <si>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</si>
  <si>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</si>
  <si>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</si>
  <si>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</si>
  <si>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</si>
  <si>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</si>
  <si>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</si>
  <si>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</si>
  <si>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</si>
  <si>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</si>
  <si>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</si>
  <si>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</si>
  <si>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</si>
  <si>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</si>
  <si>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</si>
  <si>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</si>
  <si>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</si>
  <si>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</si>
  <si>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</si>
  <si>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</si>
  <si>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</si>
  <si>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</si>
  <si>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</si>
  <si>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</si>
  <si>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</si>
  <si>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</si>
  <si>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</si>
  <si>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</si>
  <si>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</si>
  <si>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</si>
  <si>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</si>
  <si>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</si>
  <si>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</si>
  <si>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</si>
  <si>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</si>
  <si>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</si>
  <si>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</si>
  <si>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</si>
  <si>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</si>
  <si>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</si>
  <si>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</si>
  <si>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</si>
  <si>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</si>
  <si>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</si>
  <si>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</si>
  <si>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</si>
  <si>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</si>
  <si>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</si>
  <si>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</si>
  <si>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</si>
  <si>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</si>
  <si>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</si>
  <si>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</si>
  <si>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</si>
  <si>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</si>
  <si>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</si>
  <si>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</si>
  <si>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</si>
  <si>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</si>
  <si>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</si>
  <si>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</si>
  <si>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</si>
  <si>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</si>
  <si>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</si>
  <si>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</si>
  <si>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</si>
  <si>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</si>
  <si>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</si>
  <si>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</si>
  <si>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</si>
  <si>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</si>
  <si>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</si>
  <si>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</si>
  <si>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</si>
  <si>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</si>
  <si>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</si>
  <si>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</si>
  <si>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</si>
  <si>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</si>
  <si>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</si>
  <si>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</si>
  <si>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</si>
  <si>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</si>
  <si>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</si>
  <si>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</si>
  <si>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</si>
  <si>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</si>
  <si>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</si>
  <si>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</si>
  <si>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</si>
  <si>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</si>
  <si>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</si>
  <si>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</si>
  <si>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</si>
  <si>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</si>
  <si>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</si>
  <si>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</si>
  <si>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</si>
  <si>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</si>
  <si>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</si>
  <si>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</si>
  <si>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</si>
  <si>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</si>
  <si>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</si>
  <si>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</si>
  <si>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</si>
  <si>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</si>
  <si>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</si>
  <si>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</si>
  <si>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</si>
  <si>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</si>
  <si>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</si>
  <si>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</si>
  <si>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</si>
  <si>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</si>
  <si>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</si>
  <si>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</si>
  <si>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</si>
  <si>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</si>
  <si>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</si>
  <si>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</si>
  <si>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</si>
  <si>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</si>
  <si>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</si>
  <si>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</si>
  <si>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</si>
  <si>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</si>
  <si>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</si>
  <si>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</si>
  <si>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</si>
  <si>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</si>
  <si>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</si>
  <si>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</si>
  <si>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</si>
  <si>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</si>
  <si>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</si>
  <si>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</si>
  <si>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</si>
  <si>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</si>
  <si>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</si>
  <si>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</si>
  <si>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</si>
  <si>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</si>
  <si>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</si>
  <si>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</si>
  <si>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</si>
  <si>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</si>
  <si>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</si>
  <si>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</si>
  <si>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</si>
  <si>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</si>
  <si>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</si>
  <si>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</si>
  <si>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</si>
  <si>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</si>
  <si>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</si>
  <si>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</si>
  <si>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</si>
  <si>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</si>
  <si>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</si>
  <si>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</si>
  <si>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</si>
  <si>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</si>
  <si>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</si>
  <si>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</si>
  <si>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</si>
  <si>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</si>
  <si>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</si>
  <si>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</si>
  <si>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</si>
  <si>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</si>
  <si>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</si>
  <si>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</si>
  <si>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</si>
  <si>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</si>
  <si>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</si>
  <si>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</si>
  <si>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</si>
  <si>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</si>
  <si>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</si>
  <si>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</si>
  <si>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</si>
  <si>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</si>
  <si>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</si>
  <si>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</si>
  <si>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</si>
  <si>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</si>
  <si>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</si>
  <si>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</si>
  <si>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</si>
  <si>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</si>
  <si>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</si>
  <si>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</si>
  <si>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</si>
  <si>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</si>
  <si>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</si>
  <si>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</si>
  <si>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</si>
  <si>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</si>
  <si>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</si>
  <si>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</si>
  <si>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</si>
  <si>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</si>
  <si>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</si>
  <si>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</si>
  <si>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</si>
  <si>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</si>
  <si>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</si>
  <si>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</si>
  <si>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</si>
  <si>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</si>
  <si>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</si>
  <si>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</si>
  <si>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</si>
  <si>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</si>
  <si>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</si>
  <si>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</si>
  <si>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</si>
  <si>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</si>
  <si>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</si>
  <si>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</si>
  <si>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</si>
  <si>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</si>
  <si>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</si>
  <si>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</si>
  <si>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</si>
  <si>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</si>
  <si>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</si>
  <si>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</si>
  <si>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</si>
  <si>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</si>
  <si>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</si>
  <si>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</si>
  <si>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</si>
  <si>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</si>
  <si>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</si>
  <si>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</si>
  <si>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</si>
  <si>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</si>
  <si>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</si>
  <si>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</si>
  <si>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</si>
  <si>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</si>
  <si>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</si>
  <si>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</si>
  <si>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</si>
  <si>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</si>
  <si>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</si>
  <si>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</si>
  <si>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</si>
  <si>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</si>
  <si>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</si>
  <si>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</si>
  <si>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</si>
  <si>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</si>
  <si>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</si>
  <si>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</si>
  <si>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</si>
  <si>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</si>
  <si>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</si>
  <si>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</si>
  <si>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</si>
  <si>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</si>
  <si>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</si>
  <si>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</si>
  <si>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</si>
  <si>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</si>
  <si>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</si>
  <si>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</si>
  <si>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</si>
  <si>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</si>
  <si>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</si>
  <si>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</si>
  <si>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</si>
  <si>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</si>
  <si>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</si>
  <si>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</si>
  <si>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</si>
  <si>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</si>
  <si>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</si>
  <si>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</si>
  <si>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</si>
  <si>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</si>
  <si>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</si>
  <si>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</si>
  <si>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</si>
  <si>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</si>
  <si>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</si>
  <si>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</si>
  <si>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</si>
  <si>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</si>
  <si>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</si>
  <si>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</si>
  <si>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</si>
  <si>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</si>
  <si>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</si>
  <si>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</si>
  <si>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</si>
  <si>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</si>
  <si>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</si>
  <si>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</si>
  <si>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</si>
  <si>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</si>
  <si>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</si>
  <si>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</si>
  <si>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</si>
  <si>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</si>
  <si>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</si>
  <si>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</si>
  <si>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</si>
  <si>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</si>
  <si>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</si>
  <si>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</si>
  <si>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</si>
  <si>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</si>
  <si>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</si>
  <si>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</si>
  <si>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</si>
  <si>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</si>
  <si>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</si>
  <si>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</si>
  <si>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</si>
  <si>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</si>
  <si>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</si>
  <si>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</si>
  <si>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</si>
  <si>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</si>
  <si>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</si>
  <si>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</si>
  <si>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</si>
  <si>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</si>
  <si>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</si>
  <si>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</si>
  <si>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</si>
  <si>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</si>
  <si>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</si>
  <si>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</si>
  <si>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</si>
  <si>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</si>
  <si>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</si>
  <si>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</si>
  <si>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</si>
  <si>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</si>
  <si>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</si>
  <si>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</si>
  <si>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</si>
  <si>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</si>
  <si>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</si>
  <si>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</si>
  <si>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</si>
  <si>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</si>
  <si>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</si>
  <si>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</si>
  <si>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</si>
  <si>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</si>
  <si>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</si>
  <si>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</si>
  <si>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</si>
  <si>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</si>
  <si>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</si>
  <si>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</si>
  <si>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</si>
  <si>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</si>
  <si>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</si>
  <si>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</si>
  <si>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</si>
  <si>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</si>
  <si>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</si>
  <si>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</si>
  <si>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</si>
  <si>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</si>
  <si>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</si>
  <si>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</si>
  <si>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</si>
  <si>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</si>
  <si>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</si>
  <si>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</si>
  <si>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</si>
  <si>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</si>
  <si>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</si>
  <si>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</si>
  <si>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</si>
  <si>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</si>
  <si>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</si>
  <si>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</si>
  <si>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</si>
  <si>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</si>
  <si>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</si>
  <si>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</si>
  <si>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</si>
  <si>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</si>
  <si>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</si>
  <si>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</si>
  <si>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</si>
  <si>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</si>
  <si>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</si>
  <si>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</si>
  <si>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</si>
  <si>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</si>
  <si>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</si>
  <si>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</si>
  <si>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</si>
  <si>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</si>
  <si>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</si>
  <si>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</si>
  <si>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</si>
  <si>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</si>
  <si>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</si>
  <si>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</si>
  <si>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</si>
  <si>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</si>
  <si>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</si>
  <si>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</si>
  <si>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</si>
  <si>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</si>
  <si>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</si>
  <si>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</si>
  <si>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</si>
  <si>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</si>
  <si>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</si>
  <si>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</si>
  <si>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</si>
  <si>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</si>
  <si>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</si>
  <si>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</si>
  <si>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</si>
  <si>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</si>
  <si>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</si>
  <si>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</si>
  <si>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</si>
  <si>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</si>
  <si>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</si>
  <si>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</si>
  <si>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</si>
  <si>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</si>
  <si>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</si>
  <si>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</si>
  <si>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</si>
  <si>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</si>
  <si>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</si>
  <si>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</si>
  <si>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</si>
  <si>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</si>
  <si>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</si>
  <si>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</si>
  <si>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</si>
  <si>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</si>
  <si>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</si>
  <si>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</si>
  <si>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</si>
  <si>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</si>
  <si>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</si>
  <si>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</si>
  <si>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</si>
  <si>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</si>
  <si>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</si>
  <si>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</si>
  <si>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</si>
  <si>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</si>
  <si>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</si>
  <si>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</si>
  <si>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</si>
  <si>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</si>
  <si>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</si>
  <si>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</si>
  <si>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</si>
  <si>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</si>
  <si>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</si>
  <si>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</si>
  <si>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</si>
  <si>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</si>
  <si>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</si>
  <si>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</si>
  <si>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</si>
  <si>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</si>
  <si>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</si>
  <si>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</si>
  <si>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</si>
  <si>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</si>
  <si>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</si>
  <si>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</si>
  <si>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</si>
  <si>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</si>
  <si>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</si>
  <si>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</si>
  <si>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</si>
  <si>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</si>
  <si>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</si>
  <si>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</si>
  <si>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</si>
  <si>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</si>
  <si>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</si>
  <si>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</si>
  <si>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</si>
  <si>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</si>
  <si>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</si>
  <si>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</si>
  <si>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</si>
  <si>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</si>
  <si>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</si>
  <si>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</si>
  <si>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</si>
  <si>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</si>
  <si>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</si>
  <si>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</si>
  <si>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</si>
  <si>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</si>
  <si>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</si>
  <si>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</si>
  <si>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</si>
  <si>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</si>
  <si>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</si>
  <si>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</si>
  <si>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</si>
  <si>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</si>
  <si>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</si>
  <si>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</si>
  <si>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</si>
  <si>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</si>
  <si>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</si>
  <si>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</si>
  <si>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</si>
  <si>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</si>
  <si>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</si>
  <si>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</si>
  <si>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</si>
  <si>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</si>
  <si>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</si>
  <si>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</si>
  <si>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</si>
  <si>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</si>
  <si>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</si>
  <si>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</si>
  <si>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</si>
  <si>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</si>
  <si>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</si>
  <si>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</si>
  <si>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</si>
  <si>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</si>
  <si>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</si>
  <si>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</si>
  <si>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</si>
  <si>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</si>
  <si>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</si>
  <si>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</si>
  <si>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</si>
  <si>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</si>
  <si>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</si>
  <si>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</si>
  <si>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</si>
  <si>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</si>
  <si>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</si>
  <si>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</si>
  <si>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</si>
  <si>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</si>
  <si>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</si>
  <si>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</si>
  <si>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</si>
  <si>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</si>
  <si>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</si>
  <si>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</si>
  <si>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</si>
  <si>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</si>
  <si>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</si>
  <si>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</si>
  <si>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</si>
  <si>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</si>
  <si>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</si>
  <si>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</si>
  <si>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</si>
  <si>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</si>
  <si>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</si>
  <si>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</si>
  <si>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</si>
  <si>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</si>
  <si>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</si>
  <si>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</si>
  <si>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</si>
  <si>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</si>
  <si>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</si>
  <si>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</si>
  <si>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</si>
  <si>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</si>
  <si>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</si>
  <si>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</si>
  <si>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</si>
  <si>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</si>
  <si>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</si>
  <si>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</si>
  <si>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</si>
  <si>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</si>
  <si>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</si>
  <si>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</si>
  <si>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</si>
  <si>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</si>
  <si>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</si>
  <si>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</si>
  <si>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</si>
  <si>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</si>
  <si>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</si>
  <si>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</si>
  <si>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</si>
  <si>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</si>
  <si>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</si>
  <si>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</si>
  <si>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</si>
  <si>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</si>
  <si>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</si>
  <si>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</si>
  <si>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</si>
  <si>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</si>
  <si>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</si>
  <si>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</si>
  <si>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</si>
  <si>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</si>
  <si>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</si>
  <si>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</si>
  <si>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</si>
  <si>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</si>
  <si>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</si>
  <si>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</si>
  <si>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</si>
  <si>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</si>
  <si>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</si>
  <si>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</si>
  <si>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</si>
  <si>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</si>
  <si>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</si>
  <si>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</si>
  <si>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</si>
  <si>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</si>
  <si>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</si>
  <si>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</si>
  <si>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</si>
  <si>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</si>
  <si>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</si>
  <si>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</si>
  <si>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</si>
  <si>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</si>
  <si>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</si>
  <si>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</si>
  <si>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</si>
  <si>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</si>
  <si>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</si>
  <si>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</si>
  <si>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</si>
  <si>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</si>
  <si>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</si>
  <si>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</si>
  <si>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</si>
  <si>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</si>
  <si>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</si>
  <si>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</si>
  <si>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</si>
  <si>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</si>
  <si>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</si>
  <si>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</si>
  <si>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</si>
  <si>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</si>
  <si>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</si>
  <si>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</si>
  <si>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</si>
  <si>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</si>
  <si>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</si>
  <si>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</si>
  <si>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</si>
  <si>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</si>
  <si>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</si>
  <si>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</si>
  <si>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</si>
  <si>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</si>
  <si>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</si>
  <si>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</si>
  <si>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</si>
  <si>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</si>
  <si>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</si>
  <si>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</si>
  <si>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</si>
  <si>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</si>
  <si>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</si>
  <si>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</si>
  <si>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</si>
  <si>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</si>
  <si>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</si>
  <si>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</si>
  <si>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</si>
  <si>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</si>
  <si>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</si>
  <si>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</si>
  <si>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</si>
  <si>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</si>
  <si>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</si>
  <si>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</si>
  <si>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</si>
  <si>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</si>
  <si>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</si>
  <si>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</si>
  <si>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</si>
  <si>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</si>
  <si>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</si>
  <si>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</si>
  <si>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</si>
  <si>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</si>
  <si>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</si>
  <si>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</si>
  <si>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</si>
  <si>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</si>
  <si>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</si>
  <si>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</si>
  <si>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</si>
  <si>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</si>
  <si>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</si>
  <si>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</si>
  <si>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</si>
  <si>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</si>
  <si>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</si>
  <si>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</si>
  <si>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</si>
  <si>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</si>
  <si>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</si>
  <si>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</si>
  <si>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</si>
  <si>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</si>
  <si>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</si>
  <si>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</si>
  <si>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</si>
  <si>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</si>
  <si>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</si>
  <si>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</si>
  <si>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</si>
  <si>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</si>
  <si>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</si>
  <si>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</si>
  <si>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</si>
  <si>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</si>
  <si>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</si>
  <si>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</si>
  <si>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</si>
  <si>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</si>
  <si>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</si>
  <si>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</si>
  <si>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</si>
  <si>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</si>
  <si>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</si>
  <si>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</si>
  <si>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</si>
  <si>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</si>
  <si>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</si>
  <si>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</si>
  <si>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</si>
  <si>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</si>
  <si>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</si>
  <si>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</si>
  <si>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</si>
  <si>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</si>
  <si>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</si>
  <si>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</si>
  <si>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</si>
  <si>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</si>
  <si>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</si>
  <si>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</si>
  <si>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</si>
  <si>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</si>
  <si>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</si>
  <si>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</si>
  <si>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</si>
  <si>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</si>
  <si>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</si>
  <si>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</si>
  <si>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</si>
  <si>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</si>
  <si>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</si>
  <si>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</si>
  <si>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</si>
  <si>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</si>
  <si>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</si>
  <si>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</si>
  <si>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</si>
  <si>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</si>
  <si>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</si>
  <si>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</si>
  <si>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</si>
  <si>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</si>
  <si>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</si>
  <si>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</si>
  <si>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</si>
  <si>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</si>
  <si>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</si>
  <si>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</si>
  <si>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</si>
  <si>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</si>
  <si>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</si>
  <si>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</si>
  <si>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</si>
  <si>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</si>
  <si>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</si>
  <si>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</si>
  <si>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</si>
  <si>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</si>
  <si>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</si>
  <si>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</si>
  <si>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</si>
  <si>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</si>
  <si>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</si>
  <si>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</si>
  <si>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</si>
  <si>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</si>
  <si>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</si>
  <si>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</si>
  <si>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</si>
  <si>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</si>
  <si>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</si>
  <si>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</si>
  <si>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</si>
  <si>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</si>
  <si>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</si>
  <si>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</si>
  <si>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</si>
  <si>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</si>
  <si>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</si>
  <si>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</si>
  <si>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</si>
  <si>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</si>
  <si>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</si>
  <si>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</si>
  <si>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</si>
  <si>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</si>
  <si>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</si>
  <si>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</si>
  <si>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</si>
  <si>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</si>
  <si>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</si>
  <si>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</si>
  <si>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</si>
  <si>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</si>
  <si>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</si>
  <si>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</si>
  <si>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</si>
  <si>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</si>
  <si>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</si>
  <si>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</si>
  <si>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</si>
  <si>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</si>
  <si>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</si>
  <si>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</si>
  <si>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</si>
  <si>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</si>
  <si>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</si>
  <si>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</si>
  <si>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</si>
  <si>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</si>
  <si>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</si>
  <si>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</si>
  <si>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</si>
  <si>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</si>
  <si>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</si>
  <si>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</si>
  <si>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</si>
  <si>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</si>
  <si>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</si>
  <si>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</si>
  <si>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</si>
  <si>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</si>
  <si>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</si>
  <si>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</si>
  <si>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</si>
  <si>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</si>
  <si>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</si>
  <si>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</si>
  <si>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</si>
  <si>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</si>
  <si>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</si>
  <si>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</si>
  <si>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</si>
  <si>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</si>
  <si>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</si>
  <si>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</si>
  <si>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</si>
  <si>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</si>
  <si>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</si>
  <si>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</si>
  <si>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</si>
  <si>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</si>
  <si>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</si>
  <si>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</si>
  <si>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</si>
  <si>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</si>
  <si>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</si>
  <si>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</si>
  <si>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</si>
  <si>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</si>
  <si>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</si>
  <si>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</si>
  <si>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</si>
  <si>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</si>
  <si>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</si>
  <si>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</si>
  <si>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</si>
  <si>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</si>
  <si>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</si>
  <si>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</si>
  <si>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</si>
  <si>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</si>
  <si>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</si>
  <si>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</si>
  <si>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</si>
  <si>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</si>
  <si>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</si>
  <si>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</si>
  <si>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</si>
  <si>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</si>
  <si>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</si>
  <si>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</si>
  <si>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</si>
  <si>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</si>
  <si>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</si>
  <si>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</si>
  <si>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</si>
  <si>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</si>
  <si>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</si>
  <si>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</si>
  <si>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</si>
  <si>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</si>
  <si>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</si>
  <si>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</si>
  <si>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</si>
  <si>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</si>
  <si>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</si>
  <si>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</si>
  <si>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</si>
  <si>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</si>
  <si>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</si>
  <si>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</si>
  <si>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</si>
  <si>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</si>
  <si>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</si>
  <si>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</si>
  <si>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</si>
  <si>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</si>
  <si>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</si>
  <si>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</si>
  <si>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</si>
  <si>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</si>
  <si>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</si>
  <si>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</si>
  <si>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</si>
  <si>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</si>
  <si>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</si>
  <si>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</si>
  <si>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</si>
  <si>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</si>
  <si>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</si>
  <si>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</si>
  <si>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</si>
  <si>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</si>
  <si>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</si>
  <si>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</si>
  <si>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</si>
  <si>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</si>
  <si>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</si>
  <si>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</si>
  <si>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</si>
  <si>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</si>
  <si>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</si>
  <si>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</si>
  <si>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</si>
  <si>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</si>
  <si>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</si>
  <si>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</si>
  <si>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</si>
  <si>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</si>
  <si>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</si>
  <si>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</si>
  <si>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</si>
  <si>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</si>
  <si>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</si>
  <si>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</si>
  <si>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</si>
  <si>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</si>
  <si>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</si>
  <si>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</si>
  <si>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</si>
  <si>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</si>
  <si>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</si>
  <si>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</si>
  <si>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</si>
  <si>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</si>
  <si>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</si>
  <si>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</si>
  <si>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</si>
  <si>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</si>
  <si>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</si>
  <si>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</si>
  <si>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</si>
  <si>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</si>
  <si>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</si>
  <si>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</si>
  <si>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</si>
  <si>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</si>
  <si>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</si>
  <si>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</si>
  <si>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</si>
  <si>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</si>
  <si>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</si>
  <si>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</si>
  <si>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</si>
  <si>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</si>
  <si>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</si>
  <si>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</si>
  <si>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</si>
  <si>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</si>
  <si>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</si>
  <si>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</si>
  <si>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</si>
  <si>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</si>
  <si>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</si>
  <si>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</si>
  <si>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</si>
  <si>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</si>
  <si>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</si>
  <si>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</si>
  <si>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</si>
  <si>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</si>
  <si>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</si>
  <si>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</si>
  <si>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</si>
  <si>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</si>
  <si>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</si>
  <si>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</si>
  <si>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</si>
  <si>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</si>
  <si>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</si>
  <si>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</si>
  <si>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</si>
  <si>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</si>
  <si>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</si>
  <si>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</si>
  <si>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</si>
  <si>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</si>
  <si>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</si>
  <si>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</si>
  <si>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</si>
  <si>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</si>
  <si>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</si>
  <si>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</si>
  <si>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</si>
  <si>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</si>
  <si>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</si>
  <si>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</si>
  <si>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</si>
  <si>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</si>
  <si>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</si>
  <si>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</si>
  <si>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</si>
  <si>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</si>
  <si>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</si>
  <si>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</si>
  <si>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</si>
  <si>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</si>
  <si>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</si>
  <si>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</si>
  <si>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</si>
  <si>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</si>
  <si>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</si>
  <si>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</si>
  <si>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</si>
  <si>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</si>
  <si>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</si>
  <si>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</si>
  <si>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</si>
  <si>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</si>
  <si>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</si>
  <si>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</si>
  <si>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</si>
  <si>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</si>
  <si>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</si>
  <si>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</si>
  <si>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</si>
  <si>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</si>
  <si>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</si>
  <si>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</si>
  <si>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</si>
  <si>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</si>
  <si>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</si>
  <si>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</si>
  <si>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</si>
  <si>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</si>
  <si>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</si>
  <si>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</si>
  <si>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</si>
  <si>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</si>
  <si>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</si>
  <si>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</si>
  <si>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</si>
  <si>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</si>
  <si>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</si>
  <si>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</si>
  <si>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</si>
  <si>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</si>
  <si>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</si>
  <si>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</si>
  <si>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</si>
  <si>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</si>
  <si>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</si>
  <si>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</si>
  <si>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</si>
  <si>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</si>
  <si>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</si>
  <si>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</si>
  <si>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</si>
  <si>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</si>
  <si>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</si>
  <si>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</si>
  <si>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</si>
  <si>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</si>
  <si>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</si>
  <si>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</si>
  <si>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</si>
  <si>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</si>
  <si>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</si>
  <si>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</si>
  <si>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</si>
  <si>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</si>
  <si>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</si>
  <si>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</si>
  <si>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</si>
  <si>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</si>
  <si>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</si>
  <si>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</si>
  <si>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</si>
  <si>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</si>
  <si>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</si>
  <si>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</si>
  <si>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</si>
  <si>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</si>
  <si>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</si>
  <si>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</si>
  <si>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</si>
  <si>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</si>
  <si>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</si>
  <si>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</si>
  <si>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</si>
  <si>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</si>
  <si>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</si>
  <si>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</si>
  <si>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</si>
  <si>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</si>
  <si>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</si>
  <si>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</si>
  <si>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</si>
  <si>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</si>
  <si>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</si>
  <si>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</si>
  <si>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</si>
  <si>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</si>
  <si>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</si>
  <si>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</si>
  <si>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</si>
  <si>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</si>
  <si>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</si>
  <si>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</si>
  <si>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</si>
  <si>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</si>
  <si>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</si>
  <si>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</si>
  <si>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</si>
  <si>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</si>
  <si>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</si>
  <si>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</si>
  <si>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</si>
  <si>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</si>
  <si>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</si>
  <si>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</si>
  <si>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</si>
  <si>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</si>
  <si>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</si>
  <si>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</si>
  <si>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</si>
  <si>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</si>
  <si>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</si>
  <si>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</si>
  <si>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</si>
  <si>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</si>
  <si>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</si>
  <si>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</si>
  <si>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</si>
  <si>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</si>
  <si>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</si>
  <si>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</si>
  <si>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</si>
  <si>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</si>
  <si>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</si>
  <si>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</si>
  <si>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</si>
  <si>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</si>
  <si>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</si>
  <si>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</si>
  <si>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</si>
  <si>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</si>
  <si>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</si>
  <si>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</si>
  <si>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</si>
  <si>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</si>
  <si>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</si>
  <si>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</si>
  <si>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</si>
  <si>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</si>
  <si>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</si>
  <si>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</si>
  <si>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</si>
  <si>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</si>
  <si>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</si>
  <si>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</si>
  <si>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</si>
  <si>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</si>
  <si>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</si>
  <si>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</si>
  <si>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</si>
  <si>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</si>
  <si>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</si>
  <si>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</si>
  <si>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</si>
  <si>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</si>
  <si>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</si>
  <si>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</si>
  <si>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</si>
  <si>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</si>
  <si>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</si>
  <si>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</si>
  <si>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</si>
  <si>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</si>
  <si>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</si>
  <si>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</si>
  <si>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</si>
  <si>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</si>
  <si>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</si>
  <si>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</si>
  <si>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</si>
  <si>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</si>
  <si>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</si>
  <si>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</si>
  <si>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</si>
  <si>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</si>
  <si>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</si>
  <si>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</si>
  <si>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</si>
  <si>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</si>
  <si>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</si>
  <si>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</si>
  <si>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</si>
  <si>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</si>
  <si>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</si>
  <si>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</si>
  <si>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</si>
  <si>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</si>
  <si>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</si>
  <si>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</si>
  <si>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</si>
  <si>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</si>
  <si>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</si>
  <si>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</si>
  <si>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</si>
  <si>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</si>
  <si>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</si>
  <si>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</si>
  <si>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</si>
  <si>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</si>
  <si>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</si>
  <si>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</si>
  <si>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</si>
  <si>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</si>
  <si>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</si>
  <si>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</si>
  <si>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</si>
  <si>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</si>
  <si>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</si>
  <si>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</si>
  <si>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</si>
  <si>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</si>
  <si>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</si>
  <si>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</si>
  <si>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</si>
  <si>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</si>
  <si>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</si>
  <si>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</si>
  <si>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</si>
  <si>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</si>
  <si>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</si>
  <si>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</si>
  <si>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</si>
  <si>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</si>
  <si>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</si>
  <si>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</si>
  <si>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</si>
  <si>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</si>
  <si>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</si>
  <si>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</si>
  <si>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</si>
  <si>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</si>
  <si>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</si>
  <si>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</si>
  <si>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</si>
  <si>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</si>
  <si>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</si>
  <si>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</si>
  <si>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</si>
  <si>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</si>
  <si>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</si>
  <si>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</si>
  <si>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</si>
  <si>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</si>
  <si>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</si>
  <si>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</si>
  <si>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</si>
  <si>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</si>
  <si>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</si>
  <si>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</si>
  <si>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</si>
  <si>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</si>
  <si>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</si>
  <si>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</si>
  <si>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</si>
  <si>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</si>
  <si>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</si>
  <si>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</si>
  <si>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</si>
  <si>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</si>
  <si>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</si>
  <si>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</si>
  <si>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</si>
  <si>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</si>
  <si>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</si>
  <si>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</si>
  <si>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</si>
  <si>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</si>
  <si>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</si>
  <si>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</si>
  <si>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</si>
  <si>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</si>
  <si>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</si>
  <si>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</si>
  <si>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</si>
  <si>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</si>
  <si>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</si>
  <si>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</si>
  <si>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</si>
  <si>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</si>
  <si>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</si>
  <si>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</si>
  <si>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</si>
  <si>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</si>
  <si>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</si>
  <si>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</si>
  <si>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</si>
  <si>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</si>
  <si>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</si>
  <si>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</si>
  <si>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</si>
  <si>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</si>
  <si>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</si>
  <si>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</si>
  <si>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</si>
  <si>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</si>
  <si>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</si>
  <si>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</si>
  <si>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</si>
  <si>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</si>
  <si>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</si>
  <si>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</si>
  <si>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</si>
  <si>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</si>
  <si>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</si>
  <si>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</si>
  <si>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</si>
  <si>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</si>
  <si>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</si>
  <si>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</si>
  <si>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</si>
  <si>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</si>
  <si>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</si>
  <si>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</si>
  <si>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</si>
  <si>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</si>
  <si>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</si>
  <si>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</si>
  <si>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</si>
  <si>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</si>
  <si>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</si>
  <si>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</si>
  <si>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</si>
  <si>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</si>
  <si>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</si>
  <si>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</si>
  <si>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</si>
  <si>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</si>
  <si>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</si>
  <si>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</si>
  <si>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</si>
  <si>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</si>
  <si>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</si>
  <si>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</si>
  <si>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</si>
  <si>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</si>
  <si>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</si>
  <si>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</si>
  <si>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</si>
  <si>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</si>
  <si>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</si>
  <si>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</si>
  <si>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</si>
  <si>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</si>
  <si>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</si>
  <si>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</si>
  <si>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</si>
  <si>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</si>
  <si>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</si>
  <si>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</si>
  <si>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</si>
  <si>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</si>
  <si>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</si>
  <si>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</si>
  <si>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</si>
  <si>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</si>
  <si>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</si>
  <si>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</si>
  <si>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</si>
  <si>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</si>
  <si>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</si>
  <si>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</si>
  <si>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</si>
  <si>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</si>
  <si>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</si>
  <si>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</si>
  <si>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</si>
  <si>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</si>
  <si>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</si>
  <si>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</si>
  <si>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</si>
  <si>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</si>
  <si>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</si>
  <si>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</si>
  <si>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</si>
  <si>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</si>
  <si>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</si>
  <si>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</si>
  <si>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</si>
  <si>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</si>
  <si>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</si>
  <si>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</si>
  <si>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</si>
  <si>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</si>
  <si>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</si>
  <si>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</si>
  <si>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</si>
  <si>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</si>
  <si>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</si>
  <si>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</si>
  <si>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</si>
  <si>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</si>
  <si>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</si>
  <si>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</si>
  <si>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</si>
  <si>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</si>
  <si>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</si>
  <si>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</si>
  <si>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</si>
  <si>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</si>
  <si>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</si>
  <si>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</si>
  <si>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</si>
  <si>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</si>
  <si>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</si>
  <si>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</si>
  <si>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</si>
  <si>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</si>
  <si>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</si>
  <si>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</si>
  <si>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</si>
  <si>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</si>
  <si>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</si>
  <si>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</si>
  <si>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</si>
  <si>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</si>
  <si>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</si>
  <si>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</si>
  <si>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</si>
  <si>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</si>
  <si>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</si>
  <si>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</si>
  <si>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</si>
  <si>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</si>
  <si>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</si>
  <si>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</si>
  <si>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</si>
  <si>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</si>
  <si>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</si>
  <si>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</si>
  <si>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</si>
  <si>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</si>
  <si>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</si>
  <si>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</si>
  <si>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</si>
  <si>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</si>
  <si>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</si>
  <si>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</si>
  <si>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</si>
  <si>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</si>
  <si>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</si>
  <si>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</si>
  <si>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</si>
  <si>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</si>
  <si>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</si>
  <si>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</si>
  <si>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</si>
  <si>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</si>
  <si>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</si>
  <si>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</si>
  <si>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</si>
  <si>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</si>
  <si>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</si>
  <si>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</si>
  <si>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</si>
  <si>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</si>
  <si>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</si>
  <si>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</si>
  <si>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</si>
  <si>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</si>
  <si>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</si>
  <si>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</si>
  <si>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</si>
  <si>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</si>
  <si>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</si>
  <si>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</si>
  <si>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</si>
  <si>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</si>
  <si>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</si>
  <si>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</si>
  <si>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</si>
  <si>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</si>
  <si>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</si>
  <si>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</si>
  <si>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</si>
  <si>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</si>
  <si>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</si>
  <si>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</si>
  <si>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</si>
  <si>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</si>
  <si>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</si>
  <si>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</si>
  <si>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</si>
  <si>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</si>
  <si>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</si>
  <si>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</si>
  <si>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</si>
  <si>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</si>
  <si>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</si>
  <si>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</si>
  <si>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</si>
  <si>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</si>
  <si>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</si>
  <si>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</si>
  <si>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</si>
  <si>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</si>
  <si>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</si>
  <si>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</si>
  <si>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</si>
  <si>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</si>
  <si>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</si>
  <si>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</si>
  <si>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</si>
  <si>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</si>
  <si>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</si>
  <si>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</si>
  <si>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</si>
  <si>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</si>
  <si>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</si>
  <si>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</si>
  <si>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</si>
  <si>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</si>
  <si>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</si>
  <si>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</si>
  <si>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</si>
  <si>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</si>
  <si>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</si>
  <si>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</si>
  <si>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</si>
  <si>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</si>
  <si>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</si>
  <si>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</si>
  <si>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</si>
  <si>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</si>
  <si>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</si>
  <si>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</si>
  <si>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</si>
  <si>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</si>
  <si>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</si>
  <si>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</si>
  <si>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</si>
  <si>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</si>
  <si>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</si>
  <si>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</si>
  <si>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</si>
  <si>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</si>
  <si>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</si>
  <si>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</si>
  <si>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</si>
  <si>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</si>
  <si>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</si>
  <si>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</si>
  <si>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</si>
  <si>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</si>
  <si>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</si>
  <si>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</si>
  <si>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</si>
  <si>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</si>
  <si>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</si>
  <si>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</si>
  <si>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</si>
  <si>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</si>
  <si>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</si>
  <si>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</si>
  <si>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</si>
  <si>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</si>
  <si>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</si>
  <si>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</si>
  <si>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</si>
  <si>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</si>
  <si>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</si>
  <si>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</si>
  <si>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</si>
  <si>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</si>
  <si>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</si>
  <si>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</si>
  <si>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</si>
  <si>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</si>
  <si>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</si>
  <si>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</si>
  <si>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</si>
  <si>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</si>
  <si>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</si>
  <si>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</si>
  <si>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</si>
  <si>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</si>
  <si>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</si>
  <si>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</si>
  <si>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</si>
  <si>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</si>
  <si>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</si>
  <si>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</si>
  <si>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</si>
  <si>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</si>
  <si>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</si>
  <si>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</si>
  <si>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</si>
  <si>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</si>
  <si>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</si>
  <si>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</si>
  <si>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</si>
  <si>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</si>
  <si>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</si>
  <si>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</si>
  <si>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</si>
  <si>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</si>
  <si>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</si>
  <si>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</si>
  <si>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</si>
  <si>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</si>
  <si>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</si>
  <si>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</si>
  <si>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</si>
  <si>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</si>
  <si>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</si>
  <si>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</si>
  <si>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</si>
  <si>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</si>
  <si>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</si>
  <si>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</si>
  <si>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</si>
  <si>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</si>
  <si>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</si>
  <si>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</si>
  <si>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</si>
  <si>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</si>
  <si>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</si>
  <si>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</si>
  <si>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</si>
  <si>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</si>
  <si>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</si>
  <si>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</si>
  <si>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</si>
  <si>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</si>
  <si>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</si>
  <si>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</si>
  <si>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</si>
  <si>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</si>
  <si>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</si>
  <si>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</si>
  <si>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</si>
  <si>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</si>
  <si>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</si>
  <si>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</si>
  <si>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</si>
  <si>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</si>
  <si>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</si>
  <si>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</si>
  <si>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</si>
  <si>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</si>
  <si>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</si>
  <si>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</si>
  <si>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</si>
  <si>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</si>
  <si>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</si>
  <si>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</si>
  <si>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</si>
  <si>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</si>
  <si>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</si>
  <si>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</si>
  <si>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</si>
  <si>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</si>
  <si>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</si>
  <si>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</si>
  <si>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</si>
  <si>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</si>
  <si>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</si>
  <si>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</si>
  <si>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</si>
  <si>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</si>
  <si>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</si>
  <si>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</si>
  <si>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</si>
  <si>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</si>
  <si>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</si>
  <si>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</si>
  <si>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</si>
  <si>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</si>
  <si>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</si>
  <si>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</si>
  <si>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</si>
  <si>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</si>
  <si>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</si>
  <si>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</si>
  <si>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</si>
  <si>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</si>
  <si>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</si>
  <si>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</si>
  <si>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</si>
  <si>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</si>
  <si>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</si>
  <si>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</si>
  <si>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</si>
  <si>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</si>
  <si>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</si>
  <si>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</si>
  <si>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</si>
  <si>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</si>
  <si>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</si>
  <si>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</si>
  <si>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</si>
  <si>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</si>
  <si>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</si>
  <si>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</si>
  <si>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</si>
  <si>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</si>
  <si>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</si>
  <si>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</si>
  <si>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</si>
  <si>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</si>
  <si>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</si>
  <si>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</si>
  <si>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</si>
  <si>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</si>
  <si>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</si>
  <si>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</si>
  <si>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</si>
  <si>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</si>
  <si>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</si>
  <si>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</si>
  <si>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</si>
  <si>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</si>
  <si>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</si>
  <si>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</si>
  <si>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</si>
  <si>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</si>
  <si>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</si>
  <si>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</si>
  <si>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</si>
  <si>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</si>
  <si>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</si>
  <si>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</si>
  <si>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</si>
  <si>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</si>
  <si>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</si>
  <si>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</si>
  <si>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</si>
  <si>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</si>
  <si>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</si>
  <si>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</si>
  <si>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</si>
  <si>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</si>
  <si>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</si>
  <si>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</si>
  <si>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</si>
  <si>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</si>
  <si>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</si>
  <si>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</si>
  <si>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</si>
  <si>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</si>
  <si>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</si>
  <si>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</si>
  <si>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</si>
  <si>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</si>
  <si>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</si>
  <si>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</si>
  <si>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</si>
  <si>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</si>
  <si>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</si>
  <si>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</si>
  <si>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</si>
  <si>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</si>
  <si>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</si>
  <si>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</si>
  <si>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</si>
  <si>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</si>
  <si>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</si>
  <si>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</si>
  <si>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</si>
  <si>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</si>
  <si>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</si>
  <si>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</si>
  <si>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</si>
  <si>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</si>
  <si>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</si>
  <si>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</si>
  <si>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</si>
  <si>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</si>
  <si>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</si>
  <si>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</si>
  <si>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</si>
  <si>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</si>
  <si>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</si>
  <si>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</si>
  <si>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</si>
  <si>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</si>
  <si>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</si>
  <si>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</si>
  <si>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</si>
  <si>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</si>
  <si>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</si>
  <si>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</si>
  <si>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</si>
  <si>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</si>
  <si>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</si>
  <si>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</si>
  <si>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</si>
  <si>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</si>
  <si>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</si>
  <si>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</si>
  <si>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</si>
  <si>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</si>
  <si>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</si>
  <si>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</si>
  <si>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</si>
  <si>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</si>
  <si>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</si>
  <si>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</si>
  <si>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</si>
  <si>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</si>
  <si>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</si>
  <si>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</si>
  <si>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</si>
  <si>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</si>
  <si>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</si>
  <si>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</si>
  <si>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</si>
  <si>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</si>
  <si>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</si>
  <si>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</si>
  <si>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</si>
  <si>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</si>
  <si>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</si>
  <si>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</si>
  <si>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</si>
  <si>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</si>
  <si>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</si>
  <si>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</si>
  <si>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</si>
  <si>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</si>
  <si>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</si>
  <si>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</si>
  <si>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</si>
  <si>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</si>
  <si>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</si>
  <si>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</si>
  <si>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</si>
  <si>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</si>
  <si>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</si>
  <si>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</si>
  <si>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</si>
  <si>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</si>
  <si>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</si>
  <si>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</si>
  <si>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</si>
  <si>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</si>
  <si>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</si>
  <si>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</si>
  <si>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</si>
  <si>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</si>
  <si>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</si>
  <si>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</si>
  <si>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</si>
  <si>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</si>
  <si>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</si>
  <si>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</si>
  <si>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</si>
  <si>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</si>
  <si>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</si>
  <si>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</si>
  <si>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</si>
  <si>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</si>
  <si>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</si>
  <si>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</si>
  <si>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</si>
  <si>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</si>
  <si>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</si>
  <si>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</si>
  <si>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</si>
  <si>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</si>
  <si>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</si>
  <si>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</si>
  <si>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</si>
  <si>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</si>
  <si>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</si>
  <si>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</si>
  <si>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</si>
  <si>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</si>
  <si>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</si>
  <si>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</si>
  <si>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</si>
  <si>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</si>
  <si>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</si>
  <si>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</si>
  <si>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</si>
  <si>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</si>
  <si>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</si>
  <si>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</si>
  <si>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</si>
  <si>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</si>
  <si>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</si>
  <si>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</si>
  <si>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</si>
  <si>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</si>
  <si>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</si>
  <si>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</si>
  <si>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</si>
  <si>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</si>
  <si>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</si>
  <si>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</si>
  <si>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</si>
  <si>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</si>
  <si>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</si>
  <si>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</si>
  <si>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</si>
  <si>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</si>
  <si>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</si>
  <si>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</si>
  <si>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</si>
  <si>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</si>
  <si>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</si>
  <si>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</si>
  <si>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</si>
  <si>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</si>
  <si>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</si>
  <si>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</si>
  <si>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</si>
  <si>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</si>
  <si>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</si>
  <si>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</si>
  <si>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</si>
  <si>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</si>
  <si>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</si>
  <si>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</si>
  <si>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</si>
  <si>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</si>
  <si>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</si>
  <si>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</si>
  <si>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</si>
  <si>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</si>
  <si>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</si>
  <si>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</si>
  <si>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</si>
  <si>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</si>
  <si>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</si>
  <si>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</si>
  <si>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</si>
  <si>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</si>
  <si>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</si>
  <si>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</si>
  <si>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</si>
  <si>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</si>
  <si>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</si>
  <si>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</si>
  <si>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</si>
  <si>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</si>
  <si>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</si>
  <si>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</si>
  <si>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</si>
  <si>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</si>
  <si>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</si>
  <si>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</si>
  <si>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</si>
  <si>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</si>
  <si>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</si>
  <si>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</si>
  <si>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</si>
  <si>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</si>
  <si>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</si>
  <si>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</si>
  <si>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</si>
  <si>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</si>
  <si>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</si>
  <si>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</si>
  <si>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</si>
  <si>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</si>
  <si>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</si>
  <si>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</si>
  <si>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</si>
  <si>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</si>
  <si>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</si>
  <si>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</si>
  <si>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</si>
  <si>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</si>
  <si>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</si>
  <si>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</si>
  <si>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</si>
  <si>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</si>
  <si>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</si>
  <si>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</si>
  <si>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</si>
  <si>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</si>
  <si>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</si>
  <si>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</si>
  <si>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</si>
  <si>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</si>
  <si>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</si>
  <si>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</si>
  <si>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</si>
  <si>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</si>
  <si>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</si>
  <si>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</si>
  <si>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</si>
  <si>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</si>
  <si>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</si>
  <si>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</si>
  <si>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</si>
  <si>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</si>
  <si>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</si>
  <si>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</si>
  <si>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</si>
  <si>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</si>
  <si>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</si>
  <si>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</si>
  <si>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</si>
  <si>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</si>
  <si>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</si>
  <si>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</si>
  <si>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</si>
  <si>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</si>
  <si>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</si>
  <si>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</si>
  <si>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</si>
  <si>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</si>
  <si>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</si>
  <si>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</si>
  <si>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</si>
  <si>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</si>
  <si>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</si>
  <si>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</si>
  <si>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</si>
  <si>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</si>
  <si>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</si>
  <si>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</si>
  <si>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</si>
  <si>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</si>
  <si>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</si>
  <si>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</si>
  <si>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</si>
  <si>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</si>
  <si>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</si>
  <si>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</si>
  <si>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</si>
  <si>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</si>
  <si>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</si>
  <si>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</si>
  <si>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</si>
  <si>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</si>
  <si>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</si>
  <si>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</si>
  <si>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</si>
  <si>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</si>
  <si>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</si>
  <si>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</si>
  <si>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</si>
  <si>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</si>
  <si>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</si>
  <si>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</si>
  <si>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</si>
  <si>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</si>
  <si>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</si>
  <si>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</si>
  <si>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</si>
  <si>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</si>
  <si>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</si>
  <si>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</si>
  <si>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</si>
  <si>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</si>
  <si>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</si>
  <si>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</si>
  <si>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</si>
  <si>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</si>
  <si>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</si>
  <si>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</si>
  <si>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</si>
  <si>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</si>
  <si>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</si>
  <si>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</si>
  <si>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</si>
  <si>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</si>
  <si>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</si>
  <si>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</si>
  <si>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</si>
  <si>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</si>
  <si>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</si>
  <si>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</si>
  <si>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</si>
  <si>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</si>
  <si>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</si>
  <si>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</si>
  <si>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</si>
  <si>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</si>
  <si>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</si>
  <si>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</si>
  <si>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</si>
  <si>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</si>
  <si>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</si>
  <si>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</si>
  <si>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</si>
  <si>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</si>
  <si>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</si>
  <si>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</si>
  <si>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</si>
  <si>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</si>
  <si>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</si>
  <si>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</si>
  <si>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</si>
  <si>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</si>
  <si>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</si>
  <si>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</si>
  <si>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</si>
  <si>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</si>
  <si>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</si>
  <si>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</si>
  <si>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</si>
  <si>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</si>
  <si>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</si>
  <si>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</si>
  <si>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</si>
  <si>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</si>
  <si>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</si>
  <si>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</si>
  <si>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</si>
  <si>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</si>
  <si>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</si>
  <si>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</si>
  <si>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</si>
  <si>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</si>
  <si>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</si>
  <si>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</si>
  <si>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</si>
  <si>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</si>
  <si>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</si>
  <si>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</si>
  <si>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</si>
  <si>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</si>
  <si>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</si>
  <si>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</si>
  <si>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</si>
  <si>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</si>
  <si>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</si>
  <si>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</si>
  <si>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</si>
  <si>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</si>
  <si>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</si>
  <si>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</si>
  <si>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</si>
  <si>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</si>
  <si>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</si>
  <si>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</si>
  <si>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</si>
  <si>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</si>
  <si>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</si>
  <si>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</si>
  <si>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</si>
  <si>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</si>
  <si>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</si>
  <si>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</si>
  <si>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</si>
  <si>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</si>
  <si>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</si>
  <si>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</si>
  <si>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</si>
  <si>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</si>
  <si>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</si>
  <si>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</si>
  <si>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</si>
  <si>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</si>
  <si>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</si>
  <si>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</si>
  <si>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</si>
  <si>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</si>
  <si>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</si>
  <si>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</si>
  <si>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</si>
  <si>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</si>
  <si>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</si>
  <si>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</si>
  <si>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</si>
  <si>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</si>
  <si>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</si>
  <si>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</si>
  <si>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</si>
  <si>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</si>
  <si>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</si>
  <si>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</si>
  <si>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</si>
  <si>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</si>
  <si>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</si>
  <si>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</si>
  <si>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</si>
  <si>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</si>
  <si>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</si>
  <si>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</si>
  <si>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</si>
  <si>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</si>
  <si>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</si>
  <si>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</si>
  <si>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</si>
  <si>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</si>
  <si>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</si>
  <si>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</si>
  <si>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</si>
  <si>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</si>
  <si>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</si>
  <si>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</si>
  <si>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</si>
  <si>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</si>
  <si>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</si>
  <si>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</si>
  <si>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</si>
  <si>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</si>
  <si>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</si>
  <si>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</si>
  <si>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</si>
  <si>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</si>
  <si>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</si>
  <si>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</si>
  <si>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</si>
  <si>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</si>
  <si>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</si>
  <si>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</si>
  <si>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</si>
  <si>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</si>
  <si>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</si>
  <si>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</si>
  <si>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</si>
  <si>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</si>
  <si>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</si>
  <si>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</si>
  <si>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</si>
  <si>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</si>
  <si>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</si>
  <si>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</si>
  <si>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</si>
  <si>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</si>
  <si>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</si>
  <si>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</si>
  <si>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</si>
  <si>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</si>
  <si>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</si>
  <si>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</si>
  <si>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</si>
  <si>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</si>
  <si>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</si>
  <si>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</si>
  <si>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</si>
  <si>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</si>
  <si>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</si>
  <si>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</si>
  <si>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</si>
  <si>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</si>
  <si>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</si>
  <si>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</si>
  <si>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</si>
  <si>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</si>
  <si>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</si>
  <si>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</si>
  <si>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</si>
  <si>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</si>
  <si>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</si>
  <si>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</si>
  <si>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</si>
  <si>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</si>
  <si>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</si>
  <si>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</si>
  <si>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</si>
  <si>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</si>
  <si>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</si>
  <si>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</si>
  <si>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</si>
  <si>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</si>
  <si>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</si>
  <si>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</si>
  <si>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</si>
  <si>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</si>
  <si>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</si>
  <si>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</si>
  <si>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</si>
  <si>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</si>
  <si>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</si>
  <si>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</si>
  <si>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</si>
  <si>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</si>
  <si>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</si>
  <si>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</si>
  <si>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</si>
  <si>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</si>
  <si>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</si>
  <si>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</si>
  <si>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</si>
  <si>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</si>
  <si>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</si>
  <si>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</si>
  <si>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</si>
  <si>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</si>
  <si>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</si>
  <si>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</si>
  <si>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</si>
  <si>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</si>
  <si>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</si>
  <si>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</si>
  <si>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</si>
  <si>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</si>
  <si>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</si>
  <si>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</si>
  <si>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</si>
  <si>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</si>
  <si>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</si>
  <si>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</si>
  <si>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</si>
  <si>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</si>
  <si>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</si>
  <si>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</si>
  <si>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</si>
  <si>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</si>
  <si>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</si>
  <si>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</si>
  <si>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</si>
  <si>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</si>
  <si>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</si>
  <si>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</si>
  <si>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</si>
  <si>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</si>
  <si>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</si>
  <si>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</si>
  <si>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</si>
  <si>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</si>
  <si>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</si>
  <si>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</si>
  <si>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</si>
  <si>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</si>
  <si>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</si>
  <si>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</si>
  <si>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</si>
  <si>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</si>
  <si>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</si>
  <si>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</si>
  <si>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</si>
  <si>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</si>
  <si>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</si>
  <si>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</si>
  <si>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</si>
  <si>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</si>
  <si>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</si>
  <si>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</si>
  <si>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</si>
  <si>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</si>
  <si>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</si>
  <si>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</si>
  <si>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</si>
  <si>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</si>
  <si>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</si>
  <si>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</si>
  <si>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</si>
  <si>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</si>
  <si>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</si>
  <si>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</si>
  <si>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</si>
  <si>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</si>
  <si>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</si>
  <si>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</si>
  <si>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</si>
  <si>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</si>
  <si>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</si>
  <si>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</si>
  <si>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</si>
  <si>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</si>
  <si>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</si>
  <si>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</si>
  <si>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</si>
  <si>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</si>
  <si>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</si>
  <si>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</si>
  <si>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</si>
  <si>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</si>
  <si>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</si>
  <si>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</si>
  <si>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</si>
  <si>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</si>
  <si>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</si>
  <si>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</si>
  <si>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</si>
  <si>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</si>
  <si>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</si>
  <si>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</si>
  <si>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</si>
  <si>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</si>
  <si>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</si>
  <si>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</si>
  <si>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</si>
  <si>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</si>
  <si>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</si>
  <si>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</si>
  <si>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</si>
  <si>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</si>
  <si>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</si>
  <si>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</si>
  <si>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</si>
  <si>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</si>
  <si>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</si>
  <si>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</si>
  <si>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</si>
  <si>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</si>
  <si>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</si>
  <si>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</si>
  <si>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</si>
  <si>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</si>
  <si>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</si>
  <si>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</si>
  <si>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</si>
  <si>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</si>
  <si>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</si>
  <si>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</si>
  <si>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</si>
  <si>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</si>
  <si>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</si>
  <si>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</si>
  <si>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</si>
  <si>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</si>
  <si>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</si>
  <si>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</si>
  <si>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</si>
  <si>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</si>
  <si>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</si>
  <si>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</si>
  <si>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</si>
  <si>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</si>
  <si>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</si>
  <si>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</si>
  <si>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</si>
  <si>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</si>
  <si>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</si>
  <si>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</si>
  <si>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</si>
  <si>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</si>
  <si>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</si>
  <si>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</si>
  <si>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</si>
  <si>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</si>
  <si>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</si>
  <si>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</si>
  <si>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</si>
  <si>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</si>
  <si>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</si>
  <si>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</si>
  <si>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</si>
  <si>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</si>
  <si>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</si>
  <si>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</si>
  <si>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</si>
  <si>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</si>
  <si>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</si>
  <si>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</si>
  <si>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</si>
  <si>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</si>
  <si>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</si>
  <si>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</si>
  <si>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</si>
  <si>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</si>
  <si>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</si>
  <si>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</si>
  <si>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</si>
  <si>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</si>
  <si>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</si>
  <si>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</si>
  <si>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</si>
  <si>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</si>
  <si>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</si>
  <si>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</si>
  <si>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</si>
  <si>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</si>
  <si>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</si>
  <si>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</si>
  <si>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</si>
  <si>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</si>
  <si>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</si>
  <si>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</si>
  <si>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</si>
  <si>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</si>
  <si>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</si>
  <si>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</si>
  <si>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</si>
  <si>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</si>
  <si>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</si>
  <si>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</si>
  <si>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</si>
  <si>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</si>
  <si>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</si>
  <si>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</si>
  <si>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</si>
  <si>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</si>
  <si>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</si>
  <si>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</si>
  <si>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</si>
  <si>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</si>
  <si>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</si>
  <si>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</si>
  <si>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</si>
  <si>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</si>
  <si>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</si>
  <si>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</si>
  <si>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</si>
  <si>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</si>
  <si>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</si>
  <si>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</si>
  <si>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</si>
  <si>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</si>
  <si>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</si>
  <si>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</si>
  <si>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</si>
  <si>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</si>
  <si>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</si>
  <si>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</si>
  <si>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</si>
  <si>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</si>
  <si>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</si>
  <si>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</si>
  <si>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</si>
  <si>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</si>
  <si>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</si>
  <si>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</si>
  <si>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</si>
  <si>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</si>
  <si>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</si>
  <si>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</si>
  <si>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</si>
  <si>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</si>
  <si>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</si>
  <si>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</si>
  <si>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</si>
  <si>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</si>
  <si>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</si>
  <si>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</si>
  <si>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</si>
  <si>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</si>
  <si>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</si>
  <si>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</si>
  <si>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</si>
  <si>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</si>
  <si>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</si>
  <si>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</si>
  <si>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</si>
  <si>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</si>
  <si>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</si>
  <si>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</si>
  <si>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</si>
  <si>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</si>
  <si>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</si>
  <si>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</si>
  <si>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</si>
  <si>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</si>
  <si>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</si>
  <si>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</si>
  <si>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</si>
  <si>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</si>
  <si>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</si>
  <si>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</si>
  <si>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</si>
  <si>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</si>
  <si>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</si>
  <si>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</si>
  <si>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</si>
  <si>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</si>
  <si>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</si>
  <si>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</si>
  <si>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</si>
  <si>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</si>
  <si>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</si>
  <si>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</si>
  <si>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</si>
  <si>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</si>
  <si>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</si>
  <si>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</si>
  <si>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</si>
  <si>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</si>
  <si>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</si>
  <si>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</si>
  <si>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</si>
  <si>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</si>
  <si>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</si>
  <si>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</si>
  <si>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</si>
  <si>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</si>
  <si>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</si>
  <si>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</si>
  <si>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</si>
  <si>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</si>
  <si>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</si>
  <si>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</si>
  <si>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</si>
  <si>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</si>
  <si>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</si>
  <si>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</si>
  <si>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</si>
  <si>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</si>
  <si>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</si>
  <si>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</si>
  <si>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</si>
  <si>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</si>
  <si>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</si>
  <si>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</si>
  <si>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</si>
  <si>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</si>
  <si>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</si>
  <si>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</si>
  <si>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</si>
  <si>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</si>
  <si>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</si>
  <si>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</si>
  <si>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</si>
  <si>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</si>
  <si>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</si>
  <si>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</si>
  <si>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</si>
  <si>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</si>
  <si>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</si>
  <si>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</si>
  <si>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</si>
  <si>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</si>
  <si>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</si>
  <si>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</si>
  <si>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</si>
  <si>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</si>
  <si>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</si>
  <si>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</si>
  <si>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</si>
  <si>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</si>
  <si>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</si>
  <si>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</si>
  <si>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</si>
  <si>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</si>
  <si>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</si>
  <si>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</si>
  <si>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</si>
  <si>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</si>
  <si>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</si>
  <si>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</si>
  <si>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</si>
  <si>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</si>
  <si>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</si>
  <si>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</si>
  <si>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</si>
  <si>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</si>
  <si>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</si>
  <si>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</si>
  <si>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</si>
  <si>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</si>
  <si>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</si>
  <si>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</si>
  <si>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</si>
  <si>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</si>
  <si>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</si>
  <si>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</si>
  <si>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</si>
  <si>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</si>
  <si>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</si>
  <si>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</si>
  <si>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</si>
  <si>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</si>
  <si>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</si>
  <si>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</si>
  <si>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</si>
  <si>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</si>
  <si>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</si>
  <si>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</si>
  <si>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</si>
  <si>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</si>
  <si>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</si>
  <si>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</si>
  <si>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</si>
  <si>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</si>
  <si>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</si>
  <si>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</si>
  <si>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</si>
  <si>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</si>
  <si>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</si>
  <si>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</si>
  <si>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</si>
  <si>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</si>
  <si>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</si>
  <si>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</si>
  <si>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</si>
  <si>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</si>
  <si>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</si>
  <si>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</si>
  <si>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</si>
  <si>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</si>
  <si>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</si>
  <si>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</si>
  <si>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</si>
  <si>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</si>
  <si>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</si>
  <si>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</si>
  <si>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</si>
  <si>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</si>
  <si>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</si>
  <si>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</si>
  <si>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</si>
  <si>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</si>
  <si>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</si>
  <si>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</si>
  <si>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</si>
  <si>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</si>
  <si>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</si>
  <si>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</si>
  <si>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</si>
  <si>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</si>
  <si>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</si>
  <si>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</si>
  <si>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</si>
  <si>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</si>
  <si>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</si>
  <si>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</si>
  <si>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</si>
  <si>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</si>
  <si>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</si>
  <si>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</si>
  <si>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</si>
  <si>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</si>
  <si>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</si>
  <si>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</si>
  <si>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</si>
  <si>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</si>
  <si>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</si>
  <si>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</si>
  <si>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</si>
  <si>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</si>
  <si>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</si>
  <si>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</si>
  <si>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</si>
  <si>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</si>
  <si>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</si>
  <si>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</si>
  <si>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</si>
  <si>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</si>
  <si>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</si>
  <si>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</si>
  <si>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</si>
  <si>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</si>
  <si>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</si>
  <si>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</si>
  <si>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</si>
  <si>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</si>
  <si>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</si>
  <si>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</si>
  <si>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</si>
  <si>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</si>
  <si>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</si>
  <si>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</si>
  <si>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</si>
  <si>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</si>
  <si>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</si>
  <si>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</si>
  <si>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</si>
  <si>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</si>
  <si>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</si>
  <si>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</si>
  <si>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</si>
  <si>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</si>
  <si>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</si>
  <si>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</si>
  <si>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</si>
  <si>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</si>
  <si>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</si>
  <si>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</si>
  <si>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</si>
  <si>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</si>
  <si>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</si>
  <si>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</si>
  <si>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</si>
  <si>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</si>
  <si>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</si>
  <si>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</si>
  <si>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</si>
  <si>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</si>
  <si>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</si>
  <si>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</si>
  <si>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</si>
  <si>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</si>
  <si>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</si>
  <si>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</si>
  <si>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</si>
  <si>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</si>
  <si>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</si>
  <si>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</si>
  <si>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</si>
  <si>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</si>
  <si>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</si>
  <si>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</si>
  <si>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</si>
  <si>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</si>
  <si>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</si>
  <si>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</si>
  <si>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</si>
  <si>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</si>
  <si>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</si>
  <si>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</si>
  <si>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</si>
  <si>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</si>
  <si>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</si>
  <si>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</si>
  <si>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</si>
  <si>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</si>
  <si>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</si>
  <si>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</si>
  <si>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</si>
  <si>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</si>
  <si>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</si>
  <si>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</si>
  <si>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</si>
  <si>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</si>
  <si>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</si>
  <si>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</si>
  <si>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</si>
  <si>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</si>
  <si>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</si>
  <si>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</si>
  <si>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</si>
  <si>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</si>
  <si>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</si>
  <si>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</si>
  <si>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</si>
  <si>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</si>
  <si>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</si>
  <si>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</si>
  <si>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</si>
  <si>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</si>
  <si>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</si>
  <si>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</si>
  <si>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</si>
  <si>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</si>
  <si>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</si>
  <si>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</si>
  <si>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</si>
  <si>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</si>
  <si>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</si>
  <si>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</si>
  <si>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</si>
  <si>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</si>
  <si>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</si>
  <si>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</si>
  <si>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</si>
  <si>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</si>
  <si>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</si>
  <si>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</si>
  <si>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</si>
  <si>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</si>
  <si>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</si>
  <si>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</si>
  <si>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</si>
  <si>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</si>
  <si>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</si>
  <si>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</si>
  <si>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</si>
  <si>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</si>
  <si>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</si>
  <si>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</si>
  <si>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</si>
  <si>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</si>
  <si>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</si>
  <si>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</si>
  <si>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</si>
  <si>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</si>
  <si>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</si>
  <si>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</si>
  <si>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</si>
  <si>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</si>
  <si>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</si>
  <si>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</si>
  <si>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</si>
  <si>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</si>
  <si>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</si>
  <si>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</si>
  <si>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</si>
  <si>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</si>
  <si>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</si>
  <si>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</si>
  <si>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</si>
  <si>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</si>
  <si>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</si>
  <si>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</si>
  <si>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</si>
  <si>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</si>
  <si>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</si>
  <si>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</si>
  <si>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</si>
  <si>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</si>
  <si>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</si>
  <si>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</si>
  <si>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</si>
  <si>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</si>
  <si>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</si>
  <si>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</si>
  <si>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</si>
  <si>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</si>
  <si>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</si>
  <si>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</si>
  <si>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</si>
  <si>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</si>
  <si>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</si>
  <si>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</si>
  <si>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</si>
  <si>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</si>
  <si>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</si>
  <si>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</si>
  <si>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</si>
  <si>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</si>
  <si>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</si>
  <si>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</si>
  <si>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</si>
  <si>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</si>
  <si>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</si>
  <si>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</si>
  <si>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</si>
  <si>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</si>
  <si>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</si>
  <si>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</si>
  <si>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</si>
  <si>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</si>
  <si>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</si>
  <si>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</si>
  <si>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</si>
  <si>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</si>
  <si>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</si>
  <si>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</si>
  <si>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</si>
  <si>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</si>
  <si>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</si>
  <si>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</si>
  <si>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</si>
  <si>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</si>
  <si>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</si>
  <si>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</si>
  <si>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</si>
  <si>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</si>
  <si>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</si>
  <si>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</si>
  <si>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</si>
  <si>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</si>
  <si>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</si>
  <si>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</si>
  <si>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</si>
  <si>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</si>
  <si>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</si>
  <si>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</si>
  <si>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</si>
  <si>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</si>
  <si>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</si>
  <si>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</si>
  <si>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</si>
  <si>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</si>
  <si>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</si>
  <si>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</si>
  <si>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</si>
  <si>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</si>
  <si>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</si>
  <si>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</si>
  <si>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</si>
  <si>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</si>
  <si>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</si>
  <si>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</si>
  <si>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</si>
  <si>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</si>
  <si>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</si>
  <si>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</si>
  <si>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</si>
  <si>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</si>
  <si>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</si>
  <si>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</si>
  <si>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</si>
  <si>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</si>
  <si>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</si>
  <si>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</si>
  <si>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</si>
  <si>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</si>
  <si>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</si>
  <si>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</si>
  <si>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</si>
  <si>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</si>
  <si>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</si>
  <si>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</si>
  <si>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</si>
  <si>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</si>
  <si>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</si>
  <si>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</si>
  <si>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</si>
  <si>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</si>
  <si>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</si>
  <si>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</si>
  <si>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</si>
  <si>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</si>
  <si>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</si>
  <si>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</si>
  <si>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</si>
  <si>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</si>
  <si>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</si>
  <si>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</si>
  <si>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</si>
  <si>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</si>
  <si>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</si>
  <si>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</si>
  <si>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</si>
  <si>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</si>
  <si>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</si>
  <si>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</si>
  <si>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</si>
  <si>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</si>
  <si>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</si>
  <si>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</si>
  <si>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</si>
  <si>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</si>
  <si>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</si>
  <si>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</si>
  <si>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</si>
  <si>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</si>
  <si>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</si>
  <si>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</si>
  <si>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</si>
  <si>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</si>
  <si>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</si>
  <si>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</si>
  <si>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</si>
  <si>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</si>
  <si>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</si>
  <si>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</si>
  <si>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</si>
  <si>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</si>
  <si>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</si>
  <si>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</si>
  <si>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</si>
  <si>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</si>
  <si>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</si>
  <si>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</si>
  <si>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</si>
  <si>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</si>
  <si>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</si>
  <si>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</si>
  <si>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</si>
  <si>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</si>
  <si>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</si>
  <si>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</si>
  <si>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</si>
  <si>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</si>
  <si>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</si>
  <si>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</si>
  <si>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</si>
  <si>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</si>
  <si>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</si>
  <si>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</si>
  <si>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</si>
  <si>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</si>
  <si>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</si>
  <si>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</si>
  <si>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</si>
  <si>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</si>
  <si>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</si>
  <si>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</si>
  <si>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</si>
  <si>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</si>
  <si>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</si>
  <si>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</si>
  <si>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</si>
  <si>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</si>
  <si>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</si>
  <si>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</si>
  <si>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</si>
  <si>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</si>
  <si>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</si>
  <si>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</si>
  <si>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</si>
  <si>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</si>
  <si>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</si>
  <si>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</si>
  <si>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</si>
  <si>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</si>
  <si>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</si>
  <si>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</si>
  <si>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</si>
  <si>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</si>
  <si>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</si>
  <si>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</si>
  <si>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</si>
  <si>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</si>
  <si>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</si>
  <si>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</si>
  <si>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</si>
  <si>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</si>
  <si>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</si>
  <si>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</si>
  <si>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</si>
  <si>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</si>
  <si>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</si>
  <si>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</si>
  <si>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</si>
  <si>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</si>
  <si>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</si>
  <si>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</si>
  <si>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</si>
  <si>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</si>
  <si>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</si>
  <si>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</si>
  <si>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</si>
  <si>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</si>
  <si>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</si>
  <si>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</si>
  <si>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</si>
  <si>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</si>
  <si>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</si>
  <si>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</si>
  <si>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</si>
  <si>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</si>
  <si>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</si>
  <si>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</si>
  <si>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</si>
  <si>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</si>
  <si>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</si>
  <si>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</si>
  <si>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</si>
  <si>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</si>
  <si>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</si>
  <si>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</si>
  <si>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</si>
  <si>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</si>
  <si>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</si>
  <si>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</si>
  <si>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</si>
  <si>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</si>
  <si>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</si>
  <si>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</si>
  <si>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</si>
  <si>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</si>
  <si>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</si>
  <si>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</si>
  <si>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</si>
  <si>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</si>
  <si>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</si>
  <si>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</si>
  <si>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</si>
  <si>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</si>
  <si>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</si>
  <si>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</si>
  <si>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</si>
  <si>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</si>
  <si>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</si>
  <si>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</si>
  <si>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</si>
  <si>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</si>
  <si>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</si>
  <si>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</si>
  <si>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</si>
  <si>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</si>
  <si>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</si>
  <si>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</si>
  <si>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</si>
  <si>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</si>
  <si>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</si>
  <si>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</si>
  <si>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</si>
  <si>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</si>
  <si>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</si>
  <si>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</si>
  <si>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</si>
  <si>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</si>
  <si>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</si>
  <si>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</si>
  <si>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</si>
  <si>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</si>
  <si>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</si>
  <si>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</si>
  <si>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</si>
  <si>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</si>
  <si>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</si>
  <si>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</si>
  <si>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</si>
  <si>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</si>
  <si>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</si>
  <si>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</si>
  <si>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</si>
  <si>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</si>
  <si>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</si>
  <si>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</si>
  <si>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</si>
  <si>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</si>
  <si>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</si>
  <si>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</si>
  <si>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</si>
  <si>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</si>
  <si>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</si>
  <si>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</si>
  <si>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</si>
  <si>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</si>
  <si>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</si>
  <si>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</si>
  <si>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</si>
  <si>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</si>
  <si>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</si>
  <si>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</si>
  <si>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</si>
  <si>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</si>
  <si>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</si>
  <si>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</si>
  <si>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</si>
  <si>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</si>
  <si>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</si>
  <si>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</si>
  <si>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</si>
  <si>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</si>
  <si>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</si>
  <si>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</si>
  <si>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</si>
  <si>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</si>
  <si>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</si>
  <si>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</si>
  <si>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</si>
  <si>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</si>
  <si>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</si>
  <si>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</si>
  <si>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</si>
  <si>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</si>
  <si>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</si>
  <si>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</si>
  <si>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</si>
  <si>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</si>
  <si>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</si>
  <si>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</si>
  <si>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</si>
  <si>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</si>
  <si>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</si>
  <si>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</si>
  <si>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</si>
  <si>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</si>
  <si>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</si>
  <si>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</si>
  <si>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</si>
  <si>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</si>
  <si>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</si>
  <si>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</si>
  <si>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</si>
  <si>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</si>
  <si>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</si>
  <si>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</si>
  <si>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</si>
  <si>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</si>
  <si>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</si>
  <si>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</si>
  <si>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</si>
  <si>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</si>
  <si>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</si>
  <si>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</si>
  <si>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</si>
  <si>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</si>
  <si>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</si>
  <si>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</si>
  <si>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</si>
  <si>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</si>
  <si>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</si>
  <si>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</si>
  <si>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</si>
  <si>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</si>
  <si>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</si>
  <si>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</si>
  <si>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</si>
  <si>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</si>
  <si>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</si>
  <si>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</si>
  <si>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</si>
  <si>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</si>
  <si>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</si>
  <si>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</si>
  <si>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</si>
  <si>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</si>
  <si>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</si>
  <si>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</si>
  <si>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</si>
  <si>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</si>
  <si>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</si>
  <si>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</si>
  <si>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</si>
  <si>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</si>
  <si>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</si>
  <si>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</si>
  <si>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</si>
  <si>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</si>
  <si>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</si>
  <si>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</si>
  <si>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</si>
  <si>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</si>
  <si>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</si>
  <si>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</si>
  <si>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</si>
  <si>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</si>
  <si>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</si>
  <si>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</si>
  <si>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</si>
  <si>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</si>
  <si>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</si>
  <si>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</si>
  <si>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</si>
  <si>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</si>
  <si>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</si>
  <si>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</si>
  <si>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</si>
  <si>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</si>
  <si>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</si>
  <si>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</si>
  <si>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</si>
  <si>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</si>
  <si>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</si>
  <si>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</si>
  <si>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</si>
  <si>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</si>
  <si>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</si>
  <si>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</si>
  <si>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</si>
  <si>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</si>
  <si>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</si>
  <si>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</si>
  <si>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</si>
  <si>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</si>
  <si>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</si>
  <si>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</si>
  <si>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</si>
  <si>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</si>
  <si>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</si>
  <si>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</si>
  <si>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</si>
  <si>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</si>
  <si>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</si>
  <si>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</si>
  <si>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</si>
  <si>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</si>
  <si>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</si>
  <si>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</si>
  <si>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</si>
  <si>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</si>
  <si>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</si>
  <si>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</si>
  <si>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</si>
  <si>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</si>
  <si>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</si>
  <si>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</si>
  <si>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</si>
  <si>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</si>
  <si>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</si>
  <si>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</si>
  <si>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</si>
  <si>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</si>
  <si>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</si>
  <si>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</si>
  <si>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</si>
  <si>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</si>
  <si>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</si>
  <si>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</si>
  <si>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</si>
  <si>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</si>
  <si>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</si>
  <si>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</si>
  <si>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</si>
  <si>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</si>
  <si>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</si>
  <si>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</si>
  <si>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</si>
  <si>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</si>
  <si>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</si>
  <si>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</si>
  <si>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</si>
  <si>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</si>
  <si>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</si>
  <si>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</si>
  <si>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</si>
  <si>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</si>
  <si>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</si>
  <si>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</si>
  <si>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</si>
  <si>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</si>
  <si>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</si>
  <si>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</si>
  <si>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</si>
  <si>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</si>
  <si>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</si>
  <si>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</si>
  <si>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</si>
  <si>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</si>
  <si>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</si>
  <si>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</si>
  <si>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</si>
  <si>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</si>
  <si>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</si>
  <si>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</si>
  <si>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</si>
  <si>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</si>
  <si>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</si>
  <si>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</si>
  <si>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</si>
  <si>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</si>
  <si>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</si>
  <si>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</si>
  <si>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</si>
  <si>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</si>
  <si>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</si>
  <si>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</si>
  <si>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</si>
  <si>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</si>
  <si>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</si>
  <si>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</si>
  <si>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</si>
  <si>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</si>
  <si>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</si>
  <si>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</si>
  <si>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</si>
  <si>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</si>
  <si>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</si>
  <si>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</si>
  <si>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</si>
  <si>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</si>
  <si>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</si>
  <si>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</si>
  <si>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</si>
  <si>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</si>
  <si>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</si>
  <si>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</si>
  <si>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</si>
  <si>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</si>
  <si>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</si>
  <si>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</si>
  <si>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</si>
  <si>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</si>
  <si>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</si>
  <si>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</si>
  <si>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</si>
  <si>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</si>
  <si>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</si>
  <si>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</si>
  <si>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</si>
  <si>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</si>
  <si>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</si>
  <si>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</si>
  <si>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</si>
  <si>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</si>
  <si>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</si>
  <si>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</si>
  <si>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</si>
  <si>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</si>
  <si>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</si>
  <si>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</si>
  <si>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</si>
  <si>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</si>
  <si>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</si>
  <si>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</si>
  <si>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</si>
  <si>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</si>
  <si>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</si>
  <si>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</si>
  <si>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</si>
  <si>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</si>
  <si>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</si>
  <si>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</si>
  <si>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</si>
  <si>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</si>
  <si>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</si>
  <si>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</si>
  <si>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</si>
  <si>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</si>
  <si>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</si>
  <si>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</si>
  <si>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</si>
  <si>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</si>
  <si>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</si>
  <si>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</si>
  <si>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</si>
  <si>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</si>
  <si>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</si>
  <si>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</si>
  <si>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</si>
  <si>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</si>
  <si>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</si>
  <si>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</si>
  <si>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</si>
  <si>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</si>
  <si>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</si>
  <si>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</si>
  <si>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</si>
  <si>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</si>
  <si>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</si>
  <si>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</si>
  <si>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</si>
  <si>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</si>
  <si>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</si>
  <si>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</si>
  <si>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</si>
  <si>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</si>
  <si>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</si>
  <si>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</si>
  <si>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</si>
  <si>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</si>
  <si>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</si>
  <si>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</si>
  <si>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</si>
  <si>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</si>
  <si>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</si>
  <si>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</si>
  <si>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</si>
  <si>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</si>
  <si>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</si>
  <si>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</si>
  <si>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</si>
  <si>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</si>
  <si>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</si>
  <si>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</si>
  <si>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</si>
  <si>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</si>
  <si>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</si>
  <si>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</si>
  <si>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</si>
  <si>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</si>
  <si>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</si>
  <si>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</si>
  <si>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</si>
  <si>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</si>
  <si>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</si>
  <si>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</si>
  <si>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</si>
  <si>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</si>
  <si>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</si>
  <si>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</si>
  <si>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</si>
  <si>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</si>
  <si>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</si>
  <si>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</si>
  <si>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</si>
  <si>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</si>
  <si>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</si>
  <si>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</si>
  <si>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</si>
  <si>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</si>
  <si>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</si>
  <si>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</si>
  <si>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</si>
  <si>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</si>
  <si>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</si>
  <si>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</si>
  <si>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</si>
  <si>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</si>
  <si>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</si>
  <si>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</si>
  <si>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</si>
  <si>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</si>
  <si>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</si>
  <si>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</si>
  <si>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</si>
  <si>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</si>
  <si>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</si>
  <si>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</si>
  <si>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</si>
  <si>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</si>
  <si>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</si>
  <si>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</si>
  <si>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</si>
  <si>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</si>
  <si>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</si>
  <si>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</si>
  <si>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</si>
  <si>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</si>
  <si>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</si>
  <si>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</si>
  <si>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</si>
  <si>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</si>
  <si>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</si>
  <si>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</si>
  <si>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</si>
  <si>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</si>
  <si>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</si>
  <si>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</si>
  <si>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</si>
  <si>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</si>
  <si>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</si>
  <si>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</si>
  <si>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</si>
  <si>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</si>
  <si>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</si>
  <si>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</si>
  <si>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</si>
  <si>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</si>
  <si>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</si>
  <si>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</si>
  <si>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</si>
  <si>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</si>
  <si>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</si>
  <si>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</si>
  <si>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</si>
  <si>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</si>
  <si>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</si>
  <si>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</si>
  <si>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</si>
  <si>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</si>
  <si>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</si>
  <si>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</si>
  <si>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</si>
  <si>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</si>
  <si>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</si>
  <si>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</si>
  <si>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</si>
  <si>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</si>
  <si>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</si>
  <si>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</si>
  <si>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</si>
  <si>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</si>
  <si>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</si>
  <si>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</si>
  <si>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</si>
  <si>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</si>
  <si>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</si>
  <si>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</si>
  <si>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</si>
  <si>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</si>
  <si>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</si>
  <si>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</si>
  <si>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</si>
  <si>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</si>
  <si>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</si>
  <si>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</si>
  <si>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</si>
  <si>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</si>
  <si>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</si>
  <si>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</si>
  <si>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</si>
  <si>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</si>
  <si>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</si>
  <si>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</si>
  <si>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</si>
  <si>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</si>
  <si>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</si>
  <si>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</si>
  <si>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</si>
  <si>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</si>
  <si>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</si>
  <si>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</si>
  <si>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</si>
  <si>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</si>
  <si>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</si>
  <si>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</si>
  <si>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</si>
  <si>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</si>
  <si>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</si>
  <si>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</si>
  <si>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</si>
  <si>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</si>
  <si>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</si>
  <si>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</si>
  <si>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</si>
  <si>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</si>
  <si>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</si>
  <si>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</si>
  <si>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</si>
  <si>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</si>
  <si>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</si>
  <si>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</si>
  <si>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</si>
  <si>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</si>
  <si>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</si>
  <si>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</si>
  <si>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</si>
  <si>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</si>
  <si>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</si>
  <si>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</si>
  <si>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</si>
  <si>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</si>
  <si>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</si>
  <si>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</si>
  <si>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</si>
  <si>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</si>
  <si>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</si>
  <si>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</si>
  <si>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</si>
  <si>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</si>
  <si>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</si>
  <si>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</si>
  <si>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</si>
  <si>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</si>
  <si>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</si>
  <si>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</si>
  <si>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</si>
  <si>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</si>
  <si>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</si>
  <si>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</si>
  <si>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</si>
  <si>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</si>
  <si>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</si>
  <si>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</si>
  <si>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</si>
  <si>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</si>
  <si>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</si>
  <si>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</si>
  <si>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</si>
  <si>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</si>
  <si>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</si>
  <si>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</si>
  <si>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</si>
  <si>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</si>
  <si>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</si>
  <si>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</si>
  <si>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</si>
  <si>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</si>
  <si>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</si>
  <si>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</si>
  <si>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</si>
  <si>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</si>
  <si>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</si>
  <si>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</si>
  <si>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</si>
  <si>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</si>
  <si>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</si>
  <si>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</si>
  <si>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</si>
  <si>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</si>
  <si>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</si>
  <si>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</si>
  <si>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</si>
  <si>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</si>
  <si>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</si>
  <si>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</si>
  <si>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</si>
  <si>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</si>
  <si>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</si>
  <si>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</si>
  <si>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</si>
  <si>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</si>
  <si>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</si>
  <si>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</si>
  <si>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</si>
  <si>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</si>
  <si>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</si>
  <si>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</si>
  <si>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</si>
  <si>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</si>
  <si>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</si>
  <si>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</si>
  <si>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</si>
  <si>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</si>
  <si>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</si>
  <si>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</si>
  <si>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</si>
  <si>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</si>
  <si>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</si>
  <si>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</si>
  <si>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</si>
  <si>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</si>
  <si>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</si>
  <si>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</si>
  <si>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</si>
  <si>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</si>
  <si>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</si>
  <si>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</si>
  <si>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</si>
  <si>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</si>
  <si>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</si>
  <si>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</si>
  <si>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</si>
  <si>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</si>
  <si>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</si>
  <si>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</si>
  <si>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</si>
  <si>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</si>
  <si>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</si>
  <si>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</si>
  <si>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</si>
  <si>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</si>
  <si>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</si>
  <si>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</si>
  <si>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</si>
  <si>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</si>
  <si>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</si>
  <si>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</si>
  <si>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</si>
  <si>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</si>
  <si>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</si>
  <si>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</si>
  <si>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</si>
  <si>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</si>
  <si>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</si>
  <si>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</si>
  <si>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</si>
  <si>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</si>
  <si>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</si>
  <si>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</si>
  <si>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</si>
  <si>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</si>
  <si>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</si>
  <si>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</si>
  <si>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</si>
  <si>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</si>
  <si>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</si>
  <si>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</si>
  <si>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</si>
  <si>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</si>
  <si>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</si>
  <si>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</si>
  <si>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</si>
  <si>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</si>
  <si>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</si>
  <si>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</si>
  <si>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</si>
  <si>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</si>
  <si>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</si>
  <si>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</si>
  <si>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</si>
  <si>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</si>
  <si>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</si>
  <si>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</si>
  <si>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</si>
  <si>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</si>
  <si>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</si>
  <si>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</si>
  <si>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</si>
  <si>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</si>
  <si>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</si>
  <si>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</si>
  <si>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</si>
  <si>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</si>
  <si>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</si>
  <si>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</si>
  <si>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</si>
  <si>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</si>
  <si>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</si>
  <si>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</si>
  <si>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</si>
  <si>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</si>
  <si>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</si>
  <si>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</si>
  <si>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</si>
  <si>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</si>
  <si>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</si>
  <si>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</si>
  <si>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</si>
  <si>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</si>
  <si>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</si>
  <si>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</si>
  <si>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</si>
  <si>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</si>
  <si>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</si>
  <si>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</si>
  <si>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</si>
  <si>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</si>
  <si>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</si>
  <si>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</si>
  <si>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</si>
  <si>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</si>
  <si>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</si>
  <si>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</si>
  <si>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</si>
  <si>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</si>
  <si>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</si>
  <si>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</si>
  <si>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</si>
  <si>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</si>
  <si>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</si>
  <si>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</si>
  <si>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</si>
  <si>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</si>
  <si>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</si>
  <si>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</si>
  <si>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</si>
  <si>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</si>
  <si>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</si>
  <si>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</si>
  <si>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</si>
  <si>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</si>
  <si>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</si>
  <si>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</si>
  <si>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</si>
  <si>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</si>
  <si>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</si>
  <si>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</si>
  <si>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</si>
  <si>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</si>
  <si>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</si>
  <si>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</si>
  <si>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</si>
  <si>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</si>
  <si>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</si>
  <si>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</si>
  <si>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</si>
  <si>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</si>
  <si>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</si>
  <si>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</si>
  <si>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</si>
  <si>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</si>
  <si>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</si>
  <si>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</si>
  <si>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</si>
  <si>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</si>
  <si>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</si>
  <si>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</si>
  <si>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</si>
  <si>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</si>
  <si>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</si>
  <si>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</si>
  <si>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</si>
  <si>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</si>
  <si>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</si>
  <si>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</si>
  <si>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</si>
  <si>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</si>
  <si>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</si>
  <si>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</si>
  <si>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</si>
  <si>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</si>
  <si>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</si>
  <si>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</si>
  <si>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</si>
  <si>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</si>
  <si>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</si>
  <si>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</si>
  <si>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</si>
  <si>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</si>
  <si>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</si>
  <si>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</si>
  <si>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</si>
  <si>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</si>
  <si>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</si>
  <si>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</si>
  <si>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</si>
  <si>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</si>
  <si>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</si>
  <si>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</si>
  <si>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</si>
  <si>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</si>
  <si>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</si>
  <si>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</si>
  <si>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</si>
  <si>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</si>
  <si>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</si>
  <si>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</si>
  <si>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</si>
  <si>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</si>
  <si>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</si>
  <si>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</si>
  <si>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</si>
  <si>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</si>
  <si>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</si>
  <si>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</si>
  <si>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</si>
  <si>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</si>
  <si>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</si>
  <si>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</si>
  <si>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</si>
  <si>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</si>
  <si>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</si>
  <si>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</si>
  <si>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</si>
  <si>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</si>
  <si>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</si>
  <si>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</si>
  <si>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</si>
  <si>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</si>
  <si>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</si>
  <si>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</si>
  <si>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</si>
  <si>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</si>
  <si>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</si>
  <si>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</si>
  <si>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</si>
  <si>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</si>
  <si>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</si>
  <si>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</si>
  <si>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</si>
  <si>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</si>
  <si>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</si>
  <si>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</si>
  <si>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</si>
  <si>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</si>
  <si>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</si>
  <si>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</si>
  <si>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</si>
  <si>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</si>
  <si>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</si>
  <si>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</si>
  <si>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</si>
  <si>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</si>
  <si>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</si>
  <si>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</si>
  <si>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</si>
  <si>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</si>
  <si>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</si>
  <si>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</si>
  <si>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</si>
  <si>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</si>
  <si>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</si>
  <si>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</si>
  <si>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</si>
  <si>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</si>
  <si>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</si>
  <si>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</si>
  <si>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</si>
  <si>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</si>
  <si>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</si>
  <si>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</si>
  <si>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</si>
  <si>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</si>
  <si>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</si>
  <si>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</si>
  <si>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</si>
  <si>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</si>
  <si>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</si>
  <si>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</si>
  <si>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</si>
  <si>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</si>
  <si>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</si>
  <si>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</si>
  <si>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</si>
  <si>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</si>
  <si>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</si>
  <si>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</si>
  <si>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</si>
  <si>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</si>
  <si>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</si>
  <si>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</si>
  <si>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</si>
  <si>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</si>
  <si>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</si>
  <si>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</si>
  <si>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</si>
  <si>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</si>
  <si>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</si>
  <si>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</si>
  <si>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</si>
  <si>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</si>
  <si>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</si>
  <si>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</si>
  <si>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</si>
  <si>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</si>
  <si>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</si>
  <si>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</si>
  <si>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</si>
  <si>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</si>
  <si>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</si>
  <si>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</si>
  <si>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</si>
  <si>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</si>
  <si>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</si>
  <si>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</si>
  <si>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</si>
  <si>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</si>
  <si>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</si>
  <si>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</si>
  <si>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</si>
  <si>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</si>
  <si>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</si>
  <si>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</si>
  <si>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</si>
  <si>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</si>
  <si>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</si>
  <si>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</si>
  <si>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</si>
  <si>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</si>
  <si>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</si>
  <si>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</si>
  <si>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</si>
  <si>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</si>
  <si>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</si>
  <si>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</si>
  <si>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</si>
  <si>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</si>
  <si>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</si>
  <si>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</si>
  <si>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</si>
  <si>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</si>
  <si>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</si>
  <si>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</si>
  <si>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</si>
  <si>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</si>
  <si>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</si>
  <si>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</si>
  <si>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</si>
  <si>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</si>
  <si>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</si>
  <si>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</si>
  <si>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</si>
  <si>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</si>
  <si>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</si>
  <si>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</si>
  <si>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</si>
  <si>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</si>
  <si>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</si>
  <si>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</si>
  <si>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</si>
  <si>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</si>
  <si>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</si>
  <si>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</si>
  <si>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</si>
  <si>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</si>
  <si>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</si>
  <si>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</si>
  <si>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</si>
  <si>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</si>
  <si>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</si>
  <si>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</si>
  <si>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</si>
  <si>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</si>
  <si>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</si>
  <si>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</si>
  <si>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</si>
  <si>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</si>
  <si>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</si>
  <si>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</si>
  <si>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</si>
  <si>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</si>
  <si>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</si>
  <si>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</si>
  <si>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</si>
  <si>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</si>
  <si>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</si>
  <si>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</si>
  <si>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</si>
  <si>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</si>
  <si>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</si>
  <si>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</si>
  <si>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</si>
  <si>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</si>
  <si>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</si>
  <si>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</si>
  <si>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</si>
  <si>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</si>
  <si>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</si>
  <si>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</si>
  <si>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</si>
  <si>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</si>
  <si>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</si>
  <si>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</si>
  <si>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</si>
  <si>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</si>
  <si>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</si>
  <si>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</si>
  <si>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</si>
  <si>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</si>
  <si>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</si>
  <si>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</si>
  <si>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</si>
  <si>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</si>
  <si>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</si>
  <si>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</si>
  <si>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</si>
  <si>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</si>
  <si>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</si>
  <si>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</si>
  <si>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</si>
  <si>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</si>
  <si>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</si>
  <si>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</si>
  <si>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</si>
  <si>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</si>
  <si>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</si>
  <si>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</si>
  <si>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</si>
  <si>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</si>
  <si>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</si>
  <si>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</si>
  <si>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</si>
  <si>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</si>
  <si>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</si>
  <si>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</si>
  <si>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</si>
  <si>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</si>
  <si>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</si>
  <si>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</si>
  <si>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</si>
  <si>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</si>
  <si>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</si>
  <si>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</si>
  <si>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</si>
  <si>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</si>
  <si>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</si>
  <si>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</si>
  <si>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</si>
  <si>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</si>
  <si>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</si>
  <si>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</si>
  <si>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</si>
  <si>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</si>
  <si>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</si>
  <si>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</si>
  <si>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</si>
  <si>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</si>
  <si>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</si>
  <si>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</si>
  <si>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</si>
  <si>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</si>
  <si>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</si>
  <si>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</si>
  <si>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</si>
  <si>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</si>
  <si>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</si>
  <si>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</si>
  <si>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</si>
  <si>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</si>
  <si>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</si>
  <si>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</si>
  <si>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</si>
  <si>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</si>
  <si>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</si>
  <si>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</si>
  <si>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</si>
  <si>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</si>
  <si>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</si>
  <si>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</si>
  <si>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</si>
  <si>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</si>
  <si>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</si>
  <si>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</si>
  <si>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</si>
  <si>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</si>
  <si>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</si>
  <si>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</si>
  <si>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</si>
  <si>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</si>
  <si>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</si>
  <si>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</si>
  <si>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</si>
  <si>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</si>
  <si>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</si>
  <si>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</si>
  <si>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</si>
  <si>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</si>
  <si>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</si>
  <si>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</si>
  <si>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</si>
  <si>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</si>
  <si>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</si>
  <si>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</si>
  <si>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</si>
  <si>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</si>
  <si>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</si>
  <si>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</si>
  <si>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</si>
  <si>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</si>
  <si>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</si>
  <si>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</si>
  <si>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</si>
  <si>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</si>
  <si>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</si>
  <si>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</si>
  <si>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</si>
  <si>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</si>
  <si>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</si>
  <si>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</si>
  <si>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</si>
  <si>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</si>
  <si>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</si>
  <si>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</si>
  <si>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</si>
  <si>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</si>
  <si>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</si>
  <si>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</si>
  <si>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</si>
  <si>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</si>
  <si>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</si>
  <si>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</si>
  <si>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</si>
  <si>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</si>
  <si>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</si>
  <si>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</si>
  <si>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</si>
  <si>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</si>
  <si>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</si>
  <si>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</si>
  <si>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</si>
  <si>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</si>
  <si>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</si>
  <si>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</si>
  <si>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</si>
  <si>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</si>
  <si>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</si>
  <si>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</si>
  <si>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</si>
  <si>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</si>
  <si>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</si>
  <si>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</si>
  <si>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</si>
  <si>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</si>
  <si>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</si>
  <si>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</si>
  <si>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</si>
  <si>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</si>
  <si>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</si>
  <si>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</si>
  <si>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</si>
  <si>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</si>
  <si>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</si>
  <si>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</si>
  <si>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</si>
  <si>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</si>
  <si>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</si>
  <si>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</si>
  <si>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</si>
  <si>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</si>
  <si>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</si>
  <si>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</si>
  <si>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</si>
  <si>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</si>
  <si>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</si>
  <si>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</si>
  <si>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</si>
  <si>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</si>
  <si>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</si>
  <si>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</si>
  <si>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</si>
  <si>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</si>
  <si>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</si>
  <si>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</si>
  <si>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</si>
  <si>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</si>
  <si>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</si>
  <si>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</si>
  <si>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</si>
  <si>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</si>
  <si>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</si>
  <si>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</si>
  <si>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</si>
  <si>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</si>
  <si>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</si>
  <si>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</si>
  <si>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</si>
  <si>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</si>
  <si>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</si>
  <si>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</si>
  <si>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</si>
  <si>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</si>
  <si>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</si>
  <si>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</si>
  <si>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</si>
  <si>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</si>
  <si>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</si>
  <si>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</si>
  <si>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</si>
  <si>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</si>
  <si>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</si>
  <si>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</si>
  <si>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</si>
  <si>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</si>
  <si>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</si>
  <si>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</si>
  <si>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</si>
  <si>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</si>
  <si>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</si>
  <si>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</si>
  <si>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</si>
  <si>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</si>
  <si>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</si>
  <si>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</si>
  <si>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</si>
  <si>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</si>
  <si>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</si>
  <si>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</si>
  <si>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</si>
  <si>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</si>
  <si>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</si>
  <si>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</si>
  <si>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</si>
  <si>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</si>
  <si>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</si>
  <si>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</si>
  <si>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</si>
  <si>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</si>
  <si>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</si>
  <si>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</si>
  <si>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</si>
  <si>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</si>
  <si>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</si>
  <si>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</si>
  <si>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</si>
  <si>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</si>
  <si>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</si>
  <si>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</si>
  <si>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</si>
  <si>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</si>
  <si>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</si>
  <si>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</si>
  <si>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</si>
  <si>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</si>
  <si>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</si>
  <si>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</si>
  <si>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</si>
  <si>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</si>
  <si>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</si>
  <si>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</si>
  <si>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</si>
  <si>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</si>
  <si>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</si>
  <si>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</si>
  <si>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</si>
  <si>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</si>
  <si>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</si>
  <si>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</si>
  <si>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</si>
  <si>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</si>
  <si>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</si>
  <si>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</si>
  <si>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</si>
  <si>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</si>
  <si>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</si>
  <si>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</si>
  <si>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</si>
  <si>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</si>
  <si>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</si>
  <si>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</si>
  <si>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</si>
  <si>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</si>
  <si>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</si>
  <si>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</si>
  <si>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</si>
  <si>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</si>
  <si>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</si>
  <si>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</si>
  <si>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</si>
  <si>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</si>
  <si>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</si>
  <si>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</si>
  <si>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</si>
  <si>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</si>
  <si>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</si>
  <si>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</si>
  <si>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</si>
  <si>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</si>
  <si>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</si>
  <si>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</si>
  <si>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</si>
  <si>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</si>
  <si>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</si>
  <si>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</si>
  <si>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</si>
  <si>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</si>
  <si>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</si>
  <si>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</si>
  <si>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</si>
  <si>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</si>
  <si>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</si>
  <si>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</si>
  <si>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</si>
  <si>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</si>
  <si>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</si>
  <si>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</si>
  <si>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</si>
  <si>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</si>
  <si>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</si>
  <si>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</si>
  <si>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</si>
  <si>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</si>
  <si>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</si>
  <si>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</si>
  <si>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</si>
  <si>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</si>
  <si>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</si>
  <si>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</si>
  <si>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</si>
  <si>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</si>
  <si>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</si>
  <si>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</si>
  <si>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</si>
  <si>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</si>
  <si>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</si>
  <si>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</si>
  <si>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</si>
  <si>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</si>
  <si>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</si>
  <si>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</si>
  <si>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</si>
  <si>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</si>
  <si>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</si>
  <si>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</si>
  <si>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</si>
  <si>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</si>
  <si>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</si>
  <si>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</si>
  <si>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</si>
  <si>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</si>
  <si>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</si>
  <si>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</si>
  <si>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</si>
  <si>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</si>
  <si>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</si>
  <si>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</si>
  <si>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</si>
  <si>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</si>
  <si>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</si>
  <si>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</si>
  <si>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</si>
  <si>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</si>
  <si>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</si>
  <si>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</si>
  <si>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</si>
  <si>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</si>
  <si>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</si>
  <si>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</si>
  <si>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</si>
  <si>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</si>
  <si>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</si>
  <si>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</si>
  <si>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</si>
  <si>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</si>
  <si>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</si>
  <si>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</si>
  <si>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</si>
  <si>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</si>
  <si>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</si>
  <si>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</si>
  <si>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</si>
  <si>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</si>
  <si>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</si>
  <si>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</si>
  <si>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</si>
  <si>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</si>
  <si>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</si>
  <si>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</si>
  <si>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</si>
  <si>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</si>
  <si>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</si>
  <si>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</si>
  <si>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</si>
  <si>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</si>
  <si>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</si>
  <si>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</si>
  <si>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</si>
  <si>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</si>
  <si>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</si>
  <si>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</si>
  <si>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</si>
  <si>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</si>
  <si>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</si>
  <si>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</si>
  <si>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</si>
  <si>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</si>
  <si>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</si>
  <si>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</si>
  <si>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</si>
  <si>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</si>
  <si>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</si>
  <si>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</si>
  <si>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</si>
  <si>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</si>
  <si>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</si>
  <si>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</si>
  <si>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</si>
  <si>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</si>
  <si>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</si>
  <si>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</si>
  <si>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</si>
  <si>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</si>
  <si>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</si>
  <si>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</si>
  <si>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</si>
  <si>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</si>
  <si>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</si>
  <si>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</si>
  <si>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</si>
  <si>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</si>
  <si>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</si>
  <si>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</si>
  <si>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</si>
  <si>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</si>
  <si>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</si>
  <si>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</si>
  <si>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</si>
  <si>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</si>
  <si>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</si>
  <si>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</si>
  <si>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</si>
  <si>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</si>
  <si>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</si>
  <si>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</si>
  <si>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</si>
  <si>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</si>
  <si>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</si>
  <si>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</si>
  <si>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</si>
  <si>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</si>
  <si>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</si>
  <si>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</si>
  <si>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</si>
  <si>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</si>
  <si>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</si>
  <si>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</si>
  <si>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</si>
  <si>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</si>
  <si>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</si>
  <si>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</si>
  <si>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</si>
  <si>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</si>
  <si>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</si>
  <si>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</si>
  <si>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</si>
  <si>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</si>
  <si>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</si>
  <si>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</si>
  <si>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</si>
  <si>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</si>
  <si>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</si>
  <si>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</si>
  <si>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</si>
  <si>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</si>
  <si>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</si>
  <si>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</si>
  <si>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</si>
  <si>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</si>
  <si>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</si>
  <si>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</si>
  <si>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</si>
  <si>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</si>
  <si>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</si>
  <si>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</si>
  <si>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</si>
  <si>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</si>
  <si>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</si>
  <si>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</si>
  <si>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</si>
  <si>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</si>
  <si>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</si>
  <si>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</si>
  <si>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</si>
  <si>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</si>
  <si>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</si>
  <si>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</si>
  <si>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</si>
  <si>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</si>
  <si>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</si>
  <si>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</si>
  <si>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</si>
  <si>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</si>
  <si>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</si>
  <si>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</si>
  <si>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</si>
  <si>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</si>
  <si>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</si>
  <si>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</si>
  <si>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</si>
  <si>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</si>
  <si>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</si>
  <si>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</si>
  <si>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</si>
  <si>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</si>
  <si>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</si>
  <si>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</si>
  <si>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</si>
  <si>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</si>
  <si>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</si>
  <si>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</si>
  <si>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</si>
  <si>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</si>
  <si>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</si>
  <si>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</si>
  <si>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</si>
  <si>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</si>
  <si>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</si>
  <si>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</si>
  <si>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</si>
  <si>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</si>
  <si>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</si>
  <si>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</si>
  <si>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</si>
  <si>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</si>
  <si>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</si>
  <si>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</si>
  <si>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</si>
  <si>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</si>
  <si>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</si>
  <si>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</si>
  <si>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</si>
  <si>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</si>
  <si>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</si>
  <si>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</si>
  <si>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</si>
  <si>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</si>
  <si>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</si>
  <si>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</si>
  <si>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</si>
  <si>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</si>
  <si>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</si>
  <si>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</si>
  <si>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</si>
  <si>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</si>
  <si>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</si>
  <si>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</si>
  <si>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</si>
  <si>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</si>
  <si>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</si>
  <si>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</si>
  <si>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</si>
  <si>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</si>
  <si>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</si>
  <si>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</si>
  <si>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</si>
  <si>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</si>
  <si>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</si>
  <si>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</si>
  <si>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</si>
  <si>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</si>
  <si>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</si>
  <si>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</si>
  <si>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</si>
  <si>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</si>
  <si>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</si>
  <si>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</si>
  <si>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</si>
  <si>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</si>
  <si>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</si>
  <si>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</si>
  <si>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</si>
  <si>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</si>
  <si>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</si>
  <si>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</si>
  <si>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</si>
  <si>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</si>
  <si>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</si>
  <si>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</si>
  <si>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</si>
  <si>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</si>
  <si>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</si>
  <si>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</si>
  <si>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</si>
  <si>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</si>
  <si>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</si>
  <si>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</si>
  <si>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</si>
  <si>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</si>
  <si>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</si>
  <si>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</si>
  <si>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</si>
  <si>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</si>
  <si>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</si>
  <si>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</si>
  <si>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</si>
  <si>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</si>
  <si>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</si>
  <si>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</si>
  <si>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</si>
  <si>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</si>
  <si>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</si>
  <si>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</si>
  <si>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</si>
  <si>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</si>
  <si>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</si>
  <si>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</si>
  <si>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</si>
  <si>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</si>
  <si>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</si>
  <si>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</si>
  <si>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</si>
  <si>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</si>
  <si>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</si>
  <si>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</si>
  <si>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</si>
  <si>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</si>
  <si>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</si>
  <si>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</si>
  <si>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</si>
  <si>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</si>
  <si>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</si>
  <si>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</si>
  <si>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</si>
  <si>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</si>
  <si>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</si>
  <si>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</si>
  <si>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</si>
  <si>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</si>
  <si>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</si>
  <si>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</si>
  <si>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</si>
  <si>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</si>
  <si>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</si>
  <si>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</si>
  <si>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</si>
  <si>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</si>
  <si>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</si>
  <si>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</si>
  <si>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</si>
  <si>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</si>
  <si>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</si>
  <si>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</si>
  <si>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</si>
  <si>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</si>
  <si>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</si>
  <si>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</si>
  <si>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</si>
  <si>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</si>
  <si>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</si>
  <si>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</si>
  <si>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</si>
  <si>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</si>
  <si>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</si>
  <si>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</si>
  <si>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</si>
  <si>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</si>
  <si>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</si>
  <si>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</si>
  <si>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</si>
  <si>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</si>
  <si>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</si>
  <si>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</si>
  <si>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</si>
  <si>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</si>
  <si>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</si>
  <si>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</si>
  <si>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</si>
  <si>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</si>
  <si>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</si>
  <si>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</si>
  <si>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</si>
  <si>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</si>
  <si>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</si>
  <si>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</si>
  <si>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</si>
  <si>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</si>
  <si>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</si>
  <si>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</si>
  <si>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</si>
  <si>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</si>
  <si>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</si>
  <si>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</si>
  <si>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</si>
  <si>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</si>
  <si>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</si>
  <si>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</si>
  <si>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</si>
  <si>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</si>
  <si>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</si>
  <si>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</si>
  <si>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</si>
  <si>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</si>
  <si>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</si>
  <si>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</si>
  <si>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</si>
  <si>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</si>
  <si>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</si>
  <si>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</si>
  <si>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</si>
  <si>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</si>
  <si>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</si>
  <si>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</si>
  <si>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</si>
  <si>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</si>
  <si>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</si>
  <si>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</si>
  <si>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</si>
  <si>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</si>
  <si>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</si>
  <si>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</si>
  <si>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</si>
  <si>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</si>
  <si>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</si>
  <si>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</si>
  <si>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</si>
  <si>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</si>
  <si>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</si>
  <si>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</si>
  <si>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</si>
  <si>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</si>
  <si>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</si>
  <si>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</si>
  <si>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</si>
  <si>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</si>
  <si>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</si>
  <si>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</si>
  <si>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</si>
  <si>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</si>
  <si>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</si>
  <si>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</si>
  <si>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</si>
  <si>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</si>
  <si>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</si>
  <si>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</si>
  <si>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</si>
  <si>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</si>
  <si>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</si>
  <si>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</si>
  <si>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</si>
  <si>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</si>
  <si>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</si>
  <si>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</si>
  <si>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</si>
  <si>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</si>
  <si>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</si>
  <si>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</si>
  <si>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</si>
  <si>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</si>
  <si>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</si>
  <si>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</si>
  <si>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</si>
  <si>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</si>
  <si>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</si>
  <si>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</si>
  <si>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</si>
  <si>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</si>
  <si>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</si>
  <si>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</si>
  <si>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</si>
  <si>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</si>
  <si>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</si>
  <si>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</si>
  <si>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</si>
  <si>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</si>
  <si>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</si>
  <si>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</si>
  <si>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</si>
  <si>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</si>
  <si>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</si>
  <si>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</si>
  <si>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</si>
  <si>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</si>
  <si>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</si>
  <si>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</si>
  <si>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</si>
  <si>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</si>
  <si>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</si>
  <si>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</si>
  <si>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</si>
  <si>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</si>
  <si>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</si>
  <si>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</si>
  <si>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</si>
  <si>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</si>
  <si>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</si>
  <si>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</si>
  <si>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</si>
  <si>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</si>
  <si>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</si>
  <si>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</si>
  <si>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</si>
  <si>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</si>
  <si>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</si>
  <si>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</si>
  <si>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</si>
  <si>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</si>
  <si>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</si>
  <si>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</si>
  <si>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</si>
  <si>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</si>
  <si>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</si>
  <si>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</si>
  <si>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</si>
  <si>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</si>
  <si>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</si>
  <si>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</si>
  <si>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</si>
  <si>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</si>
  <si>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</si>
  <si>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</si>
  <si>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</si>
  <si>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</si>
  <si>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</si>
  <si>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</si>
  <si>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</si>
  <si>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</si>
  <si>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</si>
  <si>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</si>
  <si>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</si>
  <si>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</si>
  <si>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</si>
  <si>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</si>
  <si>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</si>
  <si>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</si>
  <si>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</si>
  <si>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</si>
  <si>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</si>
  <si>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</si>
  <si>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</si>
  <si>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</si>
  <si>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</si>
  <si>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</si>
  <si>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</si>
  <si>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</si>
  <si>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</si>
  <si>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</si>
  <si>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</si>
  <si>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</si>
  <si>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</si>
  <si>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</si>
  <si>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</si>
  <si>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</si>
  <si>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</si>
  <si>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</si>
  <si>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</si>
  <si>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</si>
  <si>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</si>
  <si>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</si>
  <si>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</si>
  <si>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</si>
  <si>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</si>
  <si>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</si>
  <si>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</si>
  <si>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</si>
  <si>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</si>
  <si>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</si>
  <si>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</si>
  <si>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</si>
  <si>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</si>
  <si>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</si>
  <si>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</si>
  <si>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</si>
  <si>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</si>
  <si>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</si>
  <si>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</si>
  <si>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</si>
  <si>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</si>
  <si>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</si>
  <si>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</si>
  <si>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</si>
  <si>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</si>
  <si>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</si>
  <si>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</si>
  <si>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</si>
  <si>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</si>
  <si>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</si>
  <si>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</si>
  <si>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</si>
  <si>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</si>
  <si>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</si>
  <si>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</si>
  <si>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</si>
  <si>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</si>
  <si>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</si>
  <si>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</si>
  <si>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</si>
  <si>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</si>
  <si>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</si>
  <si>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</si>
  <si>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</si>
  <si>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</si>
  <si>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</si>
  <si>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</si>
  <si>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</si>
  <si>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</si>
  <si>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</si>
  <si>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</si>
  <si>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</si>
  <si>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</si>
  <si>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</si>
  <si>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</si>
  <si>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</si>
  <si>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</si>
  <si>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</si>
  <si>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</si>
  <si>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</si>
  <si>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</si>
  <si>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</si>
  <si>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</si>
  <si>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</si>
  <si>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</si>
  <si>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</si>
  <si>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</si>
  <si>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</si>
  <si>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</si>
  <si>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</si>
  <si>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</si>
  <si>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</si>
  <si>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</si>
  <si>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</si>
  <si>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</si>
  <si>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</si>
  <si>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</si>
  <si>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</si>
  <si>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</si>
  <si>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</si>
  <si>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</si>
  <si>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</si>
  <si>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</si>
  <si>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</si>
  <si>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</si>
  <si>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</si>
  <si>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</si>
  <si>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</si>
  <si>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</si>
  <si>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</si>
  <si>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</si>
  <si>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</si>
  <si>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</si>
  <si>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</si>
  <si>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</si>
  <si>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</si>
  <si>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</si>
  <si>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</si>
  <si>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</si>
  <si>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</si>
  <si>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</si>
  <si>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</si>
  <si>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</si>
  <si>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</si>
  <si>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</si>
  <si>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</si>
  <si>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</si>
  <si>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</si>
  <si>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</si>
  <si>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</si>
  <si>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</si>
  <si>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</si>
  <si>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</si>
  <si>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</si>
  <si>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</si>
  <si>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</si>
  <si>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</si>
  <si>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</si>
  <si>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</si>
  <si>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</si>
  <si>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</si>
  <si>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</si>
  <si>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</si>
  <si>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</si>
  <si>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</si>
  <si>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</si>
  <si>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</si>
  <si>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</si>
  <si>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</si>
  <si>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</si>
  <si>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</si>
  <si>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</si>
  <si>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</si>
  <si>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</si>
  <si>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</si>
  <si>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</si>
  <si>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</si>
  <si>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</si>
  <si>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</si>
  <si>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</si>
  <si>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</si>
  <si>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</si>
  <si>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</si>
  <si>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</si>
  <si>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</si>
  <si>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</si>
  <si>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</si>
  <si>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</si>
  <si>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</si>
  <si>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</si>
  <si>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</si>
  <si>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</si>
  <si>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</si>
  <si>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</si>
  <si>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</si>
  <si>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</si>
  <si>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</si>
  <si>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</si>
  <si>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</si>
  <si>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</si>
  <si>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</si>
  <si>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</si>
  <si>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</si>
  <si>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</si>
  <si>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</si>
  <si>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</si>
  <si>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</si>
  <si>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</si>
  <si>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</si>
  <si>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</si>
  <si>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</si>
  <si>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</si>
  <si>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</si>
  <si>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</si>
  <si>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</si>
  <si>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</si>
  <si>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</si>
  <si>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</si>
  <si>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</si>
  <si>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</si>
  <si>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</si>
  <si>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</si>
  <si>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</si>
  <si>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</si>
  <si>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</si>
  <si>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</si>
  <si>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</si>
  <si>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</si>
  <si>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</si>
  <si>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</si>
  <si>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</si>
  <si>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</si>
  <si>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</si>
  <si>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</si>
  <si>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</si>
  <si>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</si>
  <si>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</si>
  <si>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</si>
  <si>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</si>
  <si>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</si>
  <si>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</si>
  <si>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</si>
  <si>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</si>
  <si>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</si>
  <si>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</si>
  <si>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</si>
  <si>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</si>
  <si>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</si>
  <si>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</si>
  <si>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</si>
  <si>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</si>
  <si>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</si>
  <si>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</si>
  <si>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</si>
  <si>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</si>
  <si>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</si>
  <si>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</si>
  <si>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</si>
  <si>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</si>
  <si>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</si>
  <si>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</si>
  <si>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</si>
  <si>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</si>
  <si>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</si>
  <si>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</si>
  <si>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</si>
  <si>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</si>
  <si>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</si>
  <si>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</si>
  <si>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</si>
  <si>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</si>
  <si>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</si>
  <si>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</si>
  <si>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</si>
  <si>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</si>
  <si>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</si>
  <si>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</si>
  <si>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</si>
  <si>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</si>
  <si>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</si>
  <si>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</si>
  <si>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</si>
  <si>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</si>
  <si>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</si>
  <si>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</si>
  <si>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</si>
  <si>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</si>
  <si>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</si>
  <si>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</si>
  <si>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</si>
  <si>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</si>
  <si>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</si>
  <si>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</si>
  <si>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</si>
  <si>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</si>
  <si>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</si>
  <si>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</si>
  <si>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</si>
  <si>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</si>
  <si>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</si>
  <si>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</si>
  <si>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</si>
  <si>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</si>
  <si>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</si>
  <si>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</si>
  <si>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</si>
  <si>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</si>
  <si>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</si>
  <si>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</si>
  <si>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</si>
  <si>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</si>
  <si>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</si>
  <si>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</si>
  <si>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</si>
  <si>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</si>
  <si>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</si>
  <si>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</si>
  <si>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</si>
  <si>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</si>
  <si>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</si>
  <si>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</si>
  <si>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</si>
  <si>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</si>
  <si>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</si>
  <si>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</si>
  <si>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</si>
  <si>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</si>
  <si>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</si>
  <si>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</si>
  <si>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</si>
  <si>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</si>
  <si>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</si>
  <si>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</si>
  <si>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</si>
  <si>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</si>
  <si>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</si>
  <si>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</si>
  <si>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</si>
  <si>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</si>
  <si>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</si>
  <si>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</si>
  <si>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</si>
  <si>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</si>
  <si>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</si>
  <si>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</si>
  <si>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</si>
  <si>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</si>
  <si>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</si>
  <si>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</si>
  <si>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</si>
  <si>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</si>
  <si>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</si>
  <si>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</si>
  <si>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</si>
  <si>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</si>
  <si>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</si>
  <si>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</si>
  <si>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</si>
  <si>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</si>
  <si>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</si>
  <si>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</si>
  <si>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</si>
  <si>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</si>
  <si>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</si>
  <si>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</si>
  <si>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</si>
  <si>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</si>
  <si>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</si>
  <si>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</si>
  <si>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</si>
  <si>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</si>
  <si>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</si>
  <si>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</si>
  <si>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</si>
  <si>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</si>
  <si>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</si>
  <si>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</si>
  <si>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</si>
  <si>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</si>
  <si>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</si>
  <si>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</si>
  <si>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</si>
  <si>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</si>
  <si>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</si>
  <si>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</si>
  <si>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</si>
  <si>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</si>
  <si>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</si>
  <si>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</si>
  <si>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</si>
  <si>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</si>
  <si>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</si>
  <si>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</si>
  <si>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</si>
  <si>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</si>
  <si>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</si>
  <si>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</si>
  <si>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</si>
  <si>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</si>
  <si>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</si>
  <si>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</si>
  <si>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</si>
  <si>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</si>
  <si>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</si>
  <si>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</si>
  <si>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</si>
  <si>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</si>
  <si>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</si>
  <si>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</si>
  <si>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</si>
  <si>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</si>
  <si>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</si>
  <si>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</si>
  <si>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</si>
  <si>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</si>
  <si>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</si>
  <si>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</si>
  <si>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</si>
  <si>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</si>
  <si>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</si>
  <si>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</si>
  <si>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</si>
  <si>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</si>
  <si>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</si>
  <si>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</si>
  <si>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</si>
  <si>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</si>
  <si>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</si>
  <si>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</si>
  <si>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</si>
  <si>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</si>
  <si>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</si>
  <si>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</si>
  <si>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</si>
  <si>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</si>
  <si>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</si>
  <si>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</si>
  <si>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</si>
  <si>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</si>
  <si>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</si>
  <si>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</si>
  <si>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</si>
  <si>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</si>
  <si>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</si>
  <si>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</si>
  <si>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</si>
  <si>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</si>
  <si>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</si>
  <si>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</si>
  <si>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</si>
  <si>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</si>
  <si>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</si>
  <si>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</si>
  <si>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</si>
  <si>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</si>
  <si>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</si>
  <si>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</si>
  <si>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</si>
  <si>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</si>
  <si>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</si>
  <si>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</si>
  <si>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</si>
  <si>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</si>
  <si>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</si>
  <si>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</si>
  <si>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</si>
  <si>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</si>
  <si>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</si>
  <si>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</si>
  <si>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</si>
  <si>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</si>
  <si>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</si>
  <si>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</si>
  <si>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</si>
  <si>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</si>
  <si>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</si>
  <si>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</si>
  <si>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</si>
  <si>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</si>
  <si>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</si>
  <si>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</si>
  <si>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</si>
  <si>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</si>
  <si>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</si>
  <si>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</si>
  <si>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</si>
  <si>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</si>
  <si>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</si>
  <si>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</si>
  <si>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</si>
  <si>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</si>
  <si>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</si>
  <si>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</si>
  <si>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</si>
  <si>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</si>
  <si>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</si>
  <si>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</si>
  <si>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</si>
  <si>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</si>
  <si>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</si>
  <si>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</si>
  <si>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</si>
  <si>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</si>
  <si>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</si>
  <si>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</si>
  <si>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</si>
  <si>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</si>
  <si>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</si>
  <si>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</si>
  <si>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</si>
  <si>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</si>
  <si>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</si>
  <si>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</si>
  <si>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</si>
  <si>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</si>
  <si>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</si>
  <si>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</si>
  <si>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</si>
  <si>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</si>
  <si>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</si>
  <si>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</si>
  <si>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</si>
  <si>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</si>
  <si>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</si>
  <si>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</si>
  <si>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</si>
  <si>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</si>
  <si>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</si>
  <si>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</si>
  <si>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</si>
  <si>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</si>
  <si>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</si>
  <si>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</si>
  <si>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</si>
  <si>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</si>
  <si>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</si>
  <si>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</si>
  <si>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</si>
  <si>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</si>
  <si>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</si>
  <si>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</si>
  <si>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</si>
  <si>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</si>
  <si>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</si>
  <si>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</si>
  <si>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</si>
  <si>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</si>
  <si>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</si>
  <si>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</si>
  <si>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</si>
  <si>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</si>
  <si>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</si>
  <si>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</si>
  <si>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</si>
  <si>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</si>
  <si>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</si>
  <si>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</si>
  <si>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</si>
  <si>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</si>
  <si>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</si>
  <si>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</si>
  <si>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</si>
  <si>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</si>
  <si>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</si>
  <si>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</si>
  <si>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</si>
  <si>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</si>
  <si>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</si>
  <si>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</si>
  <si>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</si>
  <si>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</si>
  <si>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</si>
  <si>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</si>
  <si>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</si>
  <si>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</si>
  <si>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</si>
  <si>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</si>
  <si>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</si>
  <si>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</si>
  <si>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</si>
  <si>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</si>
  <si>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</si>
  <si>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</si>
  <si>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</si>
  <si>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</si>
  <si>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</si>
  <si>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</si>
  <si>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</si>
  <si>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</si>
  <si>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</si>
  <si>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</si>
  <si>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</si>
  <si>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</si>
  <si>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</si>
  <si>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</si>
  <si>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</si>
  <si>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</si>
  <si>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</si>
  <si>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</si>
  <si>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</si>
  <si>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</si>
  <si>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</si>
  <si>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</si>
  <si>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</si>
  <si>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</si>
  <si>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</si>
  <si>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</si>
  <si>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</si>
  <si>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</si>
  <si>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</si>
  <si>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</si>
  <si>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</si>
  <si>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</si>
  <si>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</si>
  <si>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</si>
  <si>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</si>
  <si>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</si>
  <si>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</si>
  <si>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</si>
  <si>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</si>
  <si>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</si>
  <si>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</si>
  <si>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</si>
  <si>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</si>
  <si>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</si>
  <si>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</si>
  <si>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</si>
  <si>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</si>
  <si>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</si>
  <si>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</si>
  <si>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</si>
  <si>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</si>
  <si>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</si>
  <si>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</si>
  <si>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</si>
  <si>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</si>
  <si>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</si>
  <si>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</si>
  <si>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</si>
  <si>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</si>
  <si>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</si>
  <si>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</si>
  <si>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</si>
  <si>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</si>
  <si>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</si>
  <si>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</si>
  <si>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</si>
  <si>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</si>
  <si>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</si>
  <si>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</si>
  <si>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</si>
  <si>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</si>
  <si>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</si>
  <si>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</si>
  <si>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</si>
  <si>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</si>
  <si>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</si>
  <si>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</si>
  <si>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</si>
  <si>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</si>
  <si>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</si>
  <si>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</si>
  <si>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</si>
  <si>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</si>
  <si>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</si>
  <si>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</si>
  <si>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</si>
  <si>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</si>
  <si>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</si>
  <si>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</si>
  <si>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</si>
  <si>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</si>
  <si>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</si>
  <si>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</si>
  <si>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</si>
  <si>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</si>
  <si>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</si>
  <si>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</si>
  <si>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</si>
  <si>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</si>
  <si>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</si>
  <si>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</si>
  <si>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</si>
  <si>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</si>
  <si>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</si>
  <si>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</si>
  <si>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</si>
  <si>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</si>
  <si>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</si>
  <si>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</si>
  <si>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</si>
  <si>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</si>
  <si>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</si>
  <si>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</si>
  <si>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</si>
  <si>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</si>
  <si>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</si>
  <si>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</si>
  <si>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</si>
  <si>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</si>
  <si>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</si>
  <si>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</si>
  <si>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</si>
  <si>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</si>
  <si>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</si>
  <si>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</si>
  <si>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</si>
  <si>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</si>
  <si>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</si>
  <si>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</si>
  <si>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</si>
  <si>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</si>
  <si>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</si>
  <si>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</si>
  <si>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</si>
  <si>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</si>
  <si>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</si>
  <si>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</si>
  <si>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</si>
  <si>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</si>
  <si>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</si>
  <si>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</si>
  <si>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</si>
  <si>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</si>
  <si>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</si>
  <si>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</si>
  <si>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</si>
  <si>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</si>
  <si>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</si>
  <si>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</si>
  <si>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</si>
  <si>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</si>
  <si>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</si>
  <si>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</si>
  <si>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</si>
  <si>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</si>
  <si>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</si>
  <si>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</si>
  <si>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</si>
  <si>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</si>
  <si>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</si>
  <si>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</si>
  <si>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</si>
  <si>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</si>
  <si>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</si>
  <si>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</si>
  <si>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</si>
  <si>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</si>
  <si>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</si>
  <si>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</si>
  <si>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</si>
  <si>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</si>
  <si>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</si>
  <si>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</si>
  <si>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</si>
  <si>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</si>
  <si>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</si>
  <si>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</si>
  <si>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</si>
  <si>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</si>
  <si>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</si>
  <si>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</si>
  <si>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</si>
  <si>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</si>
  <si>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</si>
  <si>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</si>
  <si>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</si>
  <si>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</si>
  <si>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</si>
  <si>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</si>
  <si>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</si>
  <si>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</si>
  <si>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</si>
  <si>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</si>
  <si>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</si>
  <si>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</si>
  <si>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</si>
  <si>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</si>
  <si>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</si>
  <si>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</si>
  <si>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</si>
  <si>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</si>
  <si>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</si>
  <si>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</si>
  <si>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</si>
  <si>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</si>
  <si>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</si>
  <si>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</si>
  <si>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</si>
  <si>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</si>
  <si>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</si>
  <si>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</si>
  <si>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</si>
  <si>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</si>
  <si>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</si>
  <si>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</si>
  <si>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</si>
  <si>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</si>
  <si>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</si>
  <si>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</si>
  <si>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</si>
  <si>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</si>
  <si>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</si>
  <si>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</si>
  <si>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</si>
  <si>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</si>
  <si>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</si>
  <si>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</si>
  <si>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</si>
  <si>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</si>
  <si>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</si>
  <si>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</si>
  <si>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</si>
  <si>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</si>
  <si>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</si>
  <si>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</si>
  <si>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</si>
  <si>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</si>
  <si>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</si>
  <si>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</si>
  <si>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</si>
  <si>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</si>
  <si>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</si>
  <si>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</si>
  <si>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</si>
  <si>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</si>
  <si>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</si>
  <si>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</si>
  <si>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</si>
  <si>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</si>
  <si>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</si>
  <si>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</si>
  <si>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</si>
  <si>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</si>
  <si>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</si>
  <si>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</si>
  <si>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</si>
  <si>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</si>
  <si>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</si>
  <si>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</si>
  <si>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</si>
  <si>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</si>
  <si>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</si>
  <si>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</si>
  <si>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</si>
  <si>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</si>
  <si>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</si>
  <si>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</si>
  <si>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</si>
  <si>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</si>
  <si>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</si>
  <si>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</si>
  <si>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</si>
  <si>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</si>
  <si>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</si>
  <si>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</si>
  <si>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</si>
  <si>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</si>
  <si>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</si>
  <si>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</si>
  <si>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</si>
  <si>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</si>
  <si>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</si>
  <si>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</si>
  <si>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</si>
  <si>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</si>
  <si>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</si>
  <si>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</si>
  <si>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</si>
  <si>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</si>
  <si>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</si>
  <si>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</si>
  <si>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</si>
  <si>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</si>
  <si>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</si>
  <si>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</si>
  <si>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</si>
  <si>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</si>
  <si>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</si>
  <si>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</si>
  <si>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</si>
  <si>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</si>
  <si>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</si>
  <si>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</si>
  <si>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</si>
  <si>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</si>
  <si>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</si>
  <si>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</si>
  <si>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</si>
  <si>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</si>
  <si>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</si>
  <si>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</si>
  <si>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</si>
  <si>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</si>
  <si>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</si>
  <si>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</si>
  <si>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</si>
  <si>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</si>
  <si>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</si>
  <si>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</si>
  <si>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</si>
  <si>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</si>
  <si>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</si>
  <si>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</si>
  <si>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</si>
  <si>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</si>
  <si>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</si>
  <si>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</si>
  <si>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</si>
  <si>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</si>
  <si>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</si>
  <si>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</si>
  <si>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</si>
  <si>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</si>
  <si>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</si>
  <si>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</si>
  <si>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</si>
  <si>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</si>
  <si>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</si>
  <si>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</si>
  <si>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</si>
  <si>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</si>
  <si>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</si>
  <si>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</si>
  <si>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</si>
  <si>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</si>
  <si>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</si>
  <si>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</si>
  <si>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</si>
  <si>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</si>
  <si>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</si>
  <si>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</si>
  <si>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</si>
  <si>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</si>
  <si>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</si>
  <si>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</si>
  <si>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</si>
  <si>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</si>
  <si>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</si>
  <si>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</si>
  <si>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</si>
  <si>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</si>
  <si>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</si>
  <si>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</si>
  <si>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</si>
  <si>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</si>
  <si>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</si>
  <si>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</si>
  <si>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</si>
  <si>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</si>
  <si>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</si>
  <si>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</si>
  <si>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</si>
  <si>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</si>
  <si>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</si>
  <si>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</si>
  <si>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</si>
  <si>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</si>
  <si>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</si>
  <si>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</si>
  <si>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</si>
  <si>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</si>
  <si>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</si>
  <si>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</si>
  <si>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</si>
  <si>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</si>
  <si>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</si>
  <si>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</si>
  <si>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</si>
  <si>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</si>
  <si>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</si>
  <si>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</si>
  <si>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</si>
  <si>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</si>
  <si>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</si>
  <si>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</si>
  <si>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</si>
  <si>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</si>
  <si>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</si>
  <si>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</si>
  <si>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</si>
  <si>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</si>
  <si>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</si>
  <si>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</si>
  <si>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</si>
  <si>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</si>
  <si>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</si>
  <si>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</si>
  <si>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</si>
  <si>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</si>
  <si>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</si>
  <si>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</si>
  <si>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</si>
  <si>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</si>
  <si>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</si>
  <si>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</si>
  <si>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</si>
  <si>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</si>
  <si>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</si>
  <si>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</si>
  <si>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</si>
  <si>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</si>
  <si>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</si>
  <si>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</si>
  <si>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</si>
  <si>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</si>
  <si>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</si>
  <si>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</si>
  <si>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</si>
  <si>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</si>
  <si>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</si>
  <si>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</si>
  <si>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</si>
  <si>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</si>
  <si>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</si>
  <si>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</si>
  <si>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</si>
  <si>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</si>
  <si>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</si>
  <si>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</si>
  <si>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</si>
  <si>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</si>
  <si>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</si>
  <si>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</si>
  <si>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</si>
  <si>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</si>
  <si>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</si>
  <si>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</si>
  <si>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</si>
  <si>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</si>
  <si>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</si>
  <si>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</si>
  <si>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</si>
  <si>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</si>
  <si>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</si>
  <si>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</si>
  <si>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</si>
  <si>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</si>
  <si>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</si>
  <si>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</si>
  <si>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</si>
  <si>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</si>
  <si>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</si>
  <si>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</si>
  <si>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</si>
  <si>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</si>
  <si>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</si>
  <si>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</si>
  <si>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</si>
  <si>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</si>
  <si>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</si>
  <si>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</si>
  <si>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</si>
  <si>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</si>
  <si>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</si>
  <si>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</si>
  <si>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</si>
  <si>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</si>
  <si>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</si>
  <si>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</si>
  <si>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</si>
  <si>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</si>
  <si>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</si>
  <si>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</si>
  <si>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</si>
  <si>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</si>
  <si>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</si>
  <si>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</si>
  <si>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</si>
  <si>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</si>
  <si>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</si>
  <si>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</si>
  <si>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</si>
  <si>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</si>
  <si>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</si>
  <si>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</si>
  <si>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</si>
  <si>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</si>
  <si>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</si>
  <si>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</si>
  <si>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</si>
  <si>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</si>
  <si>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</si>
  <si>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</si>
  <si>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</si>
  <si>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</si>
  <si>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</si>
  <si>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</si>
  <si>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</si>
  <si>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</si>
  <si>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</si>
  <si>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</si>
  <si>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</si>
  <si>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</si>
  <si>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</si>
  <si>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</si>
  <si>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</si>
  <si>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</si>
  <si>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</si>
  <si>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</si>
  <si>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</si>
  <si>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</si>
  <si>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</si>
  <si>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</si>
  <si>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</si>
  <si>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</si>
  <si>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</si>
  <si>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</si>
  <si>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</si>
  <si>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</si>
  <si>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</si>
  <si>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</si>
  <si>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</si>
  <si>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</si>
  <si>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</si>
  <si>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</si>
  <si>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</si>
  <si>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</si>
  <si>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</si>
  <si>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</si>
  <si>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</si>
  <si>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</si>
  <si>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</si>
  <si>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</si>
  <si>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</si>
  <si>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</si>
  <si>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</si>
  <si>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</si>
  <si>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</si>
  <si>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</si>
  <si>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</si>
  <si>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</si>
  <si>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</si>
  <si>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</si>
  <si>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</si>
  <si>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</si>
  <si>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</si>
  <si>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</si>
  <si>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</si>
  <si>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</si>
  <si>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</si>
  <si>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</si>
  <si>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</si>
  <si>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</si>
  <si>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</si>
  <si>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</si>
  <si>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</si>
  <si>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</si>
  <si>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</si>
  <si>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</si>
  <si>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</si>
  <si>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</si>
  <si>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</si>
  <si>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</si>
  <si>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</si>
  <si>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</si>
  <si>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</si>
  <si>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</si>
  <si>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</si>
  <si>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</si>
  <si>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</si>
  <si>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</si>
  <si>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</si>
  <si>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</si>
  <si>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</si>
  <si>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</si>
  <si>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</si>
  <si>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</si>
  <si>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</si>
  <si>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</si>
  <si>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</si>
  <si>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</si>
  <si>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</si>
  <si>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</si>
  <si>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</si>
  <si>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</si>
  <si>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</si>
  <si>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</si>
  <si>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</si>
  <si>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</si>
  <si>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</si>
  <si>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</si>
  <si>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</si>
  <si>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</si>
  <si>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</si>
  <si>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</si>
  <si>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</si>
  <si>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</si>
  <si>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</si>
  <si>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</si>
  <si>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</si>
  <si>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</si>
  <si>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</si>
  <si>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</si>
  <si>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</si>
  <si>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</si>
  <si>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</si>
  <si>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</si>
  <si>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</si>
  <si>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</si>
  <si>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</si>
  <si>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</si>
  <si>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</si>
  <si>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</si>
  <si>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</si>
  <si>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</si>
  <si>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</si>
  <si>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</si>
  <si>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</si>
  <si>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</si>
  <si>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</si>
  <si>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</si>
  <si>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</si>
  <si>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</si>
  <si>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</si>
  <si>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</si>
  <si>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</si>
  <si>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</si>
  <si>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</si>
  <si>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</si>
  <si>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</si>
  <si>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</si>
  <si>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</si>
  <si>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</si>
  <si>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</si>
  <si>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</si>
  <si>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</si>
  <si>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</si>
  <si>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</si>
  <si>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</si>
  <si>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</si>
  <si>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</si>
  <si>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</si>
  <si>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</si>
  <si>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</si>
  <si>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</si>
  <si>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</si>
  <si>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</si>
  <si>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</si>
  <si>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</si>
  <si>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</si>
  <si>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(All)</t>
  </si>
  <si>
    <t>Count of outcomes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</si>
  <si>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</si>
  <si>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</si>
  <si>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</si>
  <si>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</si>
  <si>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</si>
  <si>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</si>
  <si>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</si>
  <si>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</si>
  <si>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</si>
  <si>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</si>
  <si>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</si>
  <si>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</si>
  <si>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</si>
  <si>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</si>
  <si>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</si>
  <si>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</si>
  <si>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</si>
  <si>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</si>
  <si>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</si>
  <si>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</si>
  <si>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</si>
  <si>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Mean Pledged</t>
  </si>
  <si>
    <t>Median Pledged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</si>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</sst>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₹&quot;* #,##0.00_);_(&quot;₹&quot;* \(#,##0.00\);_(&quot;₹&quot;* &quot;-&quot;??_);_(@_)"/>
    <numFmt numFmtId="164" formatCode="_(&quot;$&quot;* #,##0.00_);_(&quot;$&quot;* \(#,##0.00\);_(&quot;$&quot;* &quot;-&quot;??_);_(@_)"/>
    <numFmt numFmtId="165" formatCode="&quot;$&quot;#,##0.00"/>
    <numFmt numFmtId="166" formatCode="[$$-409]#,##0"/>
  </numFmts>
  <fonts count="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rgb="FF2B2B2B"/>
      <name val="Roboto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2" fontId="0" fillId="0" borderId="0" xfId="0" applyNumberFormat="1"/>
    <xf numFmtId="2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  <xf numFmtId="0" fontId="5" fillId="0" borderId="0" xfId="0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5"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57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1-CB4E-9045-6F72833ACE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F0-5447-8C18-1F34CDA5DF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F0-5447-8C18-1F34CDA5DF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F0-5447-8C18-1F34CDA5D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90155167"/>
        <c:axId val="1890305183"/>
      </c:barChart>
      <c:catAx>
        <c:axId val="189015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05183"/>
        <c:crosses val="autoZero"/>
        <c:auto val="1"/>
        <c:lblAlgn val="ctr"/>
        <c:lblOffset val="100"/>
        <c:noMultiLvlLbl val="0"/>
      </c:catAx>
      <c:valAx>
        <c:axId val="189030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15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7016118422526457E-2"/>
          <c:y val="0.15508752599852813"/>
          <c:w val="0.72267825896762905"/>
          <c:h val="0.5925069262175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F-6840-B059-A822640E90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790-D04A-944D-9A06187A2D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790-D04A-944D-9A06187A2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6986351"/>
        <c:axId val="1890615775"/>
      </c:barChart>
      <c:catAx>
        <c:axId val="135698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15775"/>
        <c:crosses val="autoZero"/>
        <c:auto val="1"/>
        <c:lblAlgn val="ctr"/>
        <c:lblOffset val="100"/>
        <c:noMultiLvlLbl val="0"/>
      </c:catAx>
      <c:valAx>
        <c:axId val="1890615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98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F3-9A4C-826B-7B558F23496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F3-9A4C-826B-7B558F23496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F3-9A4C-826B-7B558F2349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F3-9A4C-826B-7B558F234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920591"/>
        <c:axId val="1661847247"/>
      </c:lineChart>
      <c:catAx>
        <c:axId val="16249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847247"/>
        <c:crosses val="autoZero"/>
        <c:auto val="1"/>
        <c:lblAlgn val="ctr"/>
        <c:lblOffset val="100"/>
        <c:noMultiLvlLbl val="0"/>
      </c:catAx>
      <c:valAx>
        <c:axId val="166184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9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939314017786612E-2"/>
          <c:y val="1.5464788732394366E-2"/>
          <c:w val="0.81562278622939122"/>
          <c:h val="0.9036901408450703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F-0948-A6A1-8F1EAF36114F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CF-0948-A6A1-8F1EAF36114F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CF-0948-A6A1-8F1EAF361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546752"/>
        <c:axId val="1770549104"/>
      </c:lineChart>
      <c:catAx>
        <c:axId val="177054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549104"/>
        <c:crosses val="autoZero"/>
        <c:auto val="1"/>
        <c:lblAlgn val="ctr"/>
        <c:lblOffset val="100"/>
        <c:noMultiLvlLbl val="0"/>
      </c:catAx>
      <c:valAx>
        <c:axId val="177054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54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0.5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8F-3943-85A6-12001245C7C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8F-3943-85A6-12001245C7C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8F-3943-85A6-12001245C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562496"/>
        <c:axId val="1820929232"/>
      </c:lineChart>
      <c:catAx>
        <c:axId val="177056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929232"/>
        <c:crosses val="autoZero"/>
        <c:auto val="1"/>
        <c:lblAlgn val="ctr"/>
        <c:lblOffset val="100"/>
        <c:noMultiLvlLbl val="0"/>
      </c:catAx>
      <c:valAx>
        <c:axId val="18209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56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Campaign Goals and Amounts Pledged in GB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boxWhisker" uniqueId="{74A37FE1-E90F-F042-BF74-0E010A4A78E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299728-9B55-EA4B-B9E2-8C30E10445E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9C9882-82FB-AE4E-941A-0A1816A8E5E6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15</xdr:row>
      <xdr:rowOff>0</xdr:rowOff>
    </xdr:from>
    <xdr:to>
      <xdr:col>14</xdr:col>
      <xdr:colOff>546100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1229E-8092-D44A-8884-38DFE305D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6</xdr:row>
      <xdr:rowOff>25400</xdr:rowOff>
    </xdr:from>
    <xdr:to>
      <xdr:col>24</xdr:col>
      <xdr:colOff>101022</xdr:colOff>
      <xdr:row>35</xdr:row>
      <xdr:rowOff>86591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B7144-9DED-374A-B954-E479B0775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5</xdr:row>
      <xdr:rowOff>171450</xdr:rowOff>
    </xdr:from>
    <xdr:to>
      <xdr:col>14</xdr:col>
      <xdr:colOff>520700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D1876-2365-164F-9625-0428427EF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560" cy="60756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517C70-61A3-3845-8B00-F290D4A31A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5516734-DFC7-AD4F-BF96-EB7D75CE655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6560" cy="60756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1</xdr:row>
      <xdr:rowOff>25400</xdr:rowOff>
    </xdr:from>
    <xdr:to>
      <xdr:col>15</xdr:col>
      <xdr:colOff>63500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F19CD-D232-9249-8AAF-A44454033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12700</xdr:rowOff>
    </xdr:from>
    <xdr:to>
      <xdr:col>10</xdr:col>
      <xdr:colOff>787400</xdr:colOff>
      <xdr:row>35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4124CD-BF24-CB42-A853-DE1DE20BE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6.134005902779" createdVersion="6" refreshedVersion="6" minRefreshableVersion="3" recordCount="4114" xr:uid="{A35D72BC-9C12-D241-BD04-6703E6DA216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6.64752835648" createdVersion="6" refreshedVersion="6" minRefreshableVersion="3" recordCount="4114" xr:uid="{F91D88AD-2FFA-3F49-A496-B27549B5B17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10.772121064816" createdVersion="6" refreshedVersion="6" minRefreshableVersion="3" recordCount="4114" xr:uid="{2C0D8D3D-C0DC-1E41-B9C0-75B1043FC4FE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FDA3E-FB44-3041-BC3F-17C1A44F7D1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9C981-2BFD-6E44-B855-F93B596156E8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A3618-2BC5-1446-86F8-B4A085336D4A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291AE-8C21-024A-A22A-C8DE96251814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C7A1C-F2B3-9348-8FB4-F1CB1C1E6338}">
  <dimension ref="A1:F6"/>
  <sheetViews>
    <sheetView workbookViewId="0">
      <selection activeCell="O12" sqref="O12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>
      <c r="A1" s="13" t="s">
        <v>8222</v>
      </c>
      <c r="B1" t="s">
        <v>8223</v>
      </c>
    </row>
    <row r="3" spans="1:6">
      <c r="A3" s="13" t="s">
        <v>8364</v>
      </c>
      <c r="B3" s="13" t="s">
        <v>8360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FB236-600C-4D47-8480-D63A9367ABCE}">
  <dimension ref="A1:E7"/>
  <sheetViews>
    <sheetView zoomScale="88" workbookViewId="0">
      <selection activeCell="S38" sqref="S38"/>
    </sheetView>
  </sheetViews>
  <sheetFormatPr baseColWidth="10" defaultRowHeight="15"/>
  <cols>
    <col min="1" max="1" width="15.6640625" bestFit="1" customWidth="1"/>
    <col min="2" max="2" width="16.33203125" bestFit="1" customWidth="1"/>
    <col min="3" max="3" width="4" bestFit="1" customWidth="1"/>
    <col min="4" max="4" width="8.83203125" bestFit="1" customWidth="1"/>
    <col min="5" max="6" width="10.1640625" bestFit="1" customWidth="1"/>
    <col min="7" max="7" width="6.5" bestFit="1" customWidth="1"/>
    <col min="8" max="8" width="14" bestFit="1" customWidth="1"/>
    <col min="9" max="9" width="4.6640625" bestFit="1" customWidth="1"/>
    <col min="10" max="10" width="6.1640625" bestFit="1" customWidth="1"/>
    <col min="11" max="11" width="9.83203125" bestFit="1" customWidth="1"/>
    <col min="12" max="12" width="7.33203125" bestFit="1" customWidth="1"/>
    <col min="13" max="13" width="8.83203125" bestFit="1" customWidth="1"/>
    <col min="14" max="14" width="4.33203125" bestFit="1" customWidth="1"/>
    <col min="15" max="15" width="5.6640625" bestFit="1" customWidth="1"/>
    <col min="16" max="16" width="11.83203125" bestFit="1" customWidth="1"/>
    <col min="17" max="17" width="7" bestFit="1" customWidth="1"/>
    <col min="18" max="18" width="6.5" bestFit="1" customWidth="1"/>
    <col min="19" max="19" width="9.1640625" bestFit="1" customWidth="1"/>
    <col min="20" max="20" width="6.6640625" bestFit="1" customWidth="1"/>
    <col min="21" max="21" width="10.33203125" bestFit="1" customWidth="1"/>
    <col min="22" max="22" width="6" bestFit="1" customWidth="1"/>
    <col min="23" max="23" width="5.33203125" bestFit="1" customWidth="1"/>
    <col min="24" max="24" width="4.1640625" bestFit="1" customWidth="1"/>
    <col min="25" max="25" width="10.1640625" bestFit="1" customWidth="1"/>
    <col min="26" max="26" width="4.6640625" bestFit="1" customWidth="1"/>
    <col min="27" max="27" width="12.33203125" bestFit="1" customWidth="1"/>
    <col min="28" max="28" width="6" bestFit="1" customWidth="1"/>
    <col min="29" max="29" width="9.83203125" bestFit="1" customWidth="1"/>
    <col min="30" max="30" width="14.83203125" bestFit="1" customWidth="1"/>
    <col min="31" max="31" width="6.5" bestFit="1" customWidth="1"/>
    <col min="32" max="32" width="13" bestFit="1" customWidth="1"/>
    <col min="33" max="33" width="8.83203125" bestFit="1" customWidth="1"/>
    <col min="34" max="34" width="10.1640625" bestFit="1" customWidth="1"/>
    <col min="35" max="35" width="11" bestFit="1" customWidth="1"/>
    <col min="36" max="36" width="9.33203125" bestFit="1" customWidth="1"/>
    <col min="37" max="37" width="4.5" bestFit="1" customWidth="1"/>
    <col min="38" max="38" width="10.5" bestFit="1" customWidth="1"/>
    <col min="39" max="39" width="10.1640625" bestFit="1" customWidth="1"/>
  </cols>
  <sheetData>
    <row r="1" spans="1:5">
      <c r="A1" s="13" t="s">
        <v>8222</v>
      </c>
      <c r="B1" t="s">
        <v>8365</v>
      </c>
    </row>
    <row r="2" spans="1:5">
      <c r="A2" s="13" t="s">
        <v>8358</v>
      </c>
      <c r="B2" t="s">
        <v>8363</v>
      </c>
    </row>
    <row r="4" spans="1:5">
      <c r="A4" s="13" t="s">
        <v>8364</v>
      </c>
      <c r="B4" s="13" t="s">
        <v>8360</v>
      </c>
    </row>
    <row r="5" spans="1: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4" t="s">
        <v>8316</v>
      </c>
      <c r="B6" s="15">
        <v>70</v>
      </c>
      <c r="C6" s="15">
        <v>6</v>
      </c>
      <c r="D6" s="15">
        <v>239</v>
      </c>
      <c r="E6" s="15">
        <v>315</v>
      </c>
    </row>
    <row r="7" spans="1:5">
      <c r="A7" s="14" t="s">
        <v>8361</v>
      </c>
      <c r="B7" s="15">
        <v>70</v>
      </c>
      <c r="C7" s="15">
        <v>6</v>
      </c>
      <c r="D7" s="15">
        <v>239</v>
      </c>
      <c r="E7" s="15">
        <v>315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6B741-6572-6A4F-98FE-42E107B9C96B}">
  <dimension ref="A1:F18"/>
  <sheetViews>
    <sheetView workbookViewId="0">
      <selection activeCell="E23" sqref="E23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3" t="s">
        <v>8358</v>
      </c>
      <c r="B1" t="s">
        <v>8315</v>
      </c>
    </row>
    <row r="2" spans="1:6">
      <c r="A2" s="13" t="s">
        <v>8380</v>
      </c>
      <c r="B2" t="s">
        <v>8363</v>
      </c>
    </row>
    <row r="4" spans="1:6">
      <c r="A4" s="13" t="s">
        <v>8364</v>
      </c>
      <c r="B4" s="13" t="s">
        <v>8360</v>
      </c>
    </row>
    <row r="5" spans="1:6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9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>
      <c r="A7" s="19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>
      <c r="A8" s="19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>
      <c r="A9" s="19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>
      <c r="A10" s="19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>
      <c r="A11" s="19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>
      <c r="A12" s="19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>
      <c r="A13" s="19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>
      <c r="A14" s="19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>
      <c r="A15" s="19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>
      <c r="A16" s="19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>
      <c r="A17" s="19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ACF1-1B68-CB40-87D3-660E91A24C33}">
  <dimension ref="A1:D8"/>
  <sheetViews>
    <sheetView zoomScale="143" workbookViewId="0">
      <selection activeCell="B3" sqref="B3"/>
    </sheetView>
  </sheetViews>
  <sheetFormatPr baseColWidth="10" defaultRowHeight="15"/>
  <cols>
    <col min="1" max="1" width="28.6640625" bestFit="1" customWidth="1"/>
    <col min="2" max="2" width="109" bestFit="1" customWidth="1"/>
  </cols>
  <sheetData>
    <row r="1" spans="1:4">
      <c r="A1" t="s">
        <v>8381</v>
      </c>
      <c r="B1" t="s">
        <v>8382</v>
      </c>
      <c r="C1" t="s">
        <v>8383</v>
      </c>
      <c r="D1" t="s">
        <v>8384</v>
      </c>
    </row>
    <row r="2" spans="1:4">
      <c r="A2" t="s">
        <v>3473</v>
      </c>
      <c r="B2" t="str">
        <f>VLOOKUP(A2, Data!B:C, 2, FALSE)</f>
        <v>Help us get actor-writer Ian Bonar's debut play - a hilarious, heartbreaking story of grief and loss - to the 2016 Edinburgh Fringe.</v>
      </c>
      <c r="C2">
        <f>VLOOKUP(A2,Data!B:E,3,FALSE)</f>
        <v>2000</v>
      </c>
      <c r="D2" t="str">
        <f>VLOOKUP(A2,Data!B:E,2,FALSE)</f>
        <v>Help us get actor-writer Ian Bonar's debut play - a hilarious, heartbreaking story of grief and loss - to the 2016 Edinburgh Fringe.</v>
      </c>
    </row>
    <row r="3" spans="1:4">
      <c r="A3" t="s">
        <v>3616</v>
      </c>
      <c r="B3" t="str">
        <f>VLOOKUP(A3, Data!B:C, 2, FALSE)</f>
        <v>The play yet to be described as "A surefire Edinburgh Fringe Festival Cult Hit". Coming to the Underbelly, Edinburgh, 5th-30th August.</v>
      </c>
      <c r="C3">
        <f>VLOOKUP(A3,Data!B:E,3,FALSE)</f>
        <v>2000</v>
      </c>
      <c r="D3">
        <f>VLOOKUP(A3,Data!B:E,4,FALSE)</f>
        <v>2020</v>
      </c>
    </row>
    <row r="4" spans="1:4">
      <c r="A4" t="s">
        <v>3178</v>
      </c>
      <c r="B4" t="str">
        <f>VLOOKUP(A4, Data!B:C, 2, FALSE)</f>
        <v>Cutting Off Kate Bush is a one-woman show written &amp; performed by Lucy Benson-Brown, premiering at the Edinburgh Fringe Festival 2014</v>
      </c>
      <c r="C4">
        <f>VLOOKUP(A4,Data!B:E,3,FALSE)</f>
        <v>1500</v>
      </c>
      <c r="D4">
        <f>VLOOKUP(A4,Data!B:E,4,FALSE)</f>
        <v>2576</v>
      </c>
    </row>
    <row r="5" spans="1:4">
      <c r="A5" t="s">
        <v>3329</v>
      </c>
      <c r="B5" t="str">
        <f>VLOOKUP(A5, Data!B:C, 2, FALSE)</f>
        <v>Jestia and Raedon is a brand new romantic comedy play going to the Edinburgh Fringe Festival this summer.</v>
      </c>
      <c r="C5">
        <f>VLOOKUP(A5,Data!B:E,3,FALSE)</f>
        <v>1000</v>
      </c>
      <c r="D5">
        <f>VLOOKUP(A5,Data!B:E,4,FALSE)</f>
        <v>1168</v>
      </c>
    </row>
    <row r="6" spans="1:4">
      <c r="A6" t="s">
        <v>3221</v>
      </c>
      <c r="B6" t="str">
        <f>VLOOKUP(A6, Data!B:C, 2, FALSE)</f>
        <v>A one-man show about love, loss, and motorways, written &amp; performed by Ben Norris. Help us get to the 2015 Edinburgh Fringe and beyond!</v>
      </c>
      <c r="C6">
        <f>VLOOKUP(A6,Data!B:E,3,FALSE)</f>
        <v>4000</v>
      </c>
      <c r="D6">
        <f>VLOOKUP(A6,Data!B:E,4,FALSE)</f>
        <v>4137</v>
      </c>
    </row>
    <row r="8" spans="1:4" ht="26">
      <c r="C8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CEC66-BB1C-0842-96BC-F4CC643BC050}">
  <dimension ref="A1:T413"/>
  <sheetViews>
    <sheetView workbookViewId="0">
      <selection sqref="A1:T413"/>
    </sheetView>
  </sheetViews>
  <sheetFormatPr baseColWidth="10" defaultRowHeight="15"/>
  <cols>
    <col min="1" max="1" width="5.1640625" bestFit="1" customWidth="1"/>
    <col min="4" max="4" width="12.6640625" bestFit="1" customWidth="1"/>
    <col min="5" max="5" width="11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1.1640625" bestFit="1" customWidth="1"/>
    <col min="19" max="19" width="20.5" bestFit="1" customWidth="1"/>
    <col min="20" max="20" width="19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7" t="s">
        <v>8366</v>
      </c>
      <c r="T1" s="17" t="s">
        <v>8367</v>
      </c>
    </row>
    <row r="2" spans="1:20" ht="22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2" t="s">
        <v>8315</v>
      </c>
      <c r="R2" t="s">
        <v>8316</v>
      </c>
      <c r="S2" s="18">
        <v>42646.092812499999</v>
      </c>
      <c r="T2" s="18">
        <v>42675.207638888889</v>
      </c>
    </row>
    <row r="3" spans="1:20" ht="14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2" t="s">
        <v>8315</v>
      </c>
      <c r="R3" t="s">
        <v>8316</v>
      </c>
      <c r="S3" s="18">
        <v>42430.040798611109</v>
      </c>
      <c r="T3" s="18">
        <v>42449.999131944445</v>
      </c>
    </row>
    <row r="4" spans="1:20" ht="19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2" t="s">
        <v>8315</v>
      </c>
      <c r="R4" t="s">
        <v>8316</v>
      </c>
      <c r="S4" s="18">
        <v>42238.13282407407</v>
      </c>
      <c r="T4" s="18">
        <v>42268.13282407407</v>
      </c>
    </row>
    <row r="5" spans="1:20" ht="19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2" t="s">
        <v>8315</v>
      </c>
      <c r="R5" t="s">
        <v>8316</v>
      </c>
      <c r="S5" s="18">
        <v>41850.400937500002</v>
      </c>
      <c r="T5" s="18">
        <v>41895.400937500002</v>
      </c>
    </row>
    <row r="6" spans="1:20" ht="208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2" t="s">
        <v>8315</v>
      </c>
      <c r="R6" t="s">
        <v>8316</v>
      </c>
      <c r="S6" s="18">
        <v>42753.205625000002</v>
      </c>
      <c r="T6" s="18">
        <v>42783.670138888891</v>
      </c>
    </row>
    <row r="7" spans="1:20" ht="8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2" t="s">
        <v>8315</v>
      </c>
      <c r="R7" t="s">
        <v>8316</v>
      </c>
      <c r="S7" s="18">
        <v>42155.920219907406</v>
      </c>
      <c r="T7" s="18">
        <v>42176.888888888891</v>
      </c>
    </row>
    <row r="8" spans="1:20" ht="22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2" t="s">
        <v>8315</v>
      </c>
      <c r="R8" t="s">
        <v>8316</v>
      </c>
      <c r="S8" s="18">
        <v>42157.591064814813</v>
      </c>
      <c r="T8" s="18">
        <v>42179.083333333328</v>
      </c>
    </row>
    <row r="9" spans="1:20" ht="240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2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2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2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2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2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2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2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2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2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2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2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2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2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2" t="s">
        <v>8315</v>
      </c>
      <c r="R22" t="s">
        <v>8316</v>
      </c>
      <c r="S22" s="18">
        <v>42195.749745370369</v>
      </c>
      <c r="T22" s="18">
        <v>42206.125</v>
      </c>
    </row>
    <row r="23" spans="1:20" ht="14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2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2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2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2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2" t="s">
        <v>8315</v>
      </c>
      <c r="R27" t="s">
        <v>8316</v>
      </c>
      <c r="S27" s="18">
        <v>42558.189432870371</v>
      </c>
      <c r="T27" s="18">
        <v>42587.875</v>
      </c>
    </row>
    <row r="28" spans="1:20" ht="19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2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2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2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2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2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2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2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2" t="s">
        <v>8315</v>
      </c>
      <c r="R35" t="s">
        <v>8316</v>
      </c>
      <c r="S35" s="18">
        <v>42158.065694444449</v>
      </c>
      <c r="T35" s="18">
        <v>42201</v>
      </c>
    </row>
    <row r="36" spans="1:20" ht="6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2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2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2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2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2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2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2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2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2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2" t="s">
        <v>8315</v>
      </c>
      <c r="R45" t="s">
        <v>8316</v>
      </c>
      <c r="S45" s="18">
        <v>42494.683634259258</v>
      </c>
      <c r="T45" s="18">
        <v>42524.6875</v>
      </c>
    </row>
    <row r="46" spans="1:20" ht="14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2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2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2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2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2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2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2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2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2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2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2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2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2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2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2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2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2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2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2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2" t="s">
        <v>8315</v>
      </c>
      <c r="R65" t="s">
        <v>8316</v>
      </c>
      <c r="S65" s="18">
        <v>41941.683865740742</v>
      </c>
      <c r="T65" s="18">
        <v>41970.125</v>
      </c>
    </row>
    <row r="66" spans="1:20" ht="27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2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2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2" t="s">
        <v>8315</v>
      </c>
      <c r="R68" t="s">
        <v>8316</v>
      </c>
      <c r="S68" s="18">
        <v>41993.824340277773</v>
      </c>
      <c r="T68" s="18">
        <v>42010.25</v>
      </c>
    </row>
    <row r="69" spans="1:20" ht="160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2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2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2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2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2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2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2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2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2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2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2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2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2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2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2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2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2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2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2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2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2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2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2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2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2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2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2" t="s">
        <v>8315</v>
      </c>
      <c r="R95" t="s">
        <v>8316</v>
      </c>
      <c r="S95" s="18">
        <v>41477.930914351848</v>
      </c>
      <c r="T95" s="18">
        <v>41504.625</v>
      </c>
    </row>
    <row r="96" spans="1:20" ht="208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2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2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2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2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2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2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2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2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2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2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2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2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2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2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2" t="s">
        <v>8315</v>
      </c>
      <c r="R110" t="s">
        <v>8316</v>
      </c>
      <c r="S110" s="18">
        <v>42772.833379629628</v>
      </c>
      <c r="T110" s="18">
        <v>42806.875</v>
      </c>
    </row>
    <row r="111" spans="1:20" ht="14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2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2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2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2" t="s">
        <v>8315</v>
      </c>
      <c r="R114" t="s">
        <v>8316</v>
      </c>
      <c r="S114" s="18">
        <v>42503.559467592597</v>
      </c>
      <c r="T114" s="18">
        <v>42524.875</v>
      </c>
    </row>
    <row r="115" spans="1:20" ht="80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2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2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2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2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2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2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2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2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2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2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2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2" t="s">
        <v>8315</v>
      </c>
      <c r="R126" t="s">
        <v>8316</v>
      </c>
      <c r="S126" s="18">
        <v>42262.096782407403</v>
      </c>
      <c r="T126" s="18">
        <v>42286</v>
      </c>
    </row>
    <row r="127" spans="1:20" ht="160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2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2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2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2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2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2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2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2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2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2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2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2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2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2" t="s">
        <v>8315</v>
      </c>
      <c r="R140" t="s">
        <v>8316</v>
      </c>
      <c r="S140" s="18">
        <v>42284.516064814816</v>
      </c>
      <c r="T140" s="18">
        <v>42307.875</v>
      </c>
    </row>
    <row r="141" spans="1:20" ht="160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2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2" t="s">
        <v>8315</v>
      </c>
      <c r="R142" t="s">
        <v>8316</v>
      </c>
      <c r="S142" s="18">
        <v>42136.536134259266</v>
      </c>
      <c r="T142" s="18">
        <v>42167.875</v>
      </c>
    </row>
    <row r="143" spans="1:20" ht="208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2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2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2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2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2" t="s">
        <v>8315</v>
      </c>
      <c r="R147" t="s">
        <v>8316</v>
      </c>
      <c r="S147" s="18">
        <v>42400.704537037032</v>
      </c>
      <c r="T147" s="18">
        <v>42444.875</v>
      </c>
    </row>
    <row r="148" spans="1:20" ht="208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2" t="s">
        <v>8315</v>
      </c>
      <c r="R148" t="s">
        <v>8316</v>
      </c>
      <c r="S148" s="18">
        <v>42017.88045138889</v>
      </c>
      <c r="T148" s="18">
        <v>42044.1875</v>
      </c>
    </row>
    <row r="149" spans="1:20" ht="22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2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2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2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2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2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2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2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2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2" t="s">
        <v>8315</v>
      </c>
      <c r="R157" t="s">
        <v>8316</v>
      </c>
      <c r="S157" s="18">
        <v>42239.957962962959</v>
      </c>
      <c r="T157" s="18">
        <v>42260</v>
      </c>
    </row>
    <row r="158" spans="1:20" ht="22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2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2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2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2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2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2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2" t="s">
        <v>8315</v>
      </c>
      <c r="R164" t="s">
        <v>8316</v>
      </c>
      <c r="S164" s="18">
        <v>42493.219236111108</v>
      </c>
      <c r="T164" s="18">
        <v>42531.125</v>
      </c>
    </row>
    <row r="165" spans="1:20" ht="19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2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2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2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2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2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2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2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2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2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2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2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2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2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2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2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2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2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2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2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2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2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2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2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2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2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2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2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2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2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2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2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2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2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2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2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2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2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2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2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2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2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2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2" t="s">
        <v>8315</v>
      </c>
      <c r="R207" t="s">
        <v>8316</v>
      </c>
      <c r="S207" s="18">
        <v>42292.087592592594</v>
      </c>
      <c r="T207" s="18">
        <v>42329.125</v>
      </c>
    </row>
    <row r="208" spans="1:20" ht="19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2" t="s">
        <v>8315</v>
      </c>
      <c r="R208" t="s">
        <v>8316</v>
      </c>
      <c r="S208" s="18">
        <v>41953.8675</v>
      </c>
      <c r="T208" s="18">
        <v>41983.8675</v>
      </c>
    </row>
    <row r="209" spans="1:20" ht="19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2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2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2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2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2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2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2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2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2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2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2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2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2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2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2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2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2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2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2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2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2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2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2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2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2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2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2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2" t="s">
        <v>8315</v>
      </c>
      <c r="R236" t="s">
        <v>8316</v>
      </c>
      <c r="S236" s="18">
        <v>41776.063136574077</v>
      </c>
      <c r="T236" s="18">
        <v>41807.125</v>
      </c>
    </row>
    <row r="237" spans="1:20" ht="19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2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2" t="s">
        <v>8315</v>
      </c>
      <c r="R238" t="s">
        <v>8316</v>
      </c>
      <c r="S238" s="18">
        <v>42572.61681712963</v>
      </c>
      <c r="T238" s="18">
        <v>42589.125</v>
      </c>
    </row>
    <row r="239" spans="1:20" ht="208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2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2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2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2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2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2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2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2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2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2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2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2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2" t="s">
        <v>8315</v>
      </c>
      <c r="R251" t="s">
        <v>8316</v>
      </c>
      <c r="S251" s="18">
        <v>42626.7503125</v>
      </c>
      <c r="T251" s="18">
        <v>42656.7503125</v>
      </c>
    </row>
    <row r="252" spans="1:20" ht="19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2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2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2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2" t="s">
        <v>8315</v>
      </c>
      <c r="R255" t="s">
        <v>8316</v>
      </c>
      <c r="S255" s="18">
        <v>42643.632858796293</v>
      </c>
      <c r="T255" s="18">
        <v>42672.125</v>
      </c>
    </row>
    <row r="256" spans="1:20" ht="19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2" t="s">
        <v>8315</v>
      </c>
      <c r="R256" t="s">
        <v>8316</v>
      </c>
      <c r="S256" s="18">
        <v>42179.898472222223</v>
      </c>
      <c r="T256" s="18">
        <v>42195.75</v>
      </c>
    </row>
    <row r="257" spans="1:20" ht="22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2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2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2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2" t="s">
        <v>8315</v>
      </c>
      <c r="R260" t="s">
        <v>8316</v>
      </c>
      <c r="S260" s="18">
        <v>42605.765381944439</v>
      </c>
      <c r="T260" s="18">
        <v>42634.125</v>
      </c>
    </row>
    <row r="261" spans="1:20" ht="240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2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2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2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2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2" t="s">
        <v>8315</v>
      </c>
      <c r="R265" t="s">
        <v>8316</v>
      </c>
      <c r="S265" s="18">
        <v>41921.279976851853</v>
      </c>
      <c r="T265" s="18">
        <v>41939.125</v>
      </c>
    </row>
    <row r="266" spans="1:20" ht="208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2" t="s">
        <v>8315</v>
      </c>
      <c r="R266" t="s">
        <v>8316</v>
      </c>
      <c r="S266" s="18">
        <v>42128.736608796295</v>
      </c>
      <c r="T266" s="18">
        <v>42141.125</v>
      </c>
    </row>
    <row r="267" spans="1:20" ht="19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2" t="s">
        <v>8315</v>
      </c>
      <c r="R267" t="s">
        <v>8316</v>
      </c>
      <c r="S267" s="18">
        <v>42053.916921296302</v>
      </c>
      <c r="T267" s="18">
        <v>42079.875</v>
      </c>
    </row>
    <row r="268" spans="1:20" ht="176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2" t="s">
        <v>8315</v>
      </c>
      <c r="R268" t="s">
        <v>8316</v>
      </c>
      <c r="S268" s="18">
        <v>42171.317442129628</v>
      </c>
      <c r="T268" s="18">
        <v>42195.875</v>
      </c>
    </row>
    <row r="269" spans="1:20" ht="176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2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2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2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2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2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2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2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2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2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2" t="s">
        <v>8315</v>
      </c>
      <c r="R278" t="s">
        <v>8316</v>
      </c>
      <c r="S278" s="18">
        <v>42689.214988425927</v>
      </c>
      <c r="T278" s="18">
        <v>42700.25</v>
      </c>
    </row>
    <row r="279" spans="1:20" ht="22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2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2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2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2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2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2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2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2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2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2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2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2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2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2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2" t="s">
        <v>8315</v>
      </c>
      <c r="R293" t="s">
        <v>8316</v>
      </c>
      <c r="S293" s="18">
        <v>41856.010069444441</v>
      </c>
      <c r="T293" s="18">
        <v>41890.125</v>
      </c>
    </row>
    <row r="294" spans="1:20" ht="19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2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2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2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2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2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2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2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2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2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2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2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2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2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2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2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2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2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2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2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2" t="s">
        <v>8315</v>
      </c>
      <c r="R313" t="s">
        <v>8316</v>
      </c>
      <c r="S313" s="18">
        <v>42196.028703703705</v>
      </c>
      <c r="T313" s="18">
        <v>42228</v>
      </c>
    </row>
    <row r="314" spans="1:20" ht="176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2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2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2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2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2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2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2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2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2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2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2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2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2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2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2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2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2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2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2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2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2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2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2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2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2" t="s">
        <v>8315</v>
      </c>
      <c r="R338" t="s">
        <v>8316</v>
      </c>
      <c r="S338" s="18">
        <v>42220.79487268519</v>
      </c>
      <c r="T338" s="18">
        <v>42246</v>
      </c>
    </row>
    <row r="339" spans="1:20" ht="11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2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2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2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2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2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2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2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2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2" t="s">
        <v>8315</v>
      </c>
      <c r="R347" t="s">
        <v>8316</v>
      </c>
      <c r="S347" s="18">
        <v>42619.935694444444</v>
      </c>
      <c r="T347" s="18">
        <v>42643.875</v>
      </c>
    </row>
    <row r="348" spans="1:20" ht="128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2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2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2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2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2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2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2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2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2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2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2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2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2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2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2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2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2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2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2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2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2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2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2" t="s">
        <v>8315</v>
      </c>
      <c r="R370" t="s">
        <v>8316</v>
      </c>
      <c r="S370" s="18">
        <v>41753.593275462961</v>
      </c>
      <c r="T370" s="18">
        <v>41778.875</v>
      </c>
    </row>
    <row r="371" spans="1:20" ht="176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2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2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2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2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2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2" t="s">
        <v>8315</v>
      </c>
      <c r="R376" t="s">
        <v>8316</v>
      </c>
      <c r="S376" s="18">
        <v>41891.96503472222</v>
      </c>
      <c r="T376" s="18">
        <v>41901</v>
      </c>
    </row>
    <row r="377" spans="1:20" ht="176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2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2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2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2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2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2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2" t="s">
        <v>8315</v>
      </c>
      <c r="R383" t="s">
        <v>8316</v>
      </c>
      <c r="S383" s="18">
        <v>41792.542986111112</v>
      </c>
      <c r="T383" s="18">
        <v>41813.75</v>
      </c>
    </row>
    <row r="384" spans="1:20" ht="176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2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2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2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2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2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2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2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2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2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2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2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2" t="s">
        <v>8315</v>
      </c>
      <c r="R395" t="s">
        <v>8316</v>
      </c>
      <c r="S395" s="18">
        <v>42462.140868055561</v>
      </c>
      <c r="T395" s="18">
        <v>42489.875</v>
      </c>
    </row>
    <row r="396" spans="1:20" ht="176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2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2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2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2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2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2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2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2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2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2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2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2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2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2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2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2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2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2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14" priority="3" operator="containsText" text="successful">
      <formula>NOT(ISERROR(SEARCH("successful",F1)))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live">
      <formula>NOT(ISERROR(SEARCH("live",F1)))</formula>
    </cfRule>
    <cfRule type="cellIs" dxfId="11" priority="7" operator="equal">
      <formula>"failed"</formula>
    </cfRule>
    <cfRule type="containsText" dxfId="10" priority="8" operator="containsText" text="canceled">
      <formula>NOT(ISERROR(SEARCH("canceled",F1)))</formula>
    </cfRule>
  </conditionalFormatting>
  <conditionalFormatting sqref="O2:O413 O1:P1 R1">
    <cfRule type="colorScale" priority="4">
      <colorScale>
        <cfvo type="min"/>
        <cfvo type="max"/>
        <color theme="5" tint="0.39997558519241921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8B87-6EF5-5041-B098-71C4E37BC1C1}">
  <dimension ref="A1:T251"/>
  <sheetViews>
    <sheetView workbookViewId="0">
      <selection sqref="A1:T251"/>
    </sheetView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7" t="s">
        <v>8366</v>
      </c>
      <c r="T1" s="17" t="s">
        <v>8367</v>
      </c>
    </row>
    <row r="2" spans="1:20" ht="22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2" t="s">
        <v>8315</v>
      </c>
      <c r="R2" t="s">
        <v>8316</v>
      </c>
      <c r="S2" s="18">
        <v>42492.737847222219</v>
      </c>
      <c r="T2" s="18">
        <v>42534.166666666672</v>
      </c>
    </row>
    <row r="3" spans="1:20" ht="19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2" t="s">
        <v>8315</v>
      </c>
      <c r="R3" t="s">
        <v>8316</v>
      </c>
      <c r="S3" s="18">
        <v>42103.016585648147</v>
      </c>
      <c r="T3" s="18">
        <v>42163.016585648147</v>
      </c>
    </row>
    <row r="4" spans="1:20" ht="22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2" t="s">
        <v>8315</v>
      </c>
      <c r="R4" t="s">
        <v>8316</v>
      </c>
      <c r="S4" s="18">
        <v>42108.692060185189</v>
      </c>
      <c r="T4" s="18">
        <v>42153.692060185189</v>
      </c>
    </row>
    <row r="5" spans="1:20" ht="19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2" t="s">
        <v>8315</v>
      </c>
      <c r="R5" t="s">
        <v>8316</v>
      </c>
      <c r="S5" s="18">
        <v>42453.806307870371</v>
      </c>
      <c r="T5" s="18">
        <v>42513.806307870371</v>
      </c>
    </row>
    <row r="6" spans="1:20" ht="22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2" t="s">
        <v>8315</v>
      </c>
      <c r="R6" t="s">
        <v>8316</v>
      </c>
      <c r="S6" s="18">
        <v>42123.648831018523</v>
      </c>
      <c r="T6" s="18">
        <v>42153.648831018523</v>
      </c>
    </row>
    <row r="7" spans="1:20" ht="19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2" t="s">
        <v>8315</v>
      </c>
      <c r="R7" t="s">
        <v>8316</v>
      </c>
      <c r="S7" s="18">
        <v>41858.007071759261</v>
      </c>
      <c r="T7" s="18">
        <v>41888.007071759261</v>
      </c>
    </row>
    <row r="8" spans="1:20" ht="176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2" t="s">
        <v>8315</v>
      </c>
      <c r="R8" t="s">
        <v>8316</v>
      </c>
      <c r="S8" s="18">
        <v>41781.045173611114</v>
      </c>
      <c r="T8" s="18">
        <v>41811.045173611114</v>
      </c>
    </row>
    <row r="9" spans="1:20" ht="256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2" t="s">
        <v>8315</v>
      </c>
      <c r="R9" t="s">
        <v>8316</v>
      </c>
      <c r="S9" s="18">
        <v>42370.007766203707</v>
      </c>
      <c r="T9" s="18">
        <v>42398.981944444444</v>
      </c>
    </row>
    <row r="10" spans="1:20" ht="208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2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08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2" t="s">
        <v>8315</v>
      </c>
      <c r="R11" t="s">
        <v>8316</v>
      </c>
      <c r="S11" s="18">
        <v>42480.800648148142</v>
      </c>
      <c r="T11" s="18">
        <v>42540.800648148142</v>
      </c>
    </row>
    <row r="12" spans="1:20" ht="176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2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08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2" t="s">
        <v>8315</v>
      </c>
      <c r="R13" t="s">
        <v>8316</v>
      </c>
      <c r="S13" s="18">
        <v>41831.675034722226</v>
      </c>
      <c r="T13" s="18">
        <v>41891.675034722226</v>
      </c>
    </row>
    <row r="14" spans="1:20" ht="176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2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9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2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2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2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2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2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2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2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9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2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60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2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76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2" t="s">
        <v>8315</v>
      </c>
      <c r="R21" t="s">
        <v>8316</v>
      </c>
      <c r="S21" s="18">
        <v>42115.11618055556</v>
      </c>
      <c r="T21" s="18">
        <v>42175.11618055556</v>
      </c>
    </row>
    <row r="22" spans="1:20" ht="22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2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9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2" t="s">
        <v>8315</v>
      </c>
      <c r="R23" t="s">
        <v>8316</v>
      </c>
      <c r="S23" s="18">
        <v>42722.84474537037</v>
      </c>
      <c r="T23" s="18">
        <v>42752.84474537037</v>
      </c>
    </row>
    <row r="24" spans="1:20" ht="19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2" t="s">
        <v>8315</v>
      </c>
      <c r="R24" t="s">
        <v>8316</v>
      </c>
      <c r="S24" s="18">
        <v>42465.128391203703</v>
      </c>
      <c r="T24" s="18">
        <v>42495.128391203703</v>
      </c>
    </row>
    <row r="25" spans="1:20" ht="176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2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9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2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6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2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08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2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9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2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08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2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2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2" t="s">
        <v>8315</v>
      </c>
      <c r="R31" t="s">
        <v>8316</v>
      </c>
      <c r="S31" s="18">
        <v>42370.90320601852</v>
      </c>
      <c r="T31" s="18">
        <v>42406.207638888889</v>
      </c>
    </row>
    <row r="32" spans="1:20" ht="14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2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8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2" t="s">
        <v>8315</v>
      </c>
      <c r="R33" t="s">
        <v>8316</v>
      </c>
      <c r="S33" s="18">
        <v>42047.07640046296</v>
      </c>
      <c r="T33" s="18">
        <v>42077.034733796296</v>
      </c>
    </row>
    <row r="34" spans="1:20" ht="19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2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2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2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08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2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8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2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2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2" t="s">
        <v>8315</v>
      </c>
      <c r="R38" t="s">
        <v>8316</v>
      </c>
      <c r="S38" s="18">
        <v>41831.742962962962</v>
      </c>
      <c r="T38" s="18">
        <v>41860.125</v>
      </c>
    </row>
    <row r="39" spans="1:20" ht="19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2" t="s">
        <v>8315</v>
      </c>
      <c r="R39" t="s">
        <v>8316</v>
      </c>
      <c r="S39" s="18">
        <v>42415.883425925931</v>
      </c>
      <c r="T39" s="18">
        <v>42475.84175925926</v>
      </c>
    </row>
    <row r="40" spans="1:20" ht="19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2" t="s">
        <v>8315</v>
      </c>
      <c r="R40" t="s">
        <v>8316</v>
      </c>
      <c r="S40" s="18">
        <v>41869.714166666665</v>
      </c>
      <c r="T40" s="18">
        <v>41876.875</v>
      </c>
    </row>
    <row r="41" spans="1:20" ht="8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2" t="s">
        <v>8315</v>
      </c>
      <c r="R41" t="s">
        <v>8316</v>
      </c>
      <c r="S41" s="18">
        <v>41953.773090277777</v>
      </c>
      <c r="T41" s="18">
        <v>42013.083333333328</v>
      </c>
    </row>
    <row r="42" spans="1:20" ht="8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2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08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2" t="s">
        <v>8315</v>
      </c>
      <c r="R43" t="s">
        <v>8316</v>
      </c>
      <c r="S43" s="18">
        <v>41811.555462962962</v>
      </c>
      <c r="T43" s="18">
        <v>41812.875</v>
      </c>
    </row>
    <row r="44" spans="1:20" ht="128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2" t="s">
        <v>8315</v>
      </c>
      <c r="R44" t="s">
        <v>8316</v>
      </c>
      <c r="S44" s="18">
        <v>42701.908807870372</v>
      </c>
      <c r="T44" s="18">
        <v>42716.25</v>
      </c>
    </row>
    <row r="45" spans="1:20" ht="19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2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2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2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2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2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2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2" t="s">
        <v>8315</v>
      </c>
      <c r="R48" t="s">
        <v>8316</v>
      </c>
      <c r="S48" s="18">
        <v>41830.234166666669</v>
      </c>
      <c r="T48" s="18">
        <v>41860.234166666669</v>
      </c>
    </row>
    <row r="49" spans="1:20" ht="176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2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60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2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08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2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2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0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2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9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2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2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2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08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2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08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2" t="s">
        <v>8315</v>
      </c>
      <c r="R57" t="s">
        <v>8316</v>
      </c>
      <c r="S57" s="18">
        <v>42142.768819444449</v>
      </c>
      <c r="T57" s="18">
        <v>42182.768819444449</v>
      </c>
    </row>
    <row r="58" spans="1:20" ht="19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2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08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2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2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08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2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60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2" t="s">
        <v>8315</v>
      </c>
      <c r="R62" t="s">
        <v>8316</v>
      </c>
      <c r="S62" s="18">
        <v>41826.61954861111</v>
      </c>
      <c r="T62" s="18">
        <v>41856.61954861111</v>
      </c>
    </row>
    <row r="63" spans="1:20" ht="160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2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08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2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8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2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2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2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6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2" t="s">
        <v>8315</v>
      </c>
      <c r="R67" t="s">
        <v>8316</v>
      </c>
      <c r="S67" s="18">
        <v>42103.024398148147</v>
      </c>
      <c r="T67" s="18">
        <v>42112.9375</v>
      </c>
    </row>
    <row r="68" spans="1:20" ht="22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2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6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2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2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2" t="s">
        <v>8315</v>
      </c>
      <c r="R70" t="s">
        <v>8316</v>
      </c>
      <c r="S70" s="18">
        <v>41833.089756944442</v>
      </c>
      <c r="T70" s="18">
        <v>41863.079143518517</v>
      </c>
    </row>
    <row r="71" spans="1:20" ht="176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2" t="s">
        <v>8315</v>
      </c>
      <c r="R71" t="s">
        <v>8316</v>
      </c>
      <c r="S71" s="18">
        <v>42325.920717592591</v>
      </c>
      <c r="T71" s="18">
        <v>42355.920717592591</v>
      </c>
    </row>
    <row r="72" spans="1:20" ht="19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2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0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2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9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2" t="s">
        <v>8315</v>
      </c>
      <c r="R74" t="s">
        <v>8316</v>
      </c>
      <c r="S74" s="18">
        <v>41793.814259259263</v>
      </c>
      <c r="T74" s="18">
        <v>41825.165972222225</v>
      </c>
    </row>
    <row r="75" spans="1:20" ht="160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2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2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08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2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9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2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2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2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9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2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2" t="s">
        <v>8315</v>
      </c>
      <c r="R81" t="s">
        <v>8316</v>
      </c>
      <c r="S81" s="18">
        <v>41885.221550925926</v>
      </c>
      <c r="T81" s="18">
        <v>41916.290972222225</v>
      </c>
    </row>
    <row r="82" spans="1:20" ht="19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2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08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2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4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2" t="s">
        <v>8315</v>
      </c>
      <c r="R84" t="s">
        <v>8316</v>
      </c>
      <c r="S84" s="18">
        <v>41975.124340277776</v>
      </c>
      <c r="T84" s="18">
        <v>42005.124340277776</v>
      </c>
    </row>
    <row r="85" spans="1:20" ht="176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2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4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2" t="s">
        <v>8315</v>
      </c>
      <c r="R86" t="s">
        <v>8316</v>
      </c>
      <c r="S86" s="18">
        <v>41848.84002314815</v>
      </c>
      <c r="T86" s="18">
        <v>41883.84002314815</v>
      </c>
    </row>
    <row r="87" spans="1:20" ht="11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2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2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2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2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2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08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2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2" t="s">
        <v>8315</v>
      </c>
      <c r="R91" t="s">
        <v>8316</v>
      </c>
      <c r="S91" s="18">
        <v>41789.893599537041</v>
      </c>
      <c r="T91" s="18">
        <v>41815.875</v>
      </c>
    </row>
    <row r="92" spans="1:20" ht="19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2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8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2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8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2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08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2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08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2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1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2" t="s">
        <v>8315</v>
      </c>
      <c r="R97" t="s">
        <v>8316</v>
      </c>
      <c r="S97" s="18">
        <v>42402.947002314817</v>
      </c>
      <c r="T97" s="18">
        <v>42452.145138888889</v>
      </c>
    </row>
    <row r="98" spans="1:20" ht="19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2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60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2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08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2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1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2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2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2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2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2" t="s">
        <v>8315</v>
      </c>
      <c r="R103" t="s">
        <v>8316</v>
      </c>
      <c r="S103" s="18">
        <v>41779.657870370371</v>
      </c>
      <c r="T103" s="18">
        <v>41821.25</v>
      </c>
    </row>
    <row r="104" spans="1:20" ht="208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2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2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2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8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2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60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2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4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2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08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2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0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2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2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6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2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9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2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9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2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9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2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76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2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19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2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8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2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08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2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2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2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176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2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2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2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19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2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08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2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19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2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9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2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8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2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08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2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76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2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19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2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08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2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2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2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8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2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76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2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2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2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2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2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28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2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19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2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0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2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08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2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19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2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8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2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9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2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4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2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08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2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19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2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08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2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76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2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2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2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08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2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2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2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60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2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8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2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2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2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19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2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6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2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08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2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2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2" t="s">
        <v>8315</v>
      </c>
      <c r="R158" t="s">
        <v>8316</v>
      </c>
      <c r="S158" s="18">
        <v>42534.866875</v>
      </c>
      <c r="T158" s="18">
        <v>42564.866875</v>
      </c>
    </row>
    <row r="159" spans="1:20" ht="22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2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9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2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08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2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2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2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28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2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9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2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08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2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8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2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9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2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2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76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2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60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2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4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2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2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2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6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2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176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2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8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2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9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2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76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2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2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19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2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08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2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176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2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76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2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08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2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9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2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2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2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2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2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08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2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19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2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60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2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1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2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60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2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08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2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14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2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08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2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176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2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08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2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19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2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08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2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08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2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08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2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1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2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19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2" t="s">
        <v>8315</v>
      </c>
      <c r="R202" t="s">
        <v>8316</v>
      </c>
      <c r="S202" s="18">
        <v>41804.937083333331</v>
      </c>
      <c r="T202" s="18">
        <v>41821.9375</v>
      </c>
    </row>
    <row r="203" spans="1:20" ht="22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2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2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4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2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19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2" t="s">
        <v>8315</v>
      </c>
      <c r="R206" t="s">
        <v>8316</v>
      </c>
      <c r="S206" s="18">
        <v>42144.231527777782</v>
      </c>
      <c r="T206" s="18">
        <v>42203.125</v>
      </c>
    </row>
    <row r="207" spans="1:20" ht="19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2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08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2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08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2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19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2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9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2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08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2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176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2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2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2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76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2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19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2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8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2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4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2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08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2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4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2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2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2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08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2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60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2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76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2" t="s">
        <v>8315</v>
      </c>
      <c r="R224" t="s">
        <v>8316</v>
      </c>
      <c r="S224" s="18">
        <v>42031.666898148149</v>
      </c>
      <c r="T224" s="18">
        <v>42064.125</v>
      </c>
    </row>
    <row r="225" spans="1:20" ht="208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2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6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2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2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9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2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19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2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6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2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08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2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08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2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08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2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9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2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2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08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2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9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2" t="s">
        <v>8315</v>
      </c>
      <c r="R237" t="s">
        <v>8316</v>
      </c>
      <c r="S237" s="18">
        <v>42209.67288194444</v>
      </c>
      <c r="T237" s="18">
        <v>42223.625</v>
      </c>
    </row>
    <row r="238" spans="1:20" ht="22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2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08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2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9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2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160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2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2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2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4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2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08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2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6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2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9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2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08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2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08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2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8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2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19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2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19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2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9" priority="3" operator="containsText" text="successful">
      <formula>NOT(ISERROR(SEARCH("successful",F1)))</formula>
    </cfRule>
    <cfRule type="containsText" dxfId="8" priority="5" operator="containsText" text="successful">
      <formula>NOT(ISERROR(SEARCH("successful",F1)))</formula>
    </cfRule>
    <cfRule type="containsText" dxfId="7" priority="6" operator="containsText" text="live">
      <formula>NOT(ISERROR(SEARCH("live",F1)))</formula>
    </cfRule>
    <cfRule type="cellIs" dxfId="6" priority="7" operator="equal">
      <formula>"failed"</formula>
    </cfRule>
    <cfRule type="containsText" dxfId="5" priority="8" operator="containsText" text="canceled">
      <formula>NOT(ISERROR(SEARCH("canceled",F1)))</formula>
    </cfRule>
  </conditionalFormatting>
  <conditionalFormatting sqref="O1:P1 O2:O251 R1">
    <cfRule type="colorScale" priority="4">
      <colorScale>
        <cfvo type="min"/>
        <cfvo type="max"/>
        <color theme="5" tint="0.39997558519241921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679F7-6072-E443-8B13-B74308CE7AA7}">
  <dimension ref="A1:C14"/>
  <sheetViews>
    <sheetView zoomScale="190" workbookViewId="0">
      <selection activeCell="E14" sqref="E14"/>
    </sheetView>
  </sheetViews>
  <sheetFormatPr baseColWidth="10" defaultRowHeight="15"/>
  <cols>
    <col min="1" max="1" width="21.6640625" bestFit="1" customWidth="1"/>
    <col min="2" max="2" width="11" bestFit="1" customWidth="1"/>
    <col min="3" max="3" width="11.5" bestFit="1" customWidth="1"/>
  </cols>
  <sheetData>
    <row r="1" spans="1:3">
      <c r="B1" t="s">
        <v>8389</v>
      </c>
      <c r="C1" t="s">
        <v>8390</v>
      </c>
    </row>
    <row r="2" spans="1:3">
      <c r="A2" t="s">
        <v>8385</v>
      </c>
      <c r="B2" s="20">
        <f>AVERAGE('Successful U.S. Kickstarters'!D:D)</f>
        <v>5048.8786407766993</v>
      </c>
      <c r="C2" s="20">
        <f>AVERAGE('Failed U.S. Kickstarters'!D:D)</f>
        <v>10554.212</v>
      </c>
    </row>
    <row r="3" spans="1:3">
      <c r="A3" t="s">
        <v>8388</v>
      </c>
      <c r="B3" s="20">
        <f>MEDIAN('Successful U.S. Kickstarters'!D:D)</f>
        <v>3000</v>
      </c>
      <c r="C3" s="20">
        <f>MEDIAN('Failed U.S. Kickstarters'!D:D)</f>
        <v>5000</v>
      </c>
    </row>
    <row r="4" spans="1:3">
      <c r="A4" t="s">
        <v>8391</v>
      </c>
      <c r="B4" s="20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>
      <c r="A5" t="s">
        <v>8392</v>
      </c>
      <c r="B5" s="20">
        <f>_xlfn.QUARTILE.EXC('Successful U.S. Kickstarters'!D:D, 3)</f>
        <v>5000</v>
      </c>
      <c r="C5" s="20">
        <f>_xlfn.QUARTILE.EXC('Failed U.S. Kickstarters'!D:D, 3)</f>
        <v>10000</v>
      </c>
    </row>
    <row r="6" spans="1:3">
      <c r="A6" t="s">
        <v>8393</v>
      </c>
      <c r="B6" s="20">
        <f>_xlfn.QUARTILE.EXC('Successful U.S. Kickstarters'!D:D, 1)</f>
        <v>1500</v>
      </c>
      <c r="C6" s="20">
        <f>_xlfn.QUARTILE.EXC('Failed U.S. Kickstarters'!D:D, 1)</f>
        <v>2000</v>
      </c>
    </row>
    <row r="7" spans="1:3">
      <c r="A7" t="s">
        <v>8394</v>
      </c>
      <c r="B7" s="20">
        <f>B5-B6</f>
        <v>3500</v>
      </c>
      <c r="C7" s="20">
        <f>C5-C6</f>
        <v>8000</v>
      </c>
    </row>
    <row r="8" spans="1:3">
      <c r="B8" s="20"/>
      <c r="C8" s="20"/>
    </row>
    <row r="9" spans="1:3">
      <c r="A9" t="s">
        <v>8386</v>
      </c>
      <c r="B9" s="20">
        <f>AVERAGE('Successful U.S. Kickstarters'!E:E)</f>
        <v>5601.5458009708727</v>
      </c>
      <c r="C9" s="20">
        <f>AVERAGE('Failed U.S. Kickstarters'!E:E)</f>
        <v>558.65484000000004</v>
      </c>
    </row>
    <row r="10" spans="1:3">
      <c r="A10" t="s">
        <v>8387</v>
      </c>
      <c r="B10" s="20">
        <f>MEDIAN('Successful U.S. Kickstarters'!E:E)</f>
        <v>3167.5</v>
      </c>
      <c r="C10" s="20">
        <f>MEDIAN('Failed U.S. Kickstarters'!E:E)</f>
        <v>103</v>
      </c>
    </row>
    <row r="11" spans="1:3">
      <c r="A11" t="s">
        <v>8391</v>
      </c>
      <c r="B11" s="20">
        <f>_xlfn.STDEV.P('Successful U.S. Kickstarters'!E:E)</f>
        <v>8334.5731699164608</v>
      </c>
      <c r="C11" s="20">
        <f>_xlfn.STDEV.P('Failed U.S. Kickstarters'!E:E)</f>
        <v>1330.5230280400915</v>
      </c>
    </row>
    <row r="12" spans="1:3">
      <c r="A12" t="s">
        <v>8392</v>
      </c>
      <c r="B12" s="20">
        <f>_xlfn.QUARTILE.EXC('Successful U.S. Kickstarters'!E:E, 3)</f>
        <v>5699</v>
      </c>
      <c r="C12" s="20">
        <f>_xlfn.QUARTILE.EXC('Failed U.S. Kickstarters'!E:E, 3)</f>
        <v>501</v>
      </c>
    </row>
    <row r="13" spans="1:3">
      <c r="A13" t="s">
        <v>8393</v>
      </c>
      <c r="B13" s="20">
        <f>_xlfn.QUARTILE.EXC('Successful U.S. Kickstarters'!E:E, 1)</f>
        <v>1716.5074999999999</v>
      </c>
      <c r="C13" s="20">
        <f>_xlfn.QUARTILE.EXC('Failed U.S. Kickstarters'!E:E, 1)</f>
        <v>9.25</v>
      </c>
    </row>
    <row r="14" spans="1:3">
      <c r="A14" t="s">
        <v>8394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C8766-4824-8448-80B0-69AAC97EC9C8}">
  <dimension ref="A1:E21"/>
  <sheetViews>
    <sheetView tabSelected="1" zoomScale="125" workbookViewId="0">
      <selection activeCell="D15" sqref="D15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13" t="s">
        <v>8358</v>
      </c>
      <c r="B1" t="s">
        <v>8315</v>
      </c>
    </row>
    <row r="2" spans="1:5">
      <c r="A2" s="13" t="s">
        <v>8380</v>
      </c>
      <c r="B2" t="s">
        <v>8363</v>
      </c>
    </row>
    <row r="4" spans="1:5">
      <c r="A4" s="13" t="s">
        <v>8364</v>
      </c>
      <c r="B4" s="13" t="s">
        <v>8360</v>
      </c>
    </row>
    <row r="5" spans="1: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9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>
      <c r="A7" s="19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>
      <c r="A8" s="19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>
      <c r="A9" s="19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>
      <c r="A10" s="19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>
      <c r="A11" s="19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>
      <c r="A12" s="19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>
      <c r="A13" s="19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>
      <c r="A14" s="19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>
      <c r="A15" s="19" t="s">
        <v>8372</v>
      </c>
      <c r="B15" s="15">
        <v>65</v>
      </c>
      <c r="C15" s="15">
        <v>50</v>
      </c>
      <c r="D15" s="15"/>
      <c r="E15" s="15">
        <v>115</v>
      </c>
    </row>
    <row r="16" spans="1:5">
      <c r="A16" s="19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>
      <c r="A17" s="19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>
      <c r="A18" s="19" t="s">
        <v>8361</v>
      </c>
      <c r="B18" s="15">
        <v>839</v>
      </c>
      <c r="C18" s="15">
        <v>493</v>
      </c>
      <c r="D18" s="15">
        <v>37</v>
      </c>
      <c r="E18" s="15">
        <v>1369</v>
      </c>
    </row>
    <row r="21" spans="1:5">
      <c r="C21">
        <f>493/12</f>
        <v>41.083333333333336</v>
      </c>
      <c r="D21">
        <f>37/12</f>
        <v>3.0833333333333335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125" zoomScaleNormal="95" workbookViewId="0">
      <selection activeCell="Q8" sqref="Q8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6.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3" bestFit="1" customWidth="1"/>
    <col min="14" max="14" width="26.1640625" bestFit="1" customWidth="1"/>
    <col min="15" max="15" width="16.33203125" bestFit="1" customWidth="1"/>
    <col min="16" max="16" width="24.6640625" style="9" customWidth="1"/>
    <col min="17" max="17" width="26.1640625" bestFit="1" customWidth="1"/>
    <col min="18" max="18" width="14.5" bestFit="1" customWidth="1"/>
    <col min="19" max="19" width="20.83203125" style="18" bestFit="1" customWidth="1"/>
    <col min="20" max="20" width="19.6640625" bestFit="1" customWidth="1"/>
    <col min="21" max="21" width="29" customWidth="1"/>
  </cols>
  <sheetData>
    <row r="1" spans="1:21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7" t="s">
        <v>8366</v>
      </c>
      <c r="T1" s="17" t="s">
        <v>8367</v>
      </c>
      <c r="U1" t="s">
        <v>8380</v>
      </c>
    </row>
    <row r="2" spans="1:21" ht="48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2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2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12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2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2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2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2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2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2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2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2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2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2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2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2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2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2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2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2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2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2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2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2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2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2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2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2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2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2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2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2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2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2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2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2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2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2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2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2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2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2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2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2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2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2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2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2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2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2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2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2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2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2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2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2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2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2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2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2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2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2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2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2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2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2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2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12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2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2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2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2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2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2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2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2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2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2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2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2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2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2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2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2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2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2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2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2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2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2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2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2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2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2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2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2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2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2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2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2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2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2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2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2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2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2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2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2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2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2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2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2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2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2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2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2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2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2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2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2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2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2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2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2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2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2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2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2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2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2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2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12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2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2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2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2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2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2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2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2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2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2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2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2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2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2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2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2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2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2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2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2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2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2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2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2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2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2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2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2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2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2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2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2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2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2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2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2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2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2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2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2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2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2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2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2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2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2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2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2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2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2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2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2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2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2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2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2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2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2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2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2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2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2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2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12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2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2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2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2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2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2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2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2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2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2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2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2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2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2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2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2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2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2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2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2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2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2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2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2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2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2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2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2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2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2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2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2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2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2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2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2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2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2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2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2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2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2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2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2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2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2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2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2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2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2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2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2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2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2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2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2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2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2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2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2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2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2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2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12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2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2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2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2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2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2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2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2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2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2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2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2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2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2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2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2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2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2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2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2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2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2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2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2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2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2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2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2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2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2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2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2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2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2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2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2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2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2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2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2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2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2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2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2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2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2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2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2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2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2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2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2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2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2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2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2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2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2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2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2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2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2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2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12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2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2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2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2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2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2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2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2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2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2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2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2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2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2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2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2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2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2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2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2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2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2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2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2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2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2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2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2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2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2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2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2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2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2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2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2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2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2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2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2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2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2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2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2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2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2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2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2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2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2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2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2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2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2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2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2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2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2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2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2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2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2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2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12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2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2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2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2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2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2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2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2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2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2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2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2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2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2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2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2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2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2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2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2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2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2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2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2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2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2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2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2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2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2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2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2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2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2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2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2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2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2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2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2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2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2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2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2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2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2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2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2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2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2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2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2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2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2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2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2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2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2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2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2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2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2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2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12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2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2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2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2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2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2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2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2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2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2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2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2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2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2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2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2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2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2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2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2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2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2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2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2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2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2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2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2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2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2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2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2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2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2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2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2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2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2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2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2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2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2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2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2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2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2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2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2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2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2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2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2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2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2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2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2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2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2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2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2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2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2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2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12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2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2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2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2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2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2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2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2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2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2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2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2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2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2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2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2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2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2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2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2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2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2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2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2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2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2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2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2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2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2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2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2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2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2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2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2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2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2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2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2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2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2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2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2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2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2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2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2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2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2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2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2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2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2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2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2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2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2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2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2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2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2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2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12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2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2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2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2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2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2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2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2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2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2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2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2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2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2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2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2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2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2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2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2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2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2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2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2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2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2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2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2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2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2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2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2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2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2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2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2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2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2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2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2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2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2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2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2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2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2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2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2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2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2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2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2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2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2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2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2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2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2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2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2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2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2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2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12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2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2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2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2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2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2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2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2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2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2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2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2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2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2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2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2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2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2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2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2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2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2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2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2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2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2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2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2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2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2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2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2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2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2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2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2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2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2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2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2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2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2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2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2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2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2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2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2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2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2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2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2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2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2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2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2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2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2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2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2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2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2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>
        <f t="shared" si="56"/>
        <v>0</v>
      </c>
      <c r="Q770" s="12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12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2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2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2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2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2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2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2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2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2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2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2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2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2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2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2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2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2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2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2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2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2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2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2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2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2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2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2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2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2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2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2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2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2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2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2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2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2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2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2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2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2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2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2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2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2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2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2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2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2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2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2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2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2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2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2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2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2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2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2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2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2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2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2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12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2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2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2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2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2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2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2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2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2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2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2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2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2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2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2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2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2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2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2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2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2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2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2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2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2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2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2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2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2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2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2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2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2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2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2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2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2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2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2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2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2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2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2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2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2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2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2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2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2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2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2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2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2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2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2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2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2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2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2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2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2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2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2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12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2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2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2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2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2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2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2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2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2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2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2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2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2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2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2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2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2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2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2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2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2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2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2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2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2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2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2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2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2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2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2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2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2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2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2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2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2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2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2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2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2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2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2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2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2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2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2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2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2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2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2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2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2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2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2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2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2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2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2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2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2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2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2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12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2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2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2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2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2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2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2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2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2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2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2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2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2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2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2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2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2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2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2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2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2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2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2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2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2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2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2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2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2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2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2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2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2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2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2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2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2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2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2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2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2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2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2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2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2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2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2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2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2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2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2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2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2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2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2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2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2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2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2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2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2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2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2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2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2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2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2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2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2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2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2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2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2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2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2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2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2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2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2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2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2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2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2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2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2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2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2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2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2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2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2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2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2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2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2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2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2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2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2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2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2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2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2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2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2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2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2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2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2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2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2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2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2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2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2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2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2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2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2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2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2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2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2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2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2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2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2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12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2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2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2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2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2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2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2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2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2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2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2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2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2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2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2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2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2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2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2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2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2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2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2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2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2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2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2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2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2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2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2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2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2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2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2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2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2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2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2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2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2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2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2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2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2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2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2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2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2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2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2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2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2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2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2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2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2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2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2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2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2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2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2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12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2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2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2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2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2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2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2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2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2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2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2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2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2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2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2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2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2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2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2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2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2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2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2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2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2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2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2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2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2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2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2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2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2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2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2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2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2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2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2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2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2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2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2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2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2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2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2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2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2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2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2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2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2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2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2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2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2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2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2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2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2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2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2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12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2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2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2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2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2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2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2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2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2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2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2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2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2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2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2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2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2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2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2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2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2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2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2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2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2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2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2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2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2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2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2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2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2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2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2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2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2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2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2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2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2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2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2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2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2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2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2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2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2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2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2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2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2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2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2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2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2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2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2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2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2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2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2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12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2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2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2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2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2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2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2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2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2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2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2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2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2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2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2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2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2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2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2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2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2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2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2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2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2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2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2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2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2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2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2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2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2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2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2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2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2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2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2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2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2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2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2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2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2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2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2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2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2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2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2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2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2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2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2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2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2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2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2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2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2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2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2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12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2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2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2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2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2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2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2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2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2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2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2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2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2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2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2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2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2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2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2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2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2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2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2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2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2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2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2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2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2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2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2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2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2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2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2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2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2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2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2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2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2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2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2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2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2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2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2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2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2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2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2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2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2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2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2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2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2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2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2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2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2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2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2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12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2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2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2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2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2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2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2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2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2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2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2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2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2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2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2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2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2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2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2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2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2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2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2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2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2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2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2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2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2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2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2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2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2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2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2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2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2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2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2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2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2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2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2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2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2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2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2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2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2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2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2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2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2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2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2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2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2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2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2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2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2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2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2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12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2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2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2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2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2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2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2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2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2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2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2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2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2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2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2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2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2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2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2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2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2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2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2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2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2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2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2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2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2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2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2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2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2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2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2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2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2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2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2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2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2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2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2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2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2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2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2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2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2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2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2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2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2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2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2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2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2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2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2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2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2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2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2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12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2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2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2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2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2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2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2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2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2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2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2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2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2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2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2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2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2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2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2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2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2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2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2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2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2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2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2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2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2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2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2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2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2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2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2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2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2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2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2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2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2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2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2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2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2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2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2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2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2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2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2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2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2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2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2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2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2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2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2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2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2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2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2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12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2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2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2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2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2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2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2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2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2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2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2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2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2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2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2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2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2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2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2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2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2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2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2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2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2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2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2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2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2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2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2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2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2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2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2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2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2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2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2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2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2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2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2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2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2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2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2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2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2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2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2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2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2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2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2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2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2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2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2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2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2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2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2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12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2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2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2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2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2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2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2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2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2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2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2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2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2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2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2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2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2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2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2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2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2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2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2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2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2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2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2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2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2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2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2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2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2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2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2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2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2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2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2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2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2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2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2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2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2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2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2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2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2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2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2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2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2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2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2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2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2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2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2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2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2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2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2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12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2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2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2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2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2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2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2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2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2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2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2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2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2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2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2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2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2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2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2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2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2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2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2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2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2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2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2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2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2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2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2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2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2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2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2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2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2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2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2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2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2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2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2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2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2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2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2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2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2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2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2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2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2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2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2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2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2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2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2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2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2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2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2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12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2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2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2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2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2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2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2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2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2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2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2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2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2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2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2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2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2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2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2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2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2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2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2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2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2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2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2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2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2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2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2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2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2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2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2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2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2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2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2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2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2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2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2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2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2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2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2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2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2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2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2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2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2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2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2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2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2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2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2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2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2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2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2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2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2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2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2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2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2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2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2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2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2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2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2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2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2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2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2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2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2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2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2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2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2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2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2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2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2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2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2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2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2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2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2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2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2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2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2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2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2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2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2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2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2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2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2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2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2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2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2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2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2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2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2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2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2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2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2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2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2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2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2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2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2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2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2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12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2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2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2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2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2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2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2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2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2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2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2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2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2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2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2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2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2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2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2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2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2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2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2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2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2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2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2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2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2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2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2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2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2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2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2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2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2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2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2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2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2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2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2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2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2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2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2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2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2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2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2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2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2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2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2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2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2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2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2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2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2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2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2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12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2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2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2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2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2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2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2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2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2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2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2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2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2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2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2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2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2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2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2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2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2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2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2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2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2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2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2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2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2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2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2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2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2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2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2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2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2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2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2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2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2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2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2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2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2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2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2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2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2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2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2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2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2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2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2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2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2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2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2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2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2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2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2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2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2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2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2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2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2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2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2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2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2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2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2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2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2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2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2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2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2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2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2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2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2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2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2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2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2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2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2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2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2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2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2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2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2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2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2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2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2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2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2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2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2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2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2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2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2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2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2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2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2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2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2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2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2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2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2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2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2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2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2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2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2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2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2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2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2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2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2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2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2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2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2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2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2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2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2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2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2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2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2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2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2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2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2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2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2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2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2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2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2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2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2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2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2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2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2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2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2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2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2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2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2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2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2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2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2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2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2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2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2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2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2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2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2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2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2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2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2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2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2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2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2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2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2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2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2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2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2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12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2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2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2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2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2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2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2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2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2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2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2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2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2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2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2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2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2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2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2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2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2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2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2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2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2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2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2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2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2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2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2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2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2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2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2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2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2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2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2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2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2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2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2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2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2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2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2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2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2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2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2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2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2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2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2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2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2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2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2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2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2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2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2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12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2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2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2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2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2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2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2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2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2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2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2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2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2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2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2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2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2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2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2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2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2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2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2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2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2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2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2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2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2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2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2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2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2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2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2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2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2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2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2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2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2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2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2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2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2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2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2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2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2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2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2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2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2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2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2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2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2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2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2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2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2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2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2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12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2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2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2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2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2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2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2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2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2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2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2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2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2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2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2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2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2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2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2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2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2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2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2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2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2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2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2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2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2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2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2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2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2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2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2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2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2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2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2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2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2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2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2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2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2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2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2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2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2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2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2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2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2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2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2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2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2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2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2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2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2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2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2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12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2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2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2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2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2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2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2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2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2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2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2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2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2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2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2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2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2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2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2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2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2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2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2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2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2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2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2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2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2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2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2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2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2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2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2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2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2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2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2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2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2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2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2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2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2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2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2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2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2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2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2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2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2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2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2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2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2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2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2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2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2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2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2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12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2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2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2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2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2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2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2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2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2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2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2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2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2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2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2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2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2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2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2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2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2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2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2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2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2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2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2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2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2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2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2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2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2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2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2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2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2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2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2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2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2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2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2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2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2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2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2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2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2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2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2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2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2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2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2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2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2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2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2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2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2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2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2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12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2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2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2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2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2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2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2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2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2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2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2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2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2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2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2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2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2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2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2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2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2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2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2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2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2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2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2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2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2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2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2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2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2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2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2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2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2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2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2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2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2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2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2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2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2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2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2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2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2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2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2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2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2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2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2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2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2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2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2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2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2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2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2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12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2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2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2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2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2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2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2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2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2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2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2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2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2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2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2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2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2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2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2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2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2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2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2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2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2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2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2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2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2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2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2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2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2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2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2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2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2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2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2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2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2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2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2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2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2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2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2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2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2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2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2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2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2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2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2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2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2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2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2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2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2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2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2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12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2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2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2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2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2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2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2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2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2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2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2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2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2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2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2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2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2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2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2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2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2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2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2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2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2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2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2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2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2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2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2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2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2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2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2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2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2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2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2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2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2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2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2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2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2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2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2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2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2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2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2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2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2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2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2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2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2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2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2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2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2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2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2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12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2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2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2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2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2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2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2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2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2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2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2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2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2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2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2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2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2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2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2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2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2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2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2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2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2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2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2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2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2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2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2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2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2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2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2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2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2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2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2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2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2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2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2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2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2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2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2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2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2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2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2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2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2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2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2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2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2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2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2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2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2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2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2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12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2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2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2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2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2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2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2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2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2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2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2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2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2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2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2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2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2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2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2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2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2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2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2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2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2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2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2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2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2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2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2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2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2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2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2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2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2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2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2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2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2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2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2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2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2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2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2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2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2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2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2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2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2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2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2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2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2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2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2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2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2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2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2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12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2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2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2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2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2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2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2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2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2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2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2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2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2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2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2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2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2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2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2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2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2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2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2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2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2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2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2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2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2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2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2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2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2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2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2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2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2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2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2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2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2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2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2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2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2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2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2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2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2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2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2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2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2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2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2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2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2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2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2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2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2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2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2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12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2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2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2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2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2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2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2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2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2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2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2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2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2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2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2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2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2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2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2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2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2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2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2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2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2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2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2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2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2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2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2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2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2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2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2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2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2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2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2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2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2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2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2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2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2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2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2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2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2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2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2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2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2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2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2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2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2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2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2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2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2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2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2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12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2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2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2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2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2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2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2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2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2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2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2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2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2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2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2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2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2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2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2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2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2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2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2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2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2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2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2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2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2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2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2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2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2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2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2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2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2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2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2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2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2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2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2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2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2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2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2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2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2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2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2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2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2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2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2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2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2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2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2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2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2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2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2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12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2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2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2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2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2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2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2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2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2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2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2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2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2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2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2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2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2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2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2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2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2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2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2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2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2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2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2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2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2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2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2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2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2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2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2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2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2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2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2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2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2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2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2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2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2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2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2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2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2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2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2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2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2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2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2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2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2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2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2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2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2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2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2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12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2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2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2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2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2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2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2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2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2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2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2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2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2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2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2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2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2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2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2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2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2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2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2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2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2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2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2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2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2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2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2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2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2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2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2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2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2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2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2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2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2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2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2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2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2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2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2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2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2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2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2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2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2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2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2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2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2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2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2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2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2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2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2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12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2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2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2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2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2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2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2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2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2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2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2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2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2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2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2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2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2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2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2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2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2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2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2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2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2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2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2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2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2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2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2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2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2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2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2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2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2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2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2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2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2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2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2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2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2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2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2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2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2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2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2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2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2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2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2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2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2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2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2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2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2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2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2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12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2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2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2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2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2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2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2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2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2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2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2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2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2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2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2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2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2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2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2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2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2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2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2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2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2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2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2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2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2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2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2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2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2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2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2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2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2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2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2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2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2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2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2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2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2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2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2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2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2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2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2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2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2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2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2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2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2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2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2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2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2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2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2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2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2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2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2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2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2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2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2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2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2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2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2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2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2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2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2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2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2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2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2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2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2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2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2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2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2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2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2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2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2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2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2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2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2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2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2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2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2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2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2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2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2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2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2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2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2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2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2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2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2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2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2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2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2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2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2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2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2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2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2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2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2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2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2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12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2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2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2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2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2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2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2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2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2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2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2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2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2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2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2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2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2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2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2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2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2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2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2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2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2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2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2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2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2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2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2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2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2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2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2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2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2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2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2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2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2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2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2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2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2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2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2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2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2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2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2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2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2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2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2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2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2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2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2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2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2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2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2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12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2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2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2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2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2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2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2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2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2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2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2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2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2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2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2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2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2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2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2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2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2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2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2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2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2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2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2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2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2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2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2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2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2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2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2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2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2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2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2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2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2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2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2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2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2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2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2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2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2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2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2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2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2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2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2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2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2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2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2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2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2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2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2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12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2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2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2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2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2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2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2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2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2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2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2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2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2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2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2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2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2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2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2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2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2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2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2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2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2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2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2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2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2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2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2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2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2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2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2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2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2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2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2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2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2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2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2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2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2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2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2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2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2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2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2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2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2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2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2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2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2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2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2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2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2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2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2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12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2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2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2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2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2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2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2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2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2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2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2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2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2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2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2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2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2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2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2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2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2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2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2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2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2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2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2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2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2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2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2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2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2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2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2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2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2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2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2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2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2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2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2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2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2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2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2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2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2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2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2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2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2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2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2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2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2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2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2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2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2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2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2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12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2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2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2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2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2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2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2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2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2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2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2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2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2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2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2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2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2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2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2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2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2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2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2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2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2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2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2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2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2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2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2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2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2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2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2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2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2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2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2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2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2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2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2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2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2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2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2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2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2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2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2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2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2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2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2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2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2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2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2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2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2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2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2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12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2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2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2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2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2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2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2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2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2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2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2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2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2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2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2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2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2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2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2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2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2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2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2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2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2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2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2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2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2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2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2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2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2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2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2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2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2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2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2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2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2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2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2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2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2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2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2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2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2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2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2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2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2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2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2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2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2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2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2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2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2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2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2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12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2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2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2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2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2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2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2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2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2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2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2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2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2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2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2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2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2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2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2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2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2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2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2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2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2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2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2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2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2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2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2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2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2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2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2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2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2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2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2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2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2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2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2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2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2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2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2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2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2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2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2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2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2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2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2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2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2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2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2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2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2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2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2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12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2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2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2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2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2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2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2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2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2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2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2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2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2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2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2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2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2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2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2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2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2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2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2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2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2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2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2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2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2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2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2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2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2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2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2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2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2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2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2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2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2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2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2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2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2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2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2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2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2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2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2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2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2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2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2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2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2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2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2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2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2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2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2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12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2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2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2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2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2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2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2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2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2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2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2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2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2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2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2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2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2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2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2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2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2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2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2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2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2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2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2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2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2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2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2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2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2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2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2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2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2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2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2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2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2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2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2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2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2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2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2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2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2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2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2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2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2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2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2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2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2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2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2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2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2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2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2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12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2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2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2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2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2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2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2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2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2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2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2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2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2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2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2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2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2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2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2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2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2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2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2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2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2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2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2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2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2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2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2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2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2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2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2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2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2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2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2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2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2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2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2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2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2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2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2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2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2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2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2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2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2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2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2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2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2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2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2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2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2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2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2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12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2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2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2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2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2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2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2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2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2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2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2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2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2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2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2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2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2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2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2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2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2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2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2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2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2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2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2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2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2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2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2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2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2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2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2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2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2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2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2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2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2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2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2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2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2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2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2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2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2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2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2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2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2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2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2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2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2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2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2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2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2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2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2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12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2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2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2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2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2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2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2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2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2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2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2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2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2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2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2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2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2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2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2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2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2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2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2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2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2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2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2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2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2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2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2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2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2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2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2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2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2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2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2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2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2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2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2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2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2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2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2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2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2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2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2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2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2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2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2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2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2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2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2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2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2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2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2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2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2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2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2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2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2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2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2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2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2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2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2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2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2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2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2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2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T4115" xr:uid="{E36B6CB2-D8E1-4F49-97F5-F5968E549B73}"/>
  <conditionalFormatting sqref="F1:F1048576">
    <cfRule type="containsText" dxfId="4" priority="3" operator="containsText" text="successful">
      <formula>NOT(ISERROR(SEARCH("successful",F1)))</formula>
    </cfRule>
    <cfRule type="containsText" dxfId="3" priority="5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  <cfRule type="cellIs" dxfId="1" priority="7" operator="equal">
      <formula>"failed"</formula>
    </cfRule>
    <cfRule type="containsText" dxfId="0" priority="8" operator="containsText" text="canceled">
      <formula>NOT(ISERROR(SEARCH("canceled",F1)))</formula>
    </cfRule>
  </conditionalFormatting>
  <conditionalFormatting sqref="O1:O1048576 P1 R1">
    <cfRule type="colorScale" priority="4">
      <colorScale>
        <cfvo type="min"/>
        <cfvo type="max"/>
        <color theme="5" tint="0.39997558519241921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E3599-2A2D-3C49-9D0B-5FB49B52D265}">
  <dimension ref="A1:H41"/>
  <sheetViews>
    <sheetView workbookViewId="0">
      <selection activeCell="G16" sqref="G16"/>
    </sheetView>
  </sheetViews>
  <sheetFormatPr baseColWidth="10" defaultRowHeight="15"/>
  <cols>
    <col min="1" max="1" width="25.1640625" customWidth="1"/>
    <col min="2" max="2" width="17" bestFit="1" customWidth="1"/>
    <col min="3" max="3" width="13.33203125" bestFit="1" customWidth="1"/>
    <col min="4" max="4" width="16.332031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83203125" bestFit="1" customWidth="1"/>
  </cols>
  <sheetData>
    <row r="1" spans="1:8" ht="16">
      <c r="A1" s="22" t="s">
        <v>8383</v>
      </c>
      <c r="B1" s="22" t="s">
        <v>8395</v>
      </c>
      <c r="C1" s="22" t="s">
        <v>8396</v>
      </c>
      <c r="D1" s="22" t="s">
        <v>8413</v>
      </c>
      <c r="E1" s="22" t="s">
        <v>8397</v>
      </c>
      <c r="F1" s="22" t="s">
        <v>8398</v>
      </c>
      <c r="G1" s="22" t="s">
        <v>8399</v>
      </c>
      <c r="H1" s="22" t="s">
        <v>8400</v>
      </c>
    </row>
    <row r="2" spans="1:8" ht="16">
      <c r="A2" s="23" t="s">
        <v>8401</v>
      </c>
      <c r="B2">
        <f>COUNTIFS(Data!$D:$D,"&lt;1000",Data!$F:$F,"successful", Data!$R:$R,"plays")</f>
        <v>141</v>
      </c>
      <c r="C2">
        <f>COUNTIFS(Data!$D:$D,"&lt;1000",Data!$F:$F,"failed", Data!$R:$R,"plays")</f>
        <v>45</v>
      </c>
      <c r="D2">
        <f>COUNTIFS(Data!$D:$D,"&lt;1000",Data!$F:$F,"canceled", Data!$R:$R,"plays")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ht="16">
      <c r="A3" s="23" t="s">
        <v>8402</v>
      </c>
      <c r="B3">
        <f>COUNTIFS(Data!$D:$D,"&gt;=1000",Data!$D:$D,"&lt;5000",Data!$F:$F,"successful", Data!$R:$R,"plays")</f>
        <v>388</v>
      </c>
      <c r="C3">
        <f>COUNTIFS(Data!$D:$D,"&gt;=1000",Data!$D:$D,"&lt;5000",Data!$F:$F,"successful", Data!$R:$R,"plays")</f>
        <v>388</v>
      </c>
      <c r="D3">
        <f>COUNTIFS(Data!$D:$D,"&gt;=1000",Data!$D:$D,"&lt;5000",Data!$F:$F,"canceled", Data!$R:$R,"plays")</f>
        <v>0</v>
      </c>
      <c r="E3">
        <f t="shared" ref="E3:E13" si="0">SUM(B3:D3)</f>
        <v>776</v>
      </c>
      <c r="F3" s="24">
        <f>B3/E3</f>
        <v>0.5</v>
      </c>
      <c r="G3" s="24">
        <f t="shared" ref="G3:G13" si="1">C3/E3</f>
        <v>0.5</v>
      </c>
      <c r="H3" s="24">
        <f t="shared" ref="H3:H13" si="2">D3/E3</f>
        <v>0</v>
      </c>
    </row>
    <row r="4" spans="1:8" ht="16">
      <c r="A4" s="23" t="s">
        <v>8403</v>
      </c>
      <c r="B4">
        <f>COUNTIFS(Data!$D:$D,"&gt;=5000",Data!$D:$D,"&lt;10000",Data!$F:$F,"successful", Data!$R:$R,"plays")</f>
        <v>93</v>
      </c>
      <c r="C4">
        <f>COUNTIFS(Data!$D:$D,"&gt;=5000",Data!$D:$D,"&lt;10000",Data!$F:$F,"failed", Data!$R:$R,"plays")</f>
        <v>76</v>
      </c>
      <c r="D4">
        <f>COUNTIFS(Data!$D:$D,"&gt;=5000",Data!$D:$D,"&lt;10000",Data!$F:$F,"canceled", Data!$R:$R,"plays")</f>
        <v>0</v>
      </c>
      <c r="E4">
        <f t="shared" si="0"/>
        <v>169</v>
      </c>
      <c r="F4" s="24">
        <f t="shared" ref="F3:F13" si="3">B4/E4</f>
        <v>0.55029585798816572</v>
      </c>
      <c r="G4" s="24">
        <f t="shared" si="1"/>
        <v>0.44970414201183434</v>
      </c>
      <c r="H4" s="24">
        <f t="shared" si="2"/>
        <v>0</v>
      </c>
    </row>
    <row r="5" spans="1:8" ht="16">
      <c r="A5" s="23" t="s">
        <v>8404</v>
      </c>
      <c r="B5">
        <f>COUNTIFS(Data!$D:$D,"&gt;=10000",Data!$D:$D,"&lt;15000",Data!$F:$F,"successful", Data!$R:$R,"plays")</f>
        <v>39</v>
      </c>
      <c r="C5">
        <f>COUNTIFS(Data!$D:$D,"&gt;=10000",Data!$D:$D,"&lt;15000",Data!$F:$F,"failed", Data!$R:$R,"plays")</f>
        <v>33</v>
      </c>
      <c r="D5">
        <f>COUNTIFS(Data!$D:$D,"&gt;=10000",Data!$D:$D,"&lt;15000",Data!$F:$F,"canceled", Data!$R:$R,"plays")</f>
        <v>0</v>
      </c>
      <c r="E5">
        <f t="shared" si="0"/>
        <v>72</v>
      </c>
      <c r="F5" s="24">
        <f t="shared" si="3"/>
        <v>0.54166666666666663</v>
      </c>
      <c r="G5" s="24">
        <f t="shared" si="1"/>
        <v>0.45833333333333331</v>
      </c>
      <c r="H5" s="24">
        <f t="shared" si="2"/>
        <v>0</v>
      </c>
    </row>
    <row r="6" spans="1:8" ht="16">
      <c r="A6" s="23" t="s">
        <v>8405</v>
      </c>
      <c r="B6">
        <f>COUNTIFS(Data!$D:$D,"&gt;=15000",Data!$D:$D,"&lt;20000",Data!$F:$F,"successful", Data!$R:$R,"plays")</f>
        <v>12</v>
      </c>
      <c r="C6">
        <f>COUNTIFS(Data!$D:$D,"&gt;=15000",Data!$D:$D,"&lt;20000",Data!$F:$F,"failed", Data!$R:$R,"plays")</f>
        <v>12</v>
      </c>
      <c r="D6">
        <f>COUNTIFS(Data!$D:$D,"&gt;=15000",Data!$D:$D,"&lt;20000",Data!$F:$F,"canceled", Data!$R:$R,"plays")</f>
        <v>0</v>
      </c>
      <c r="E6">
        <f t="shared" si="0"/>
        <v>24</v>
      </c>
      <c r="F6" s="24">
        <f t="shared" si="3"/>
        <v>0.5</v>
      </c>
      <c r="G6" s="24">
        <f t="shared" si="1"/>
        <v>0.5</v>
      </c>
      <c r="H6" s="24">
        <f t="shared" si="2"/>
        <v>0</v>
      </c>
    </row>
    <row r="7" spans="1:8" ht="16">
      <c r="A7" s="23" t="s">
        <v>8406</v>
      </c>
      <c r="B7">
        <f>COUNTIFS(Data!$D:$D,"&gt;=20000",Data!$D:$D,"&lt;25000",Data!$F:$F,"successful", Data!$R:$R,"plays")</f>
        <v>9</v>
      </c>
      <c r="C7">
        <f>COUNTIFS(Data!$D:$D,"&gt;=20000",Data!$D:$D,"&lt;25000",Data!$F:$F,"failed", Data!$R:$R,"plays")</f>
        <v>11</v>
      </c>
      <c r="D7">
        <f>COUNTIFS(Data!$D:$D,"&gt;=20000",Data!$D:$D,"&lt;25000",Data!$F:$F,"canceled", Data!$R:$R,"plays")</f>
        <v>0</v>
      </c>
      <c r="E7">
        <f t="shared" si="0"/>
        <v>20</v>
      </c>
      <c r="F7" s="24">
        <f t="shared" si="3"/>
        <v>0.45</v>
      </c>
      <c r="G7" s="24">
        <f t="shared" si="1"/>
        <v>0.55000000000000004</v>
      </c>
      <c r="H7" s="24">
        <f t="shared" si="2"/>
        <v>0</v>
      </c>
    </row>
    <row r="8" spans="1:8" ht="16">
      <c r="A8" s="23" t="s">
        <v>8407</v>
      </c>
      <c r="B8">
        <f>COUNTIFS(Data!$D:$D,"&gt;=25000",Data!$D:$D,"&lt;30000",Data!$F:$F,"successful", Data!$R:$R,"plays")</f>
        <v>1</v>
      </c>
      <c r="C8">
        <f>COUNTIFS(Data!$D:$D,"&gt;=25000",Data!$D:$D,"&lt;30000",Data!$F:$F,"failed", Data!$R:$R,"plays")</f>
        <v>4</v>
      </c>
      <c r="D8">
        <f>COUNTIFS(Data!$D:$D,"&gt;=25000",Data!$D:$D,"&lt;30000",Data!$F:$F,"canceled", Data!$R:$R,"plays")</f>
        <v>0</v>
      </c>
      <c r="E8">
        <f t="shared" si="0"/>
        <v>5</v>
      </c>
      <c r="F8" s="24">
        <f t="shared" si="3"/>
        <v>0.2</v>
      </c>
      <c r="G8" s="24">
        <f t="shared" si="1"/>
        <v>0.8</v>
      </c>
      <c r="H8" s="24">
        <f t="shared" si="2"/>
        <v>0</v>
      </c>
    </row>
    <row r="9" spans="1:8" ht="16">
      <c r="A9" s="23" t="s">
        <v>8408</v>
      </c>
      <c r="B9">
        <f>COUNTIFS(Data!$D:$D,"&gt;=30000",Data!$D:$D,"&lt;35000",Data!$F:$F,"successful", Data!$R:$R,"plays")</f>
        <v>3</v>
      </c>
      <c r="C9">
        <f>COUNTIFS(Data!$D:$D,"&gt;=30000",Data!$D:$D,"&lt;35000",Data!$F:$F,"failed", Data!$R:$R,"plays")</f>
        <v>8</v>
      </c>
      <c r="D9">
        <f>COUNTIFS(Data!$D:$D,"&gt;=30000",Data!$D:$D,"&lt;35000",Data!$F:$F,"canceled", Data!$R:$R,"plays")</f>
        <v>0</v>
      </c>
      <c r="E9">
        <f t="shared" si="0"/>
        <v>11</v>
      </c>
      <c r="F9" s="24">
        <f t="shared" si="3"/>
        <v>0.27272727272727271</v>
      </c>
      <c r="G9" s="24">
        <f t="shared" si="1"/>
        <v>0.72727272727272729</v>
      </c>
      <c r="H9" s="24">
        <f t="shared" si="2"/>
        <v>0</v>
      </c>
    </row>
    <row r="10" spans="1:8" ht="16">
      <c r="A10" s="23" t="s">
        <v>8409</v>
      </c>
      <c r="B10">
        <f>COUNTIFS(Data!$D:$D,"&gt;=35000",Data!$D:$D,"&lt;40000",Data!$F:$F,"successful", Data!$R:$R,"plays")</f>
        <v>4</v>
      </c>
      <c r="C10">
        <f>COUNTIFS(Data!$D:$D,"&gt;=35000",Data!$D:$D,"&lt;40000",Data!$F:$F,"failed", Data!$R:$R,"plays")</f>
        <v>2</v>
      </c>
      <c r="D10">
        <f>COUNTIFS(Data!$D:$D,"&gt;=35000",Data!$D:$D,"&lt;40000",Data!$F:$F,"canceled", Data!$R:$R,"plays")</f>
        <v>0</v>
      </c>
      <c r="E10">
        <f t="shared" si="0"/>
        <v>6</v>
      </c>
      <c r="F10" s="24">
        <f t="shared" si="3"/>
        <v>0.66666666666666663</v>
      </c>
      <c r="G10" s="24">
        <f t="shared" si="1"/>
        <v>0.33333333333333331</v>
      </c>
      <c r="H10" s="24">
        <f t="shared" si="2"/>
        <v>0</v>
      </c>
    </row>
    <row r="11" spans="1:8" ht="16">
      <c r="A11" s="23" t="s">
        <v>8410</v>
      </c>
      <c r="B11">
        <f>COUNTIFS(Data!$D:$D,"&gt;=40000",Data!$D:$D,"&lt;45000",Data!$F:$F,"successful", Data!$R:$R,"plays")</f>
        <v>2</v>
      </c>
      <c r="C11">
        <f>COUNTIFS(Data!$D:$D,"&gt;=40000",Data!$D:$D,"&lt;45000",Data!$F:$F,"failed", Data!$R:$R,"plays")</f>
        <v>1</v>
      </c>
      <c r="D11">
        <f>COUNTIFS(Data!$D:$D,"&gt;=40000",Data!$D:$D,"&lt;45000",Data!$F:$F,"canceled", Data!$R:$R,"plays")</f>
        <v>0</v>
      </c>
      <c r="E11">
        <f t="shared" si="0"/>
        <v>3</v>
      </c>
      <c r="F11" s="24">
        <f t="shared" si="3"/>
        <v>0.66666666666666663</v>
      </c>
      <c r="G11" s="24">
        <f t="shared" si="1"/>
        <v>0.33333333333333331</v>
      </c>
      <c r="H11" s="24">
        <f t="shared" si="2"/>
        <v>0</v>
      </c>
    </row>
    <row r="12" spans="1:8" ht="16">
      <c r="A12" s="23" t="s">
        <v>8411</v>
      </c>
      <c r="B12">
        <f>COUNTIFS(Data!$D:$D,"&gt;=45000",Data!$D:$D,"&lt;50000",Data!$F:$F,"successful", Data!$R:$R,"plays")</f>
        <v>0</v>
      </c>
      <c r="C12">
        <f>COUNTIFS(Data!$D:$D,"&gt;=45000",Data!$D:$D,"&lt;50000",Data!$F:$F,"failed", Data!$R:$R,"plays")</f>
        <v>1</v>
      </c>
      <c r="D12">
        <f>COUNTIFS(Data!$D:$D,"&gt;=45000",Data!$D:$D,"&lt;50000",Data!$F:$F,"canceled", Data!$R:$R,"plays")</f>
        <v>0</v>
      </c>
      <c r="E12">
        <f t="shared" si="0"/>
        <v>1</v>
      </c>
      <c r="F12" s="24">
        <f t="shared" si="3"/>
        <v>0</v>
      </c>
      <c r="G12" s="24">
        <f t="shared" si="1"/>
        <v>1</v>
      </c>
      <c r="H12" s="24">
        <f t="shared" si="2"/>
        <v>0</v>
      </c>
    </row>
    <row r="13" spans="1:8" ht="16">
      <c r="A13" s="23" t="s">
        <v>8412</v>
      </c>
      <c r="B13">
        <f>COUNTIFS(Data!$D:$D,"&gt;50000",Data!$F:$F,"successful", Data!$R:$R,"plays")</f>
        <v>2</v>
      </c>
      <c r="C13">
        <f>COUNTIFS(Data!$D:$D,"&gt;50000",Data!$F:$F,"failed", Data!$R:$R,"plays")</f>
        <v>10</v>
      </c>
      <c r="D13">
        <f>COUNTIFS(Data!$D:$D,"&gt;50000",Data!$F:$F,"canceled", Data!$R:$R,"plays")</f>
        <v>0</v>
      </c>
      <c r="E13">
        <f t="shared" si="0"/>
        <v>12</v>
      </c>
      <c r="F13" s="24">
        <f t="shared" si="3"/>
        <v>0.16666666666666666</v>
      </c>
      <c r="G13" s="24">
        <f t="shared" si="1"/>
        <v>0.83333333333333337</v>
      </c>
      <c r="H13" s="24">
        <f>D13/E13</f>
        <v>0</v>
      </c>
    </row>
    <row r="38" hidden="1"/>
    <row r="39" ht="5" hidden="1"/>
    <row r="40" ht="1" hidden="1"/>
    <row r="41" hidden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Theater Outcomes Based on Launc</vt:lpstr>
      <vt:lpstr>Data</vt:lpstr>
      <vt:lpstr>Outcomes Based on Goals</vt:lpstr>
      <vt:lpstr>GB  Campaign &amp; Amounts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2020-06-29T03:25:36Z</dcterms:modified>
</cp:coreProperties>
</file>