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4x5" sheetId="1" r:id="rId4"/>
    <sheet state="visible" name="PartsDB" sheetId="2" r:id="rId5"/>
  </sheets>
  <definedNames>
    <definedName hidden="1" localSheetId="0" name="_xlnm._FilterDatabase">x4x5!$A$2:$F$53</definedName>
  </definedNames>
  <calcPr/>
</workbook>
</file>

<file path=xl/sharedStrings.xml><?xml version="1.0" encoding="utf-8"?>
<sst xmlns="http://schemas.openxmlformats.org/spreadsheetml/2006/main" count="463" uniqueCount="227">
  <si>
    <t>Tad Boy Color BOM for board revisions X4 and X5, Revised 7/11/2024</t>
  </si>
  <si>
    <t>Designator(s)</t>
  </si>
  <si>
    <t>Quantity</t>
  </si>
  <si>
    <t>Value/Part Number</t>
  </si>
  <si>
    <t>Package</t>
  </si>
  <si>
    <t>Notes</t>
  </si>
  <si>
    <t>URL</t>
  </si>
  <si>
    <t>Part#</t>
  </si>
  <si>
    <t>Mouser?</t>
  </si>
  <si>
    <t>DigiKey?</t>
  </si>
  <si>
    <t>C14,C13</t>
  </si>
  <si>
    <t>4.7uF</t>
  </si>
  <si>
    <t>0603</t>
  </si>
  <si>
    <t>Y</t>
  </si>
  <si>
    <t>C19</t>
  </si>
  <si>
    <t>10uF</t>
  </si>
  <si>
    <t>C2,C28</t>
  </si>
  <si>
    <t>22pF</t>
  </si>
  <si>
    <t>0402</t>
  </si>
  <si>
    <t>C20,C17,C1,C26,C16</t>
  </si>
  <si>
    <t>1uF</t>
  </si>
  <si>
    <t>C21</t>
  </si>
  <si>
    <t>22uF</t>
  </si>
  <si>
    <t>1206</t>
  </si>
  <si>
    <t>C22,C25,C18</t>
  </si>
  <si>
    <t>2.2uF</t>
  </si>
  <si>
    <t>C23,C24</t>
  </si>
  <si>
    <t>0.22uF</t>
  </si>
  <si>
    <t>C6,C3,C4</t>
  </si>
  <si>
    <t>100pF</t>
  </si>
  <si>
    <t>C7,C11,C15,C5,C10,C8,C12,C27,C29,C9</t>
  </si>
  <si>
    <t>100nF</t>
  </si>
  <si>
    <t>D3,D2,D1</t>
  </si>
  <si>
    <t>LED</t>
  </si>
  <si>
    <t>F1</t>
  </si>
  <si>
    <t>2.5A</t>
  </si>
  <si>
    <t>F2</t>
  </si>
  <si>
    <t>1A</t>
  </si>
  <si>
    <t>IC1</t>
  </si>
  <si>
    <t>MCP1319MT-33AE_OT</t>
  </si>
  <si>
    <t>SOT-23-5</t>
  </si>
  <si>
    <t>IC2</t>
  </si>
  <si>
    <t>74AHCT1G02DCKRG4</t>
  </si>
  <si>
    <t>SOT65P210X110-5N</t>
  </si>
  <si>
    <t>J1</t>
  </si>
  <si>
    <t>Link port</t>
  </si>
  <si>
    <t>-</t>
  </si>
  <si>
    <t>J2</t>
  </si>
  <si>
    <t>Cartridge slot</t>
  </si>
  <si>
    <t>J3</t>
  </si>
  <si>
    <t>FH33-28S-0.5SH_10_</t>
  </si>
  <si>
    <t>FH3328S05SH10</t>
  </si>
  <si>
    <t>J4</t>
  </si>
  <si>
    <t>78171-0002</t>
  </si>
  <si>
    <t>J5</t>
  </si>
  <si>
    <t>USB4105-GF-A</t>
  </si>
  <si>
    <t>GCT_USB4105-GF-A</t>
  </si>
  <si>
    <t>L1</t>
  </si>
  <si>
    <t>VLS3012HBX-2R2M-N</t>
  </si>
  <si>
    <t>VLS3012</t>
  </si>
  <si>
    <t>Q1</t>
  </si>
  <si>
    <t>DMP6350SQ-7</t>
  </si>
  <si>
    <t>SOT-23</t>
  </si>
  <si>
    <t>Q2</t>
  </si>
  <si>
    <t>NTS4409NT1G</t>
  </si>
  <si>
    <t>SOT65P220X100-3N</t>
  </si>
  <si>
    <t>R1,R10,R22</t>
  </si>
  <si>
    <t>10K</t>
  </si>
  <si>
    <t>R12</t>
  </si>
  <si>
    <t>100K</t>
  </si>
  <si>
    <t>R14,R13,R2</t>
  </si>
  <si>
    <t>100</t>
  </si>
  <si>
    <t>R15</t>
  </si>
  <si>
    <t>15K</t>
  </si>
  <si>
    <t>R18</t>
  </si>
  <si>
    <t>3.3K</t>
  </si>
  <si>
    <t>R19</t>
  </si>
  <si>
    <t>430K</t>
  </si>
  <si>
    <t>R20</t>
  </si>
  <si>
    <t>20K</t>
  </si>
  <si>
    <t>R21</t>
  </si>
  <si>
    <t>47K</t>
  </si>
  <si>
    <t>R3,R17</t>
  </si>
  <si>
    <t>5.6K</t>
  </si>
  <si>
    <t>R4</t>
  </si>
  <si>
    <t>200K</t>
  </si>
  <si>
    <t>R5,R9</t>
  </si>
  <si>
    <t>1K</t>
  </si>
  <si>
    <t>R6</t>
  </si>
  <si>
    <t>49.9K</t>
  </si>
  <si>
    <t>R7,R8,R11,R16</t>
  </si>
  <si>
    <t>5.1K</t>
  </si>
  <si>
    <t>RN1</t>
  </si>
  <si>
    <t>270x4</t>
  </si>
  <si>
    <t>S1</t>
  </si>
  <si>
    <t>SKRTLAE010</t>
  </si>
  <si>
    <t>SW_SKRTLAE010</t>
  </si>
  <si>
    <t>SW6,SW4,SW8,SW7,SW5,SW2,SW3,SW1</t>
  </si>
  <si>
    <t>SKRRAAE010</t>
  </si>
  <si>
    <t>U1</t>
  </si>
  <si>
    <t>TLV803EB33VDBZR</t>
  </si>
  <si>
    <t>U2</t>
  </si>
  <si>
    <t>CGB CPU</t>
  </si>
  <si>
    <t>U3</t>
  </si>
  <si>
    <t>CGB RAM</t>
  </si>
  <si>
    <t>U4</t>
  </si>
  <si>
    <t>BQ24072TRGTR</t>
  </si>
  <si>
    <t>VQFN-16</t>
  </si>
  <si>
    <t>U5</t>
  </si>
  <si>
    <t>MAX16054AZT+T</t>
  </si>
  <si>
    <t>SOT-23-6</t>
  </si>
  <si>
    <t>U6</t>
  </si>
  <si>
    <t>MCP1799T-3302H_TT</t>
  </si>
  <si>
    <t>U7</t>
  </si>
  <si>
    <t>TPS61202DSC</t>
  </si>
  <si>
    <t>WSON-10</t>
  </si>
  <si>
    <t>U8</t>
  </si>
  <si>
    <t>LM4875MM_NOPB</t>
  </si>
  <si>
    <t>VSSOP-8</t>
  </si>
  <si>
    <t>U9</t>
  </si>
  <si>
    <t>TLV3201AIDBVR</t>
  </si>
  <si>
    <t>VR1</t>
  </si>
  <si>
    <t>RK08H113003Q</t>
  </si>
  <si>
    <t>X1</t>
  </si>
  <si>
    <t>732-CG838868MTJHPA</t>
  </si>
  <si>
    <t>https://www.mouser.com/ProductDetail/732-CG838868MTJHPA</t>
  </si>
  <si>
    <t>Battery</t>
  </si>
  <si>
    <t>Joy Con battery</t>
  </si>
  <si>
    <t>N</t>
  </si>
  <si>
    <t>Speaker</t>
  </si>
  <si>
    <t>CMS-151135-18S-X8</t>
  </si>
  <si>
    <t>Value</t>
  </si>
  <si>
    <t>802040</t>
  </si>
  <si>
    <t>https://www.aliexpress.us/item/3256802244810488.html</t>
  </si>
  <si>
    <t>https://www.mouser.com/ProductDetail/81-GRM188Z71A475ME5D</t>
  </si>
  <si>
    <t>https://www.mouser.com/ProductDetail/81-GRM188Z71A106KA3D</t>
  </si>
  <si>
    <t>https://www.mouser.com/ProductDetail/581-1206ZC226MAT2A</t>
  </si>
  <si>
    <t>https://www.mouser.com/ProductDetail/581-0603YC105KAT2A</t>
  </si>
  <si>
    <t>100uF</t>
  </si>
  <si>
    <t>https://www.mouser.com/ProductDetail/581-TLJA107M10R1400</t>
  </si>
  <si>
    <t>18pF</t>
  </si>
  <si>
    <t>https://www.mouser.com/ProductDetail/581-06035A180J</t>
  </si>
  <si>
    <t>https://www.mouser.com/ProductDetail/603-AC0603X7R9BB224</t>
  </si>
  <si>
    <t>https://www.mouser.com/ProductDetail/581-06035C220JAT2A</t>
  </si>
  <si>
    <t>https://www.mouser.com/ProductDetail/581-0603YC101KAT2A</t>
  </si>
  <si>
    <t>27pF</t>
  </si>
  <si>
    <t>https://www.mouser.com/ProductDetail/581-06035A270J</t>
  </si>
  <si>
    <t>https://www.mouser.com/ProductDetail/581-06035C104KAT2A</t>
  </si>
  <si>
    <t>https://www.mouser.com/ProductDetail/667-ERB-RG2R50V</t>
  </si>
  <si>
    <t>https://www.mouser.com/ProductDetail/594-MFU0603FF01000P1</t>
  </si>
  <si>
    <t>FBx4</t>
  </si>
  <si>
    <t>https://www.mouser.com/ProductDetail/81-BLA3216A601SG4</t>
  </si>
  <si>
    <t>62684-502100ALF</t>
  </si>
  <si>
    <t>https://www.mouser.com/ProductDetail/649-62684-502100ALF</t>
  </si>
  <si>
    <t>JST PH 2-pin</t>
  </si>
  <si>
    <t>https://www.mouser.com/ProductDetail/640-USB4105-GF-A</t>
  </si>
  <si>
    <t>SJ2-3593D-SMT-TR</t>
  </si>
  <si>
    <t>SJ23593DSMTTR</t>
  </si>
  <si>
    <t>https://www.mouser.com/ProductDetail/490-SJ2-3593D-SMT-TR</t>
  </si>
  <si>
    <t>https://www.mouser.com/ProductDetail/810-VLS3012HBX2R2M-N</t>
  </si>
  <si>
    <t>https://www.mouser.com/ProductDetail/621-DMP6350SQ-7</t>
  </si>
  <si>
    <t>https://www.mouser.com/ProductDetail/71-CRCW0603-5.1K-E3</t>
  </si>
  <si>
    <t>https://www.mouser.com/ProductDetail/603-RC0603FR-07100KL</t>
  </si>
  <si>
    <t>https://www.mouser.com/ProductDetail/Bourns/CR0603-FX-1502ELF</t>
  </si>
  <si>
    <t>https://www.mouser.com/ProductDetail/71-CRCW0603-5.6K-E3</t>
  </si>
  <si>
    <t>https://www.mouser.com/ProductDetail/603-RC0603FR-07100RL</t>
  </si>
  <si>
    <t>150</t>
  </si>
  <si>
    <t>https://www.mouser.com/ProductDetail/603-RT0603FRE13150RL</t>
  </si>
  <si>
    <t>https://www.mouser.com/ProductDetail/603-RC0603FR-13430KL</t>
  </si>
  <si>
    <t>https://www.mouser.com/ProductDetail/603-RC0603FR-0720KL</t>
  </si>
  <si>
    <t>https://www.mouser.com/ProductDetail/603-RC0603FR-0747KL</t>
  </si>
  <si>
    <t>1.5M</t>
  </si>
  <si>
    <t>https://www.mouser.com/ProductDetail/71-CRCW0603-1.5M-E3</t>
  </si>
  <si>
    <t>https://www.mouser.com/ProductDetail/603-RC0603FR-07200KL</t>
  </si>
  <si>
    <t>https://www.mouser.com/ProductDetail/71-CRCW0603-3.3K-E3</t>
  </si>
  <si>
    <t>https://www.mouser.com/ProductDetail/71-CRCW0603-49.9K-E3</t>
  </si>
  <si>
    <t>2.2K</t>
  </si>
  <si>
    <t>https://www.mouser.com/ProductDetail/71-CRCW0603-2.2K-E3</t>
  </si>
  <si>
    <t>https://www.mouser.com/ProductDetail/652-CR0603FX-1001ELF</t>
  </si>
  <si>
    <t>https://www.mouser.com/ProductDetail/603-TC164-JR-07270RL</t>
  </si>
  <si>
    <t>https://www.mouser.com/ProductDetail/688-SKRTLA</t>
  </si>
  <si>
    <t>CMS-151103-088SP</t>
  </si>
  <si>
    <t>https://www.mouser.com/ProductDetail/490-CMS-151103-088SP</t>
  </si>
  <si>
    <t>https://www.mouser.com/ProductDetail/688-SKRRAA</t>
  </si>
  <si>
    <t>https://www.mouser.com/ProductDetail/700-MAX16054AZTT</t>
  </si>
  <si>
    <t>https://www.mouser.com/ProductDetail/595-BQ24072TRGTR</t>
  </si>
  <si>
    <t>https://www.mouser.com/ProductDetail/595-TPS61202DSCR</t>
  </si>
  <si>
    <t>https://www.mouser.com/ProductDetail/926-LM4875MM-NOPB</t>
  </si>
  <si>
    <t>MCP1700T-3302E/TT</t>
  </si>
  <si>
    <t>https://www.mouser.com/ProductDetail/579-MCP1700T3302E-TT</t>
  </si>
  <si>
    <t>https://www.mouser.com/ProductDetail/595-TLV803EB33VDBZR</t>
  </si>
  <si>
    <t>https://www.mouser.com/ProductDetail/595-TLV3201AIDBVR</t>
  </si>
  <si>
    <t>https://www.mouser.com/ProductDetail/688-RK08H113003Q</t>
  </si>
  <si>
    <t>8.388608MHz</t>
  </si>
  <si>
    <t>5x7Crystal</t>
  </si>
  <si>
    <t>https://www.aliexpress.us/item/3256805403138830.html</t>
  </si>
  <si>
    <t>OWS-111535LA-8H</t>
  </si>
  <si>
    <t>https://www.digikey.com/en/products/detail/ole-wolff-electronics-inc/OWS-111535LA-8H/17634911</t>
  </si>
  <si>
    <t>https://www.mouser.com/ProductDetail/595-74AHCT1G02DCKRG4</t>
  </si>
  <si>
    <t>https://www.mouser.com/ProductDetail/579-MCP1319MT33AE-OT</t>
  </si>
  <si>
    <t>https://www.mouser.com/ProductDetail/Microchip-Technology/MCP1799T-3302H-TT</t>
  </si>
  <si>
    <t>CMS-151135-078S-67</t>
  </si>
  <si>
    <t>https://www.digikey.com/en/products/detail/cui-devices/CMS-151135-078S-67/9561104</t>
  </si>
  <si>
    <t>https://www.mouser.com/ProductDetail/80-C0402C220G3HACTU</t>
  </si>
  <si>
    <t>https://www.mouser.com/ProductDetail/81-GRM155R61E105MA2D</t>
  </si>
  <si>
    <t>https://www.mouser.com/ProductDetail/81-GRM155R61E225ME1D</t>
  </si>
  <si>
    <t>https://www.mouser.com/ProductDetail/581-0402YC224KAT2A</t>
  </si>
  <si>
    <t>https://www.mouser.com/ProductDetail/77-VJ0402Y101MXAPBC</t>
  </si>
  <si>
    <t>https://www.mouser.com/ProductDetail/80-C0402C104M4R</t>
  </si>
  <si>
    <t>https://www.mouser.com/ProductDetail/798-FH3328S0.5SH10</t>
  </si>
  <si>
    <t>https://www.mouser.com/ProductDetail/538-78171-0002</t>
  </si>
  <si>
    <t>https://www.mouser.com/ProductDetail/863-NTS4409NT1G</t>
  </si>
  <si>
    <t>https://www.mouser.com/ProductDetail/652-CR0402FX-1002GLF</t>
  </si>
  <si>
    <t>https://www.mouser.com/ProductDetail/667-ERJ-U02J104X</t>
  </si>
  <si>
    <t>https://www.mouser.com/ProductDetail/652-CR0402AJW-101GLF</t>
  </si>
  <si>
    <t>https://www.mouser.com/ProductDetail/652-CR0402FX-1502GLF</t>
  </si>
  <si>
    <t>https://www.mouser.com/ProductDetail/652-CR0402FX-3301GLF</t>
  </si>
  <si>
    <t>https://www.mouser.com/ProductDetail/71-CRCW0402430KFKEDC</t>
  </si>
  <si>
    <t>https://www.mouser.com/ProductDetail/652-CR0402FX-2002GLF</t>
  </si>
  <si>
    <t>https://www.mouser.com/ProductDetail/652-CR0402FX-4702GLF</t>
  </si>
  <si>
    <t>https://www.mouser.com/ProductDetail/652-CR0402JW-562GLF</t>
  </si>
  <si>
    <t>https://www.mouser.com/ProductDetail/652-CR0402-JW-204GLF</t>
  </si>
  <si>
    <t>https://www.mouser.com/ProductDetail/603-RP0402BRD0749K9L</t>
  </si>
  <si>
    <t>https://www.mouser.com/ProductDetail/652-CR0402-JW-512GLF</t>
  </si>
  <si>
    <t>https://www.mouser.com/ProductDetail/71-CRCW0402-1.0K-E3</t>
  </si>
  <si>
    <t>https://www.ifixit.com/products/nintendo-switch-joy-con-controller-replacement-battery?variant=39372012322919</t>
  </si>
  <si>
    <t>https://www.mouser.com/ProductDetail/CUI-Devices/CMS-151135-18S-X8?qs=9vOqFld9vZXAip8uBsd1PA%3D%3D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</si>
</sst>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rgb="FF000000"/>
      <name val="Arial"/>
    </font>
    <font>
      <color rgb="FF333333"/>
      <name val="Arial"/>
    </font>
    <font>
      <u/>
      <color rgb="FF0000FF"/>
    </font>
    <font>
      <b/>
      <color theme="1"/>
      <name val="Arial"/>
    </font>
    <font>
      <color theme="1"/>
      <name val="Arial"/>
    </font>
    <font>
      <u/>
      <color rgb="FF1155CC"/>
      <name val="Arial"/>
    </font>
    <font>
      <u/>
      <color rgb="FF0000FF"/>
      <name val="Arial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bottom style="thin">
        <color rgb="FFD9D9D9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2" numFmtId="0" xfId="0" applyFont="1"/>
    <xf borderId="0" fillId="0" fontId="1" numFmtId="0" xfId="0" applyFont="1"/>
    <xf borderId="0" fillId="4" fontId="3" numFmtId="0" xfId="0" applyAlignment="1" applyFill="1" applyFont="1">
      <alignment horizontal="left" readingOrder="0"/>
    </xf>
    <xf borderId="0" fillId="4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3" fontId="6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3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49" xfId="0" applyAlignment="1" applyFont="1" applyNumberFormat="1">
      <alignment vertical="bottom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0" fontId="9" numFmtId="0" xfId="0" applyAlignment="1" applyFont="1">
      <alignment readingOrder="0" vertical="bottom"/>
    </xf>
    <xf borderId="0" fillId="5" fontId="7" numFmtId="0" xfId="0" applyAlignment="1" applyFill="1" applyFont="1">
      <alignment vertical="bottom"/>
    </xf>
    <xf borderId="0" fillId="0" fontId="10" numFmtId="0" xfId="0" applyFont="1"/>
    <xf borderId="1" fillId="0" fontId="7" numFmtId="49" xfId="0" applyAlignment="1" applyBorder="1" applyFont="1" applyNumberFormat="1">
      <alignment vertical="bottom"/>
    </xf>
    <xf borderId="0" fillId="4" fontId="4" numFmtId="0" xfId="0" applyAlignment="1" applyFont="1">
      <alignment vertical="bottom"/>
    </xf>
    <xf borderId="0" fillId="4" fontId="4" numFmtId="0" xfId="0" applyAlignment="1" applyFont="1">
      <alignment vertical="top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user.com/ProductDetail/732-CG838868MTJHPA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688-SKRRAA" TargetMode="External"/><Relationship Id="rId42" Type="http://schemas.openxmlformats.org/officeDocument/2006/relationships/hyperlink" Target="https://www.mouser.com/ProductDetail/595-BQ24072TRGTR" TargetMode="External"/><Relationship Id="rId41" Type="http://schemas.openxmlformats.org/officeDocument/2006/relationships/hyperlink" Target="https://www.mouser.com/ProductDetail/700-MAX16054AZTT" TargetMode="External"/><Relationship Id="rId44" Type="http://schemas.openxmlformats.org/officeDocument/2006/relationships/hyperlink" Target="https://www.mouser.com/ProductDetail/926-LM4875MM-NOPB" TargetMode="External"/><Relationship Id="rId43" Type="http://schemas.openxmlformats.org/officeDocument/2006/relationships/hyperlink" Target="https://www.mouser.com/ProductDetail/595-TPS61202DSCR" TargetMode="External"/><Relationship Id="rId46" Type="http://schemas.openxmlformats.org/officeDocument/2006/relationships/hyperlink" Target="https://www.mouser.com/ProductDetail/595-TLV803EB33VDBZR" TargetMode="External"/><Relationship Id="rId45" Type="http://schemas.openxmlformats.org/officeDocument/2006/relationships/hyperlink" Target="https://www.mouser.com/ProductDetail/579-MCP1700T3302E-TT" TargetMode="External"/><Relationship Id="rId1" Type="http://schemas.openxmlformats.org/officeDocument/2006/relationships/hyperlink" Target="https://www.aliexpress.us/item/3256802244810488.html" TargetMode="External"/><Relationship Id="rId2" Type="http://schemas.openxmlformats.org/officeDocument/2006/relationships/hyperlink" Target="https://www.mouser.com/ProductDetail/81-GRM188Z71A475ME5D" TargetMode="External"/><Relationship Id="rId3" Type="http://schemas.openxmlformats.org/officeDocument/2006/relationships/hyperlink" Target="https://www.mouser.com/ProductDetail/81-GRM188Z71A106KA3D" TargetMode="External"/><Relationship Id="rId4" Type="http://schemas.openxmlformats.org/officeDocument/2006/relationships/hyperlink" Target="https://www.mouser.com/ProductDetail/581-1206ZC226MAT2A" TargetMode="External"/><Relationship Id="rId9" Type="http://schemas.openxmlformats.org/officeDocument/2006/relationships/hyperlink" Target="https://www.mouser.com/ProductDetail/581-06035C220JAT2A" TargetMode="External"/><Relationship Id="rId48" Type="http://schemas.openxmlformats.org/officeDocument/2006/relationships/hyperlink" Target="https://www.mouser.com/ProductDetail/688-RK08H113003Q" TargetMode="External"/><Relationship Id="rId47" Type="http://schemas.openxmlformats.org/officeDocument/2006/relationships/hyperlink" Target="https://www.mouser.com/ProductDetail/595-TLV3201AIDBVR" TargetMode="External"/><Relationship Id="rId49" Type="http://schemas.openxmlformats.org/officeDocument/2006/relationships/hyperlink" Target="https://www.aliexpress.us/item/3256805403138830.html" TargetMode="External"/><Relationship Id="rId5" Type="http://schemas.openxmlformats.org/officeDocument/2006/relationships/hyperlink" Target="https://www.mouser.com/ProductDetail/581-0603YC105KAT2A" TargetMode="External"/><Relationship Id="rId6" Type="http://schemas.openxmlformats.org/officeDocument/2006/relationships/hyperlink" Target="https://www.mouser.com/ProductDetail/581-TLJA107M10R1400" TargetMode="External"/><Relationship Id="rId7" Type="http://schemas.openxmlformats.org/officeDocument/2006/relationships/hyperlink" Target="https://www.mouser.com/ProductDetail/581-06035A180J" TargetMode="External"/><Relationship Id="rId8" Type="http://schemas.openxmlformats.org/officeDocument/2006/relationships/hyperlink" Target="https://www.mouser.com/ProductDetail/603-AC0603X7R9BB224" TargetMode="External"/><Relationship Id="rId73" Type="http://schemas.openxmlformats.org/officeDocument/2006/relationships/hyperlink" Target="https://www.mouser.com/ProductDetail/652-CR0402-JW-204GLF" TargetMode="External"/><Relationship Id="rId72" Type="http://schemas.openxmlformats.org/officeDocument/2006/relationships/hyperlink" Target="https://www.mouser.com/ProductDetail/652-CR0402JW-562GLF" TargetMode="External"/><Relationship Id="rId31" Type="http://schemas.openxmlformats.org/officeDocument/2006/relationships/hyperlink" Target="https://www.mouser.com/ProductDetail/603-RC0603FR-07200KL" TargetMode="External"/><Relationship Id="rId75" Type="http://schemas.openxmlformats.org/officeDocument/2006/relationships/hyperlink" Target="https://www.mouser.com/ProductDetail/652-CR0402-JW-512GLF" TargetMode="External"/><Relationship Id="rId30" Type="http://schemas.openxmlformats.org/officeDocument/2006/relationships/hyperlink" Target="https://www.mouser.com/ProductDetail/71-CRCW0603-1.5M-E3" TargetMode="External"/><Relationship Id="rId74" Type="http://schemas.openxmlformats.org/officeDocument/2006/relationships/hyperlink" Target="https://www.mouser.com/ProductDetail/603-RP0402BRD0749K9L" TargetMode="External"/><Relationship Id="rId33" Type="http://schemas.openxmlformats.org/officeDocument/2006/relationships/hyperlink" Target="https://www.mouser.com/ProductDetail/71-CRCW0603-49.9K-E3" TargetMode="External"/><Relationship Id="rId77" Type="http://schemas.openxmlformats.org/officeDocument/2006/relationships/hyperlink" Target="https://www.ifixit.com/products/nintendo-switch-joy-con-controller-replacement-battery?variant=39372012322919" TargetMode="External"/><Relationship Id="rId32" Type="http://schemas.openxmlformats.org/officeDocument/2006/relationships/hyperlink" Target="https://www.mouser.com/ProductDetail/71-CRCW0603-3.3K-E3" TargetMode="External"/><Relationship Id="rId76" Type="http://schemas.openxmlformats.org/officeDocument/2006/relationships/hyperlink" Target="https://www.mouser.com/ProductDetail/71-CRCW0402-1.0K-E3" TargetMode="External"/><Relationship Id="rId35" Type="http://schemas.openxmlformats.org/officeDocument/2006/relationships/hyperlink" Target="https://www.mouser.com/ProductDetail/71-CRCW0603-5.1K-E3" TargetMode="External"/><Relationship Id="rId79" Type="http://schemas.openxmlformats.org/officeDocument/2006/relationships/drawing" Target="../drawings/drawing2.xml"/><Relationship Id="rId34" Type="http://schemas.openxmlformats.org/officeDocument/2006/relationships/hyperlink" Target="https://www.mouser.com/ProductDetail/71-CRCW0603-2.2K-E3" TargetMode="External"/><Relationship Id="rId78" Type="http://schemas.openxmlformats.org/officeDocument/2006/relationships/hyperlink" Target="https://www.mouser.com/ProductDetail/CUI-Devices/CMS-151135-18S-X8?qs=9vOqFld9vZXAip8uBsd1PA%3D%3D" TargetMode="External"/><Relationship Id="rId71" Type="http://schemas.openxmlformats.org/officeDocument/2006/relationships/hyperlink" Target="https://www.mouser.com/ProductDetail/652-CR0402FX-4702GLF" TargetMode="External"/><Relationship Id="rId70" Type="http://schemas.openxmlformats.org/officeDocument/2006/relationships/hyperlink" Target="https://www.mouser.com/ProductDetail/652-CR0402FX-2002GLF" TargetMode="External"/><Relationship Id="rId37" Type="http://schemas.openxmlformats.org/officeDocument/2006/relationships/hyperlink" Target="https://www.mouser.com/ProductDetail/603-TC164-JR-07270RL" TargetMode="External"/><Relationship Id="rId36" Type="http://schemas.openxmlformats.org/officeDocument/2006/relationships/hyperlink" Target="https://www.mouser.com/ProductDetail/652-CR0603FX-1001ELF" TargetMode="External"/><Relationship Id="rId39" Type="http://schemas.openxmlformats.org/officeDocument/2006/relationships/hyperlink" Target="https://www.mouser.com/ProductDetail/490-CMS-151103-088SP" TargetMode="External"/><Relationship Id="rId38" Type="http://schemas.openxmlformats.org/officeDocument/2006/relationships/hyperlink" Target="https://www.mouser.com/ProductDetail/688-SKRTLA" TargetMode="External"/><Relationship Id="rId62" Type="http://schemas.openxmlformats.org/officeDocument/2006/relationships/hyperlink" Target="https://www.mouser.com/ProductDetail/538-78171-0002" TargetMode="External"/><Relationship Id="rId61" Type="http://schemas.openxmlformats.org/officeDocument/2006/relationships/hyperlink" Target="https://www.mouser.com/ProductDetail/798-FH3328S0.5SH10" TargetMode="External"/><Relationship Id="rId20" Type="http://schemas.openxmlformats.org/officeDocument/2006/relationships/hyperlink" Target="https://www.mouser.com/ProductDetail/621-DMP6350SQ-7" TargetMode="External"/><Relationship Id="rId64" Type="http://schemas.openxmlformats.org/officeDocument/2006/relationships/hyperlink" Target="https://www.mouser.com/ProductDetail/652-CR0402FX-1002GLF" TargetMode="External"/><Relationship Id="rId63" Type="http://schemas.openxmlformats.org/officeDocument/2006/relationships/hyperlink" Target="https://www.mouser.com/ProductDetail/863-NTS4409NT1G" TargetMode="External"/><Relationship Id="rId22" Type="http://schemas.openxmlformats.org/officeDocument/2006/relationships/hyperlink" Target="https://www.mouser.com/ProductDetail/603-RC0603FR-07100KL" TargetMode="External"/><Relationship Id="rId66" Type="http://schemas.openxmlformats.org/officeDocument/2006/relationships/hyperlink" Target="https://www.mouser.com/ProductDetail/652-CR0402AJW-101GLF" TargetMode="External"/><Relationship Id="rId21" Type="http://schemas.openxmlformats.org/officeDocument/2006/relationships/hyperlink" Target="https://www.mouser.com/ProductDetail/71-CRCW0603-5.1K-E3" TargetMode="External"/><Relationship Id="rId65" Type="http://schemas.openxmlformats.org/officeDocument/2006/relationships/hyperlink" Target="https://www.mouser.com/ProductDetail/667-ERJ-U02J104X" TargetMode="External"/><Relationship Id="rId24" Type="http://schemas.openxmlformats.org/officeDocument/2006/relationships/hyperlink" Target="https://www.mouser.com/ProductDetail/71-CRCW0603-5.6K-E3" TargetMode="External"/><Relationship Id="rId68" Type="http://schemas.openxmlformats.org/officeDocument/2006/relationships/hyperlink" Target="https://www.mouser.com/ProductDetail/652-CR0402FX-3301GLF" TargetMode="External"/><Relationship Id="rId23" Type="http://schemas.openxmlformats.org/officeDocument/2006/relationships/hyperlink" Target="https://www.mouser.com/ProductDetail/Bourns/CR0603-FX-1502ELF" TargetMode="External"/><Relationship Id="rId67" Type="http://schemas.openxmlformats.org/officeDocument/2006/relationships/hyperlink" Target="https://www.mouser.com/ProductDetail/652-CR0402FX-1502GLF" TargetMode="External"/><Relationship Id="rId60" Type="http://schemas.openxmlformats.org/officeDocument/2006/relationships/hyperlink" Target="https://www.mouser.com/ProductDetail/80-C0402C104M4R" TargetMode="External"/><Relationship Id="rId26" Type="http://schemas.openxmlformats.org/officeDocument/2006/relationships/hyperlink" Target="https://www.mouser.com/ProductDetail/603-RT0603FRE13150RL" TargetMode="External"/><Relationship Id="rId25" Type="http://schemas.openxmlformats.org/officeDocument/2006/relationships/hyperlink" Target="https://www.mouser.com/ProductDetail/603-RC0603FR-07100RL" TargetMode="External"/><Relationship Id="rId69" Type="http://schemas.openxmlformats.org/officeDocument/2006/relationships/hyperlink" Target="https://www.mouser.com/ProductDetail/71-CRCW0402430KFKEDC" TargetMode="External"/><Relationship Id="rId28" Type="http://schemas.openxmlformats.org/officeDocument/2006/relationships/hyperlink" Target="https://www.mouser.com/ProductDetail/603-RC0603FR-0720KL" TargetMode="External"/><Relationship Id="rId27" Type="http://schemas.openxmlformats.org/officeDocument/2006/relationships/hyperlink" Target="https://www.mouser.com/ProductDetail/603-RC0603FR-13430KL" TargetMode="External"/><Relationship Id="rId29" Type="http://schemas.openxmlformats.org/officeDocument/2006/relationships/hyperlink" Target="https://www.mouser.com/ProductDetail/603-RC0603FR-0747KL" TargetMode="External"/><Relationship Id="rId51" Type="http://schemas.openxmlformats.org/officeDocument/2006/relationships/hyperlink" Target="https://www.mouser.com/ProductDetail/595-74AHCT1G02DCKRG4" TargetMode="External"/><Relationship Id="rId50" Type="http://schemas.openxmlformats.org/officeDocument/2006/relationships/hyperlink" Target="https://www.digikey.com/en/products/detail/ole-wolff-electronics-inc/OWS-111535LA-8H/17634911" TargetMode="External"/><Relationship Id="rId53" Type="http://schemas.openxmlformats.org/officeDocument/2006/relationships/hyperlink" Target="https://www.mouser.com/ProductDetail/Microchip-Technology/MCP1799T-3302H-TT" TargetMode="External"/><Relationship Id="rId52" Type="http://schemas.openxmlformats.org/officeDocument/2006/relationships/hyperlink" Target="https://www.mouser.com/ProductDetail/579-MCP1319MT33AE-OT" TargetMode="External"/><Relationship Id="rId11" Type="http://schemas.openxmlformats.org/officeDocument/2006/relationships/hyperlink" Target="https://www.mouser.com/ProductDetail/581-06035A270J" TargetMode="External"/><Relationship Id="rId55" Type="http://schemas.openxmlformats.org/officeDocument/2006/relationships/hyperlink" Target="https://www.mouser.com/ProductDetail/80-C0402C220G3HACTU" TargetMode="External"/><Relationship Id="rId10" Type="http://schemas.openxmlformats.org/officeDocument/2006/relationships/hyperlink" Target="https://www.mouser.com/ProductDetail/581-0603YC101KAT2A" TargetMode="External"/><Relationship Id="rId54" Type="http://schemas.openxmlformats.org/officeDocument/2006/relationships/hyperlink" Target="https://www.digikey.com/en/products/detail/cui-devices/CMS-151135-078S-67/9561104" TargetMode="External"/><Relationship Id="rId13" Type="http://schemas.openxmlformats.org/officeDocument/2006/relationships/hyperlink" Target="https://www.mouser.com/ProductDetail/667-ERB-RG2R50V" TargetMode="External"/><Relationship Id="rId57" Type="http://schemas.openxmlformats.org/officeDocument/2006/relationships/hyperlink" Target="https://www.mouser.com/ProductDetail/81-GRM155R61E225ME1D" TargetMode="External"/><Relationship Id="rId12" Type="http://schemas.openxmlformats.org/officeDocument/2006/relationships/hyperlink" Target="https://www.mouser.com/ProductDetail/581-06035C104KAT2A" TargetMode="External"/><Relationship Id="rId56" Type="http://schemas.openxmlformats.org/officeDocument/2006/relationships/hyperlink" Target="https://www.mouser.com/ProductDetail/81-GRM155R61E105MA2D" TargetMode="External"/><Relationship Id="rId15" Type="http://schemas.openxmlformats.org/officeDocument/2006/relationships/hyperlink" Target="https://www.mouser.com/ProductDetail/81-BLA3216A601SG4" TargetMode="External"/><Relationship Id="rId59" Type="http://schemas.openxmlformats.org/officeDocument/2006/relationships/hyperlink" Target="https://www.mouser.com/ProductDetail/77-VJ0402Y101MXAPBC" TargetMode="External"/><Relationship Id="rId14" Type="http://schemas.openxmlformats.org/officeDocument/2006/relationships/hyperlink" Target="https://www.mouser.com/ProductDetail/594-MFU0603FF01000P1" TargetMode="External"/><Relationship Id="rId58" Type="http://schemas.openxmlformats.org/officeDocument/2006/relationships/hyperlink" Target="https://www.mouser.com/ProductDetail/581-0402YC224KAT2A" TargetMode="External"/><Relationship Id="rId17" Type="http://schemas.openxmlformats.org/officeDocument/2006/relationships/hyperlink" Target="https://www.mouser.com/ProductDetail/640-USB4105-GF-A" TargetMode="External"/><Relationship Id="rId16" Type="http://schemas.openxmlformats.org/officeDocument/2006/relationships/hyperlink" Target="https://www.mouser.com/ProductDetail/649-62684-502100ALF" TargetMode="External"/><Relationship Id="rId19" Type="http://schemas.openxmlformats.org/officeDocument/2006/relationships/hyperlink" Target="https://www.mouser.com/ProductDetail/810-VLS3012HBX2R2M-N" TargetMode="External"/><Relationship Id="rId18" Type="http://schemas.openxmlformats.org/officeDocument/2006/relationships/hyperlink" Target="https://www.mouser.com/ProductDetail/490-SJ2-3593D-SMT-T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13"/>
    <col customWidth="1" min="2" max="2" width="10.25"/>
    <col customWidth="1" min="3" max="3" width="18.88"/>
    <col customWidth="1" min="4" max="4" width="17.13"/>
    <col customWidth="1" min="6" max="6" width="84.0"/>
    <col customWidth="1" min="7" max="7" width="64.88"/>
  </cols>
  <sheetData>
    <row r="1">
      <c r="A1" s="1" t="s">
        <v>0</v>
      </c>
      <c r="G1" s="1"/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</row>
    <row r="3">
      <c r="A3" s="3" t="s">
        <v>10</v>
      </c>
      <c r="B3" s="3">
        <v>2.0</v>
      </c>
      <c r="C3" s="3" t="s">
        <v>11</v>
      </c>
      <c r="D3" s="4" t="s">
        <v>12</v>
      </c>
      <c r="F3" s="5" t="str">
        <f>IFERROR(__xludf.DUMMYFUNCTION("QUERY(PartsDB!$A$1:$C$999, ""SELECT C WHERE A = '""&amp;C3&amp;""' AND B = '""&amp;D3&amp;""' LIMIT 1"", 0)"),"https://www.mouser.com/ProductDetail/81-GRM188Z71A475ME5D")</f>
        <v>https://www.mouser.com/ProductDetail/81-GRM188Z71A475ME5D</v>
      </c>
      <c r="G3" s="6" t="str">
        <f>IFERROR(__xludf.DUMMYFUNCTION("INDEX(SPLIT(F3, ""/""), 1, 4)"),"81-GRM188Z71A475ME5D")</f>
        <v>81-GRM188Z71A475ME5D</v>
      </c>
      <c r="H3" s="3" t="s">
        <v>13</v>
      </c>
    </row>
    <row r="4">
      <c r="A4" s="3" t="s">
        <v>14</v>
      </c>
      <c r="B4" s="3">
        <v>1.0</v>
      </c>
      <c r="C4" s="3" t="s">
        <v>15</v>
      </c>
      <c r="D4" s="4" t="s">
        <v>12</v>
      </c>
      <c r="F4" s="5" t="str">
        <f>IFERROR(__xludf.DUMMYFUNCTION("QUERY(PartsDB!$A$1:$C$999, ""SELECT C WHERE A = '""&amp;C4&amp;""' AND B = '""&amp;D4&amp;""' LIMIT 1"", 0)"),"https://www.mouser.com/ProductDetail/81-GRM188Z71A106KA3D")</f>
        <v>https://www.mouser.com/ProductDetail/81-GRM188Z71A106KA3D</v>
      </c>
      <c r="G4" s="6" t="str">
        <f>IFERROR(__xludf.DUMMYFUNCTION("INDEX(SPLIT(F4, ""/""), 1, 4)"),"81-GRM188Z71A106KA3D")</f>
        <v>81-GRM188Z71A106KA3D</v>
      </c>
      <c r="H4" s="3" t="s">
        <v>13</v>
      </c>
    </row>
    <row r="5">
      <c r="A5" s="3" t="s">
        <v>16</v>
      </c>
      <c r="B5" s="3">
        <v>2.0</v>
      </c>
      <c r="C5" s="3" t="s">
        <v>17</v>
      </c>
      <c r="D5" s="4" t="s">
        <v>18</v>
      </c>
      <c r="F5" s="5" t="str">
        <f>IFERROR(__xludf.DUMMYFUNCTION("QUERY(PartsDB!$A$1:$C$999, ""SELECT C WHERE A = '""&amp;C5&amp;""' AND B = '""&amp;D5&amp;""' LIMIT 1"", 0)"),"https://www.mouser.com/ProductDetail/80-C0402C220G3HACTU")</f>
        <v>https://www.mouser.com/ProductDetail/80-C0402C220G3HACTU</v>
      </c>
      <c r="G5" s="6" t="str">
        <f>IFERROR(__xludf.DUMMYFUNCTION("INDEX(SPLIT(F5, ""/""), 1, 4)"),"80-C0402C220G3HACTU")</f>
        <v>80-C0402C220G3HACTU</v>
      </c>
      <c r="H5" s="3" t="s">
        <v>13</v>
      </c>
    </row>
    <row r="6">
      <c r="A6" s="3" t="s">
        <v>19</v>
      </c>
      <c r="B6" s="3">
        <v>5.0</v>
      </c>
      <c r="C6" s="3" t="s">
        <v>20</v>
      </c>
      <c r="D6" s="4" t="s">
        <v>18</v>
      </c>
      <c r="F6" s="5" t="str">
        <f>IFERROR(__xludf.DUMMYFUNCTION("QUERY(PartsDB!$A$1:$C$999, ""SELECT C WHERE A = '""&amp;C6&amp;""' AND B = '""&amp;D6&amp;""' LIMIT 1"", 0)"),"https://www.mouser.com/ProductDetail/81-GRM155R61E105MA2D")</f>
        <v>https://www.mouser.com/ProductDetail/81-GRM155R61E105MA2D</v>
      </c>
      <c r="G6" s="6" t="str">
        <f>IFERROR(__xludf.DUMMYFUNCTION("INDEX(SPLIT(F6, ""/""), 1, 4)"),"81-GRM155R61E105MA2D")</f>
        <v>81-GRM155R61E105MA2D</v>
      </c>
      <c r="H6" s="3" t="s">
        <v>13</v>
      </c>
    </row>
    <row r="7">
      <c r="A7" s="3" t="s">
        <v>21</v>
      </c>
      <c r="B7" s="3">
        <v>1.0</v>
      </c>
      <c r="C7" s="3" t="s">
        <v>22</v>
      </c>
      <c r="D7" s="4" t="s">
        <v>23</v>
      </c>
      <c r="F7" s="5" t="str">
        <f>IFERROR(__xludf.DUMMYFUNCTION("QUERY(PartsDB!$A$1:$C$999, ""SELECT C WHERE A = '""&amp;C7&amp;""' AND B = '""&amp;D7&amp;""' LIMIT 1"", 0)"),"https://www.mouser.com/ProductDetail/581-1206ZC226MAT2A")</f>
        <v>https://www.mouser.com/ProductDetail/581-1206ZC226MAT2A</v>
      </c>
      <c r="G7" s="6" t="str">
        <f>IFERROR(__xludf.DUMMYFUNCTION("INDEX(SPLIT(F7, ""/""), 1, 4)"),"581-1206ZC226MAT2A")</f>
        <v>581-1206ZC226MAT2A</v>
      </c>
      <c r="H7" s="3" t="s">
        <v>13</v>
      </c>
    </row>
    <row r="8">
      <c r="A8" s="3" t="s">
        <v>24</v>
      </c>
      <c r="B8" s="3">
        <v>3.0</v>
      </c>
      <c r="C8" s="3" t="s">
        <v>25</v>
      </c>
      <c r="D8" s="4" t="s">
        <v>18</v>
      </c>
      <c r="F8" s="5" t="str">
        <f>IFERROR(__xludf.DUMMYFUNCTION("QUERY(PartsDB!$A$1:$C$999, ""SELECT C WHERE A = '""&amp;C8&amp;""' AND B = '""&amp;D8&amp;""' LIMIT 1"", 0)"),"https://www.mouser.com/ProductDetail/81-GRM155R61E225ME1D")</f>
        <v>https://www.mouser.com/ProductDetail/81-GRM155R61E225ME1D</v>
      </c>
      <c r="G8" s="6" t="str">
        <f>IFERROR(__xludf.DUMMYFUNCTION("INDEX(SPLIT(F8, ""/""), 1, 4)"),"81-GRM155R61E225ME1D")</f>
        <v>81-GRM155R61E225ME1D</v>
      </c>
      <c r="H8" s="3" t="s">
        <v>13</v>
      </c>
    </row>
    <row r="9">
      <c r="A9" s="3" t="s">
        <v>26</v>
      </c>
      <c r="B9" s="3">
        <v>2.0</v>
      </c>
      <c r="C9" s="3" t="s">
        <v>27</v>
      </c>
      <c r="D9" s="4" t="s">
        <v>18</v>
      </c>
      <c r="F9" s="5" t="str">
        <f>IFERROR(__xludf.DUMMYFUNCTION("QUERY(PartsDB!$A$1:$C$999, ""SELECT C WHERE A = '""&amp;C9&amp;""' AND B = '""&amp;D9&amp;""' LIMIT 1"", 0)"),"https://www.mouser.com/ProductDetail/581-0402YC224KAT2A")</f>
        <v>https://www.mouser.com/ProductDetail/581-0402YC224KAT2A</v>
      </c>
      <c r="G9" s="6" t="str">
        <f>IFERROR(__xludf.DUMMYFUNCTION("INDEX(SPLIT(F9, ""/""), 1, 4)"),"581-0402YC224KAT2A")</f>
        <v>581-0402YC224KAT2A</v>
      </c>
      <c r="H9" s="3" t="s">
        <v>13</v>
      </c>
    </row>
    <row r="10">
      <c r="A10" s="3" t="s">
        <v>28</v>
      </c>
      <c r="B10" s="3">
        <v>3.0</v>
      </c>
      <c r="C10" s="3" t="s">
        <v>29</v>
      </c>
      <c r="D10" s="4" t="s">
        <v>18</v>
      </c>
      <c r="F10" s="5" t="str">
        <f>IFERROR(__xludf.DUMMYFUNCTION("QUERY(PartsDB!$A$1:$C$999, ""SELECT C WHERE A = '""&amp;C10&amp;""' AND B = '""&amp;D10&amp;""' LIMIT 1"", 0)"),"https://www.mouser.com/ProductDetail/77-VJ0402Y101MXAPBC")</f>
        <v>https://www.mouser.com/ProductDetail/77-VJ0402Y101MXAPBC</v>
      </c>
      <c r="G10" s="6" t="str">
        <f>IFERROR(__xludf.DUMMYFUNCTION("INDEX(SPLIT(F10, ""/""), 1, 4)"),"77-VJ0402Y101MXAPBC")</f>
        <v>77-VJ0402Y101MXAPBC</v>
      </c>
      <c r="H10" s="3" t="s">
        <v>13</v>
      </c>
    </row>
    <row r="11">
      <c r="A11" s="3" t="s">
        <v>30</v>
      </c>
      <c r="B11" s="3">
        <v>10.0</v>
      </c>
      <c r="C11" s="3" t="s">
        <v>31</v>
      </c>
      <c r="D11" s="4" t="s">
        <v>18</v>
      </c>
      <c r="F11" s="5" t="str">
        <f>IFERROR(__xludf.DUMMYFUNCTION("QUERY(PartsDB!$A$1:$C$999, ""SELECT C WHERE A = '""&amp;C11&amp;""' AND B = '""&amp;D11&amp;""' LIMIT 1"", 0)"),"https://www.mouser.com/ProductDetail/80-C0402C104M4R")</f>
        <v>https://www.mouser.com/ProductDetail/80-C0402C104M4R</v>
      </c>
      <c r="G11" s="6" t="str">
        <f>IFERROR(__xludf.DUMMYFUNCTION("INDEX(SPLIT(F11, ""/""), 1, 4)"),"80-C0402C104M4R")</f>
        <v>80-C0402C104M4R</v>
      </c>
      <c r="H11" s="3" t="s">
        <v>13</v>
      </c>
    </row>
    <row r="12">
      <c r="A12" s="3" t="s">
        <v>32</v>
      </c>
      <c r="B12" s="3">
        <v>3.0</v>
      </c>
      <c r="C12" s="3" t="s">
        <v>33</v>
      </c>
      <c r="D12" s="4" t="s">
        <v>12</v>
      </c>
      <c r="F12" s="6" t="str">
        <f>IFERROR(__xludf.DUMMYFUNCTION("QUERY(PartsDB!$A$1:$C$999, ""SELECT C WHERE A = '""&amp;C12&amp;""' AND B = '""&amp;D12&amp;""' LIMIT 1"", 0)"),"")</f>
        <v/>
      </c>
    </row>
    <row r="13">
      <c r="A13" s="3" t="s">
        <v>34</v>
      </c>
      <c r="B13" s="3">
        <v>1.0</v>
      </c>
      <c r="C13" s="3" t="s">
        <v>35</v>
      </c>
      <c r="D13" s="4" t="s">
        <v>23</v>
      </c>
      <c r="F13" s="5" t="str">
        <f>IFERROR(__xludf.DUMMYFUNCTION("QUERY(PartsDB!$A$1:$C$999, ""SELECT C WHERE A = '""&amp;C13&amp;""' AND B = '""&amp;D13&amp;""' LIMIT 1"", 0)"),"https://www.mouser.com/ProductDetail/667-ERB-RG2R50V")</f>
        <v>https://www.mouser.com/ProductDetail/667-ERB-RG2R50V</v>
      </c>
      <c r="G13" s="6" t="str">
        <f>IFERROR(__xludf.DUMMYFUNCTION("INDEX(SPLIT(F13, ""/""), 1, 4)"),"667-ERB-RG2R50V")</f>
        <v>667-ERB-RG2R50V</v>
      </c>
      <c r="H13" s="3" t="s">
        <v>13</v>
      </c>
    </row>
    <row r="14">
      <c r="A14" s="3" t="s">
        <v>36</v>
      </c>
      <c r="B14" s="3">
        <v>1.0</v>
      </c>
      <c r="C14" s="3" t="s">
        <v>37</v>
      </c>
      <c r="D14" s="4" t="s">
        <v>12</v>
      </c>
      <c r="F14" s="5" t="str">
        <f>IFERROR(__xludf.DUMMYFUNCTION("QUERY(PartsDB!$A$1:$C$999, ""SELECT C WHERE A = '""&amp;C14&amp;""' AND B = '""&amp;D14&amp;""' LIMIT 1"", 0)"),"https://www.mouser.com/ProductDetail/594-MFU0603FF01000P1")</f>
        <v>https://www.mouser.com/ProductDetail/594-MFU0603FF01000P1</v>
      </c>
      <c r="G14" s="6" t="str">
        <f>IFERROR(__xludf.DUMMYFUNCTION("INDEX(SPLIT(F14, ""/""), 1, 4)"),"594-MFU0603FF01000P1")</f>
        <v>594-MFU0603FF01000P1</v>
      </c>
      <c r="H14" s="3" t="s">
        <v>13</v>
      </c>
    </row>
    <row r="15">
      <c r="A15" s="3" t="s">
        <v>38</v>
      </c>
      <c r="B15" s="3">
        <v>1.0</v>
      </c>
      <c r="C15" s="3" t="s">
        <v>39</v>
      </c>
      <c r="D15" s="4" t="s">
        <v>40</v>
      </c>
      <c r="F15" s="5" t="str">
        <f>IFERROR(__xludf.DUMMYFUNCTION("QUERY(PartsDB!$A$1:$C$999, ""SELECT C WHERE A = '""&amp;C15&amp;""' AND B = '""&amp;D15&amp;""' LIMIT 1"", 0)"),"https://www.mouser.com/ProductDetail/579-MCP1319MT33AE-OT")</f>
        <v>https://www.mouser.com/ProductDetail/579-MCP1319MT33AE-OT</v>
      </c>
      <c r="G15" s="6" t="str">
        <f>IFERROR(__xludf.DUMMYFUNCTION("INDEX(SPLIT(F15, ""/""), 1, 4)"),"579-MCP1319MT33AE-OT")</f>
        <v>579-MCP1319MT33AE-OT</v>
      </c>
      <c r="H15" s="3" t="s">
        <v>13</v>
      </c>
    </row>
    <row r="16">
      <c r="A16" s="3" t="s">
        <v>41</v>
      </c>
      <c r="B16" s="3">
        <v>1.0</v>
      </c>
      <c r="C16" s="3" t="s">
        <v>42</v>
      </c>
      <c r="D16" s="4" t="s">
        <v>43</v>
      </c>
      <c r="F16" s="5" t="str">
        <f>IFERROR(__xludf.DUMMYFUNCTION("QUERY(PartsDB!$A$1:$C$999, ""SELECT C WHERE A = '""&amp;C16&amp;""' AND B = '""&amp;D16&amp;""' LIMIT 1"", 0)"),"https://www.mouser.com/ProductDetail/595-74AHCT1G02DCKRG4")</f>
        <v>https://www.mouser.com/ProductDetail/595-74AHCT1G02DCKRG4</v>
      </c>
      <c r="G16" s="6" t="str">
        <f>IFERROR(__xludf.DUMMYFUNCTION("INDEX(SPLIT(F16, ""/""), 1, 4)"),"595-74AHCT1G02DCKRG4")</f>
        <v>595-74AHCT1G02DCKRG4</v>
      </c>
      <c r="H16" s="3" t="s">
        <v>13</v>
      </c>
    </row>
    <row r="17">
      <c r="A17" s="3" t="s">
        <v>44</v>
      </c>
      <c r="B17" s="3">
        <v>1.0</v>
      </c>
      <c r="C17" s="3" t="s">
        <v>45</v>
      </c>
      <c r="D17" s="4" t="s">
        <v>46</v>
      </c>
      <c r="F17" s="6" t="str">
        <f>IFERROR(__xludf.DUMMYFUNCTION("QUERY(PartsDB!$A$1:$C$999, ""SELECT C WHERE A = '""&amp;C17&amp;""' AND B = '""&amp;D17&amp;""' LIMIT 1"", 0)"),"")</f>
        <v/>
      </c>
    </row>
    <row r="18">
      <c r="A18" s="3" t="s">
        <v>47</v>
      </c>
      <c r="B18" s="3">
        <v>1.0</v>
      </c>
      <c r="C18" s="3" t="s">
        <v>48</v>
      </c>
      <c r="D18" s="4" t="s">
        <v>46</v>
      </c>
      <c r="F18" s="6" t="str">
        <f>IFERROR(__xludf.DUMMYFUNCTION("QUERY(PartsDB!$A$1:$C$999, ""SELECT C WHERE A = '""&amp;C18&amp;""' AND B = '""&amp;D18&amp;""' LIMIT 1"", 0)"),"")</f>
        <v/>
      </c>
    </row>
    <row r="19">
      <c r="A19" s="3" t="s">
        <v>49</v>
      </c>
      <c r="B19" s="3">
        <v>1.0</v>
      </c>
      <c r="C19" s="3" t="s">
        <v>50</v>
      </c>
      <c r="D19" s="4" t="s">
        <v>51</v>
      </c>
      <c r="F19" s="5" t="str">
        <f>IFERROR(__xludf.DUMMYFUNCTION("QUERY(PartsDB!$A$1:$C$999, ""SELECT C WHERE A = '""&amp;C19&amp;""' AND B = '""&amp;D19&amp;""' LIMIT 1"", 0)"),"https://www.mouser.com/ProductDetail/798-FH3328S0.5SH10")</f>
        <v>https://www.mouser.com/ProductDetail/798-FH3328S0.5SH10</v>
      </c>
      <c r="G19" s="6" t="str">
        <f>IFERROR(__xludf.DUMMYFUNCTION("INDEX(SPLIT(F19, ""/""), 1, 4)"),"798-FH3328S0.5SH10")</f>
        <v>798-FH3328S0.5SH10</v>
      </c>
      <c r="H19" s="3" t="s">
        <v>13</v>
      </c>
    </row>
    <row r="20">
      <c r="A20" s="3" t="s">
        <v>52</v>
      </c>
      <c r="B20" s="3">
        <v>1.0</v>
      </c>
      <c r="C20" s="3" t="s">
        <v>53</v>
      </c>
      <c r="D20" s="4" t="s">
        <v>53</v>
      </c>
      <c r="F20" s="5" t="str">
        <f>IFERROR(__xludf.DUMMYFUNCTION("QUERY(PartsDB!$A$1:$C$999, ""SELECT C WHERE A = '""&amp;C20&amp;""' AND B = '""&amp;D20&amp;""' LIMIT 1"", 0)"),"https://www.mouser.com/ProductDetail/538-78171-0002")</f>
        <v>https://www.mouser.com/ProductDetail/538-78171-0002</v>
      </c>
      <c r="G20" s="6" t="str">
        <f>IFERROR(__xludf.DUMMYFUNCTION("INDEX(SPLIT(F20, ""/""), 1, 4)"),"538-78171-0002")</f>
        <v>538-78171-0002</v>
      </c>
      <c r="H20" s="3" t="s">
        <v>13</v>
      </c>
    </row>
    <row r="21">
      <c r="A21" s="3" t="s">
        <v>54</v>
      </c>
      <c r="B21" s="3">
        <v>1.0</v>
      </c>
      <c r="C21" s="3" t="s">
        <v>55</v>
      </c>
      <c r="D21" s="4" t="s">
        <v>56</v>
      </c>
      <c r="F21" s="5" t="str">
        <f>IFERROR(__xludf.DUMMYFUNCTION("QUERY(PartsDB!$A$1:$C$999, ""SELECT C WHERE A = '""&amp;C21&amp;""' AND B = '""&amp;D21&amp;""' LIMIT 1"", 0)"),"https://www.mouser.com/ProductDetail/640-USB4105-GF-A")</f>
        <v>https://www.mouser.com/ProductDetail/640-USB4105-GF-A</v>
      </c>
      <c r="G21" s="6" t="str">
        <f>IFERROR(__xludf.DUMMYFUNCTION("INDEX(SPLIT(F21, ""/""), 1, 4)"),"640-USB4105-GF-A")</f>
        <v>640-USB4105-GF-A</v>
      </c>
      <c r="H21" s="3" t="s">
        <v>13</v>
      </c>
    </row>
    <row r="22">
      <c r="A22" s="3" t="s">
        <v>57</v>
      </c>
      <c r="B22" s="3">
        <v>1.0</v>
      </c>
      <c r="C22" s="3" t="s">
        <v>58</v>
      </c>
      <c r="D22" s="4" t="s">
        <v>59</v>
      </c>
      <c r="F22" s="5" t="str">
        <f>IFERROR(__xludf.DUMMYFUNCTION("QUERY(PartsDB!$A$1:$C$999, ""SELECT C WHERE A = '""&amp;C22&amp;""' AND B = '""&amp;D22&amp;""' LIMIT 1"", 0)"),"https://www.mouser.com/ProductDetail/810-VLS3012HBX2R2M-N")</f>
        <v>https://www.mouser.com/ProductDetail/810-VLS3012HBX2R2M-N</v>
      </c>
      <c r="G22" s="6" t="str">
        <f>IFERROR(__xludf.DUMMYFUNCTION("INDEX(SPLIT(F22, ""/""), 1, 4)"),"810-VLS3012HBX2R2M-N")</f>
        <v>810-VLS3012HBX2R2M-N</v>
      </c>
      <c r="H22" s="3" t="s">
        <v>13</v>
      </c>
    </row>
    <row r="23">
      <c r="A23" s="3" t="s">
        <v>60</v>
      </c>
      <c r="B23" s="3">
        <v>1.0</v>
      </c>
      <c r="C23" s="3" t="s">
        <v>61</v>
      </c>
      <c r="D23" s="4" t="s">
        <v>62</v>
      </c>
      <c r="F23" s="5" t="str">
        <f>IFERROR(__xludf.DUMMYFUNCTION("QUERY(PartsDB!$A$1:$C$999, ""SELECT C WHERE A = '""&amp;C23&amp;""' AND B = '""&amp;D23&amp;""' LIMIT 1"", 0)"),"https://www.mouser.com/ProductDetail/621-DMP6350SQ-7")</f>
        <v>https://www.mouser.com/ProductDetail/621-DMP6350SQ-7</v>
      </c>
      <c r="G23" s="6" t="str">
        <f>IFERROR(__xludf.DUMMYFUNCTION("INDEX(SPLIT(F23, ""/""), 1, 4)"),"621-DMP6350SQ-7")</f>
        <v>621-DMP6350SQ-7</v>
      </c>
      <c r="H23" s="3" t="s">
        <v>13</v>
      </c>
    </row>
    <row r="24">
      <c r="A24" s="3" t="s">
        <v>63</v>
      </c>
      <c r="B24" s="3">
        <v>1.0</v>
      </c>
      <c r="C24" s="3" t="s">
        <v>64</v>
      </c>
      <c r="D24" s="4" t="s">
        <v>65</v>
      </c>
      <c r="F24" s="5" t="str">
        <f>IFERROR(__xludf.DUMMYFUNCTION("QUERY(PartsDB!$A$1:$C$999, ""SELECT C WHERE A = '""&amp;C24&amp;""' AND B = '""&amp;D24&amp;""' LIMIT 1"", 0)"),"https://www.mouser.com/ProductDetail/863-NTS4409NT1G")</f>
        <v>https://www.mouser.com/ProductDetail/863-NTS4409NT1G</v>
      </c>
      <c r="G24" s="6" t="str">
        <f>IFERROR(__xludf.DUMMYFUNCTION("INDEX(SPLIT(F24, ""/""), 1, 4)"),"863-NTS4409NT1G")</f>
        <v>863-NTS4409NT1G</v>
      </c>
      <c r="H24" s="3" t="s">
        <v>13</v>
      </c>
    </row>
    <row r="25">
      <c r="A25" s="3" t="s">
        <v>66</v>
      </c>
      <c r="B25" s="3">
        <v>3.0</v>
      </c>
      <c r="C25" s="3" t="s">
        <v>67</v>
      </c>
      <c r="D25" s="4" t="s">
        <v>18</v>
      </c>
      <c r="F25" s="5" t="str">
        <f>IFERROR(__xludf.DUMMYFUNCTION("QUERY(PartsDB!$A$1:$C$999, ""SELECT C WHERE A = '""&amp;C25&amp;""' AND B = '""&amp;D25&amp;""' LIMIT 1"", 0)"),"https://www.mouser.com/ProductDetail/652-CR0402FX-1002GLF")</f>
        <v>https://www.mouser.com/ProductDetail/652-CR0402FX-1002GLF</v>
      </c>
      <c r="G25" s="6" t="str">
        <f>IFERROR(__xludf.DUMMYFUNCTION("INDEX(SPLIT(F25, ""/""), 1, 4)"),"652-CR0402FX-1002GLF")</f>
        <v>652-CR0402FX-1002GLF</v>
      </c>
      <c r="H25" s="3" t="s">
        <v>13</v>
      </c>
    </row>
    <row r="26">
      <c r="A26" s="3" t="s">
        <v>68</v>
      </c>
      <c r="B26" s="3">
        <v>1.0</v>
      </c>
      <c r="C26" s="3" t="s">
        <v>69</v>
      </c>
      <c r="D26" s="4" t="s">
        <v>18</v>
      </c>
      <c r="F26" s="5" t="str">
        <f>IFERROR(__xludf.DUMMYFUNCTION("QUERY(PartsDB!$A$1:$C$999, ""SELECT C WHERE A = '""&amp;C26&amp;""' AND B = '""&amp;D26&amp;""' LIMIT 1"", 0)"),"https://www.mouser.com/ProductDetail/667-ERJ-U02J104X")</f>
        <v>https://www.mouser.com/ProductDetail/667-ERJ-U02J104X</v>
      </c>
      <c r="G26" s="6" t="str">
        <f>IFERROR(__xludf.DUMMYFUNCTION("INDEX(SPLIT(F26, ""/""), 1, 4)"),"667-ERJ-U02J104X")</f>
        <v>667-ERJ-U02J104X</v>
      </c>
      <c r="H26" s="3" t="s">
        <v>13</v>
      </c>
    </row>
    <row r="27">
      <c r="A27" s="3" t="s">
        <v>70</v>
      </c>
      <c r="B27" s="3">
        <v>3.0</v>
      </c>
      <c r="C27" s="4" t="s">
        <v>71</v>
      </c>
      <c r="D27" s="4" t="s">
        <v>18</v>
      </c>
      <c r="F27" s="5" t="str">
        <f>IFERROR(__xludf.DUMMYFUNCTION("QUERY(PartsDB!$A$1:$C$999, ""SELECT C WHERE A = '""&amp;C27&amp;""' AND B = '""&amp;D27&amp;""' LIMIT 1"", 0)"),"https://www.mouser.com/ProductDetail/652-CR0402AJW-101GLF")</f>
        <v>https://www.mouser.com/ProductDetail/652-CR0402AJW-101GLF</v>
      </c>
      <c r="G27" s="6" t="str">
        <f>IFERROR(__xludf.DUMMYFUNCTION("INDEX(SPLIT(F27, ""/""), 1, 4)"),"652-CR0402AJW-101GLF")</f>
        <v>652-CR0402AJW-101GLF</v>
      </c>
      <c r="H27" s="3" t="s">
        <v>13</v>
      </c>
    </row>
    <row r="28">
      <c r="A28" s="3" t="s">
        <v>72</v>
      </c>
      <c r="B28" s="3">
        <v>1.0</v>
      </c>
      <c r="C28" s="3" t="s">
        <v>73</v>
      </c>
      <c r="D28" s="4" t="s">
        <v>18</v>
      </c>
      <c r="F28" s="5" t="str">
        <f>IFERROR(__xludf.DUMMYFUNCTION("QUERY(PartsDB!$A$1:$C$999, ""SELECT C WHERE A = '""&amp;C28&amp;""' AND B = '""&amp;D28&amp;""' LIMIT 1"", 0)"),"https://www.mouser.com/ProductDetail/652-CR0402FX-1502GLF")</f>
        <v>https://www.mouser.com/ProductDetail/652-CR0402FX-1502GLF</v>
      </c>
      <c r="G28" s="6" t="str">
        <f>IFERROR(__xludf.DUMMYFUNCTION("INDEX(SPLIT(F28, ""/""), 1, 4)"),"652-CR0402FX-1502GLF")</f>
        <v>652-CR0402FX-1502GLF</v>
      </c>
      <c r="H28" s="3" t="s">
        <v>13</v>
      </c>
    </row>
    <row r="29">
      <c r="A29" s="3" t="s">
        <v>74</v>
      </c>
      <c r="B29" s="3">
        <v>1.0</v>
      </c>
      <c r="C29" s="3" t="s">
        <v>75</v>
      </c>
      <c r="D29" s="4" t="s">
        <v>18</v>
      </c>
      <c r="F29" s="5" t="str">
        <f>IFERROR(__xludf.DUMMYFUNCTION("QUERY(PartsDB!$A$1:$C$999, ""SELECT C WHERE A = '""&amp;C29&amp;""' AND B = '""&amp;D29&amp;""' LIMIT 1"", 0)"),"https://www.mouser.com/ProductDetail/652-CR0402FX-3301GLF")</f>
        <v>https://www.mouser.com/ProductDetail/652-CR0402FX-3301GLF</v>
      </c>
      <c r="G29" s="6" t="str">
        <f>IFERROR(__xludf.DUMMYFUNCTION("INDEX(SPLIT(F29, ""/""), 1, 4)"),"652-CR0402FX-3301GLF")</f>
        <v>652-CR0402FX-3301GLF</v>
      </c>
      <c r="H29" s="3" t="s">
        <v>13</v>
      </c>
    </row>
    <row r="30">
      <c r="A30" s="3" t="s">
        <v>76</v>
      </c>
      <c r="B30" s="3">
        <v>1.0</v>
      </c>
      <c r="C30" s="3" t="s">
        <v>77</v>
      </c>
      <c r="D30" s="4" t="s">
        <v>18</v>
      </c>
      <c r="F30" s="5" t="str">
        <f>IFERROR(__xludf.DUMMYFUNCTION("QUERY(PartsDB!$A$1:$C$999, ""SELECT C WHERE A = '""&amp;C30&amp;""' AND B = '""&amp;D30&amp;""' LIMIT 1"", 0)"),"https://www.mouser.com/ProductDetail/71-CRCW0402430KFKEDC")</f>
        <v>https://www.mouser.com/ProductDetail/71-CRCW0402430KFKEDC</v>
      </c>
      <c r="G30" s="6" t="str">
        <f>IFERROR(__xludf.DUMMYFUNCTION("INDEX(SPLIT(F30, ""/""), 1, 4)"),"71-CRCW0402430KFKEDC")</f>
        <v>71-CRCW0402430KFKEDC</v>
      </c>
      <c r="H30" s="3" t="s">
        <v>13</v>
      </c>
    </row>
    <row r="31">
      <c r="A31" s="3" t="s">
        <v>78</v>
      </c>
      <c r="B31" s="3">
        <v>1.0</v>
      </c>
      <c r="C31" s="3" t="s">
        <v>79</v>
      </c>
      <c r="D31" s="4" t="s">
        <v>18</v>
      </c>
      <c r="F31" s="5" t="str">
        <f>IFERROR(__xludf.DUMMYFUNCTION("QUERY(PartsDB!$A$1:$C$999, ""SELECT C WHERE A = '""&amp;C31&amp;""' AND B = '""&amp;D31&amp;""' LIMIT 1"", 0)"),"https://www.mouser.com/ProductDetail/652-CR0402FX-2002GLF")</f>
        <v>https://www.mouser.com/ProductDetail/652-CR0402FX-2002GLF</v>
      </c>
      <c r="G31" s="6" t="str">
        <f>IFERROR(__xludf.DUMMYFUNCTION("INDEX(SPLIT(F31, ""/""), 1, 4)"),"652-CR0402FX-2002GLF")</f>
        <v>652-CR0402FX-2002GLF</v>
      </c>
      <c r="H31" s="3" t="s">
        <v>13</v>
      </c>
    </row>
    <row r="32">
      <c r="A32" s="3" t="s">
        <v>80</v>
      </c>
      <c r="B32" s="3">
        <v>1.0</v>
      </c>
      <c r="C32" s="3" t="s">
        <v>81</v>
      </c>
      <c r="D32" s="4" t="s">
        <v>18</v>
      </c>
      <c r="F32" s="5" t="str">
        <f>IFERROR(__xludf.DUMMYFUNCTION("QUERY(PartsDB!$A$1:$C$999, ""SELECT C WHERE A = '""&amp;C32&amp;""' AND B = '""&amp;D32&amp;""' LIMIT 1"", 0)"),"https://www.mouser.com/ProductDetail/652-CR0402FX-4702GLF")</f>
        <v>https://www.mouser.com/ProductDetail/652-CR0402FX-4702GLF</v>
      </c>
      <c r="G32" s="6" t="str">
        <f>IFERROR(__xludf.DUMMYFUNCTION("INDEX(SPLIT(F32, ""/""), 1, 4)"),"652-CR0402FX-4702GLF")</f>
        <v>652-CR0402FX-4702GLF</v>
      </c>
      <c r="H32" s="3" t="s">
        <v>13</v>
      </c>
    </row>
    <row r="33">
      <c r="A33" s="3" t="s">
        <v>82</v>
      </c>
      <c r="B33" s="3">
        <v>2.0</v>
      </c>
      <c r="C33" s="3" t="s">
        <v>83</v>
      </c>
      <c r="D33" s="4" t="s">
        <v>18</v>
      </c>
      <c r="F33" s="5" t="str">
        <f>IFERROR(__xludf.DUMMYFUNCTION("QUERY(PartsDB!$A$1:$C$999, ""SELECT C WHERE A = '""&amp;C33&amp;""' AND B = '""&amp;D33&amp;""' LIMIT 1"", 0)"),"https://www.mouser.com/ProductDetail/652-CR0402JW-562GLF")</f>
        <v>https://www.mouser.com/ProductDetail/652-CR0402JW-562GLF</v>
      </c>
      <c r="G33" s="6" t="str">
        <f>IFERROR(__xludf.DUMMYFUNCTION("INDEX(SPLIT(F33, ""/""), 1, 4)"),"652-CR0402JW-562GLF")</f>
        <v>652-CR0402JW-562GLF</v>
      </c>
      <c r="H33" s="3" t="s">
        <v>13</v>
      </c>
    </row>
    <row r="34">
      <c r="A34" s="3" t="s">
        <v>84</v>
      </c>
      <c r="B34" s="3">
        <v>1.0</v>
      </c>
      <c r="C34" s="3" t="s">
        <v>85</v>
      </c>
      <c r="D34" s="4" t="s">
        <v>18</v>
      </c>
      <c r="F34" s="5" t="str">
        <f>IFERROR(__xludf.DUMMYFUNCTION("QUERY(PartsDB!$A$1:$C$999, ""SELECT C WHERE A = '""&amp;C34&amp;""' AND B = '""&amp;D34&amp;""' LIMIT 1"", 0)"),"https://www.mouser.com/ProductDetail/652-CR0402-JW-204GLF")</f>
        <v>https://www.mouser.com/ProductDetail/652-CR0402-JW-204GLF</v>
      </c>
      <c r="G34" s="6" t="str">
        <f>IFERROR(__xludf.DUMMYFUNCTION("INDEX(SPLIT(F34, ""/""), 1, 4)"),"652-CR0402-JW-204GLF")</f>
        <v>652-CR0402-JW-204GLF</v>
      </c>
      <c r="H34" s="3" t="s">
        <v>13</v>
      </c>
    </row>
    <row r="35">
      <c r="A35" s="3" t="s">
        <v>86</v>
      </c>
      <c r="B35" s="3">
        <v>2.0</v>
      </c>
      <c r="C35" s="3" t="s">
        <v>87</v>
      </c>
      <c r="D35" s="4" t="s">
        <v>18</v>
      </c>
      <c r="F35" s="5" t="str">
        <f>IFERROR(__xludf.DUMMYFUNCTION("QUERY(PartsDB!$A$1:$C$999, ""SELECT C WHERE A = '""&amp;C35&amp;""' AND B = '""&amp;D35&amp;""' LIMIT 1"", 0)"),"https://www.mouser.com/ProductDetail/71-CRCW0402-1.0K-E3")</f>
        <v>https://www.mouser.com/ProductDetail/71-CRCW0402-1.0K-E3</v>
      </c>
      <c r="G35" s="6" t="str">
        <f>IFERROR(__xludf.DUMMYFUNCTION("INDEX(SPLIT(F35, ""/""), 1, 4)"),"71-CRCW0402-1.0K-E3")</f>
        <v>71-CRCW0402-1.0K-E3</v>
      </c>
      <c r="H35" s="3" t="s">
        <v>13</v>
      </c>
    </row>
    <row r="36">
      <c r="A36" s="3" t="s">
        <v>88</v>
      </c>
      <c r="B36" s="3">
        <v>1.0</v>
      </c>
      <c r="C36" s="3" t="s">
        <v>89</v>
      </c>
      <c r="D36" s="4" t="s">
        <v>18</v>
      </c>
      <c r="F36" s="5" t="str">
        <f>IFERROR(__xludf.DUMMYFUNCTION("QUERY(PartsDB!$A$1:$C$999, ""SELECT C WHERE A = '""&amp;C36&amp;""' AND B = '""&amp;D36&amp;""' LIMIT 1"", 0)"),"https://www.mouser.com/ProductDetail/603-RP0402BRD0749K9L")</f>
        <v>https://www.mouser.com/ProductDetail/603-RP0402BRD0749K9L</v>
      </c>
      <c r="G36" s="6" t="str">
        <f>IFERROR(__xludf.DUMMYFUNCTION("INDEX(SPLIT(F36, ""/""), 1, 4)"),"603-RP0402BRD0749K9L")</f>
        <v>603-RP0402BRD0749K9L</v>
      </c>
      <c r="H36" s="3" t="s">
        <v>13</v>
      </c>
    </row>
    <row r="37">
      <c r="A37" s="3" t="s">
        <v>90</v>
      </c>
      <c r="B37" s="3">
        <v>4.0</v>
      </c>
      <c r="C37" s="3" t="s">
        <v>91</v>
      </c>
      <c r="D37" s="4" t="s">
        <v>18</v>
      </c>
      <c r="F37" s="5" t="str">
        <f>IFERROR(__xludf.DUMMYFUNCTION("QUERY(PartsDB!$A$1:$C$999, ""SELECT C WHERE A = '""&amp;C37&amp;""' AND B = '""&amp;D37&amp;""' LIMIT 1"", 0)"),"https://www.mouser.com/ProductDetail/652-CR0402-JW-512GLF")</f>
        <v>https://www.mouser.com/ProductDetail/652-CR0402-JW-512GLF</v>
      </c>
      <c r="G37" s="6" t="str">
        <f>IFERROR(__xludf.DUMMYFUNCTION("INDEX(SPLIT(F37, ""/""), 1, 4)"),"652-CR0402-JW-512GLF")</f>
        <v>652-CR0402-JW-512GLF</v>
      </c>
      <c r="H37" s="3" t="s">
        <v>13</v>
      </c>
    </row>
    <row r="38">
      <c r="A38" s="3" t="s">
        <v>92</v>
      </c>
      <c r="B38" s="3">
        <v>1.0</v>
      </c>
      <c r="C38" s="3" t="s">
        <v>93</v>
      </c>
      <c r="D38" s="4" t="s">
        <v>23</v>
      </c>
      <c r="F38" s="5" t="str">
        <f>IFERROR(__xludf.DUMMYFUNCTION("QUERY(PartsDB!$A$1:$C$999, ""SELECT C WHERE A = '""&amp;C38&amp;""' AND B = '""&amp;D38&amp;""' LIMIT 1"", 0)"),"https://www.mouser.com/ProductDetail/603-TC164-JR-07270RL")</f>
        <v>https://www.mouser.com/ProductDetail/603-TC164-JR-07270RL</v>
      </c>
      <c r="G38" s="6" t="str">
        <f>IFERROR(__xludf.DUMMYFUNCTION("INDEX(SPLIT(F38, ""/""), 1, 4)"),"603-TC164-JR-07270RL")</f>
        <v>603-TC164-JR-07270RL</v>
      </c>
      <c r="H38" s="3" t="s">
        <v>13</v>
      </c>
    </row>
    <row r="39">
      <c r="A39" s="3" t="s">
        <v>94</v>
      </c>
      <c r="B39" s="3">
        <v>1.0</v>
      </c>
      <c r="C39" s="3" t="s">
        <v>95</v>
      </c>
      <c r="D39" s="4" t="s">
        <v>96</v>
      </c>
      <c r="F39" s="5" t="str">
        <f>IFERROR(__xludf.DUMMYFUNCTION("QUERY(PartsDB!$A$1:$C$999, ""SELECT C WHERE A = '""&amp;C39&amp;""' AND B = '""&amp;D39&amp;""' LIMIT 1"", 0)"),"https://www.mouser.com/ProductDetail/688-SKRTLA")</f>
        <v>https://www.mouser.com/ProductDetail/688-SKRTLA</v>
      </c>
      <c r="G39" s="6" t="str">
        <f>IFERROR(__xludf.DUMMYFUNCTION("INDEX(SPLIT(F39, ""/""), 1, 4)"),"688-SKRTLA")</f>
        <v>688-SKRTLA</v>
      </c>
      <c r="H39" s="3" t="s">
        <v>13</v>
      </c>
    </row>
    <row r="40">
      <c r="A40" s="3" t="s">
        <v>97</v>
      </c>
      <c r="B40" s="3">
        <v>8.0</v>
      </c>
      <c r="C40" s="7" t="s">
        <v>98</v>
      </c>
      <c r="D40" s="4" t="s">
        <v>46</v>
      </c>
      <c r="F40" s="5" t="str">
        <f>IFERROR(__xludf.DUMMYFUNCTION("QUERY(PartsDB!$A$1:$C$999, ""SELECT C WHERE A = '""&amp;C40&amp;""' AND B = '""&amp;D40&amp;""' LIMIT 1"", 0)"),"https://www.mouser.com/ProductDetail/688-SKRRAA")</f>
        <v>https://www.mouser.com/ProductDetail/688-SKRRAA</v>
      </c>
      <c r="G40" s="6" t="str">
        <f>IFERROR(__xludf.DUMMYFUNCTION("INDEX(SPLIT(F40, ""/""), 1, 4)"),"688-SKRRAA")</f>
        <v>688-SKRRAA</v>
      </c>
      <c r="H40" s="3" t="s">
        <v>13</v>
      </c>
    </row>
    <row r="41">
      <c r="A41" s="3" t="s">
        <v>99</v>
      </c>
      <c r="B41" s="3">
        <v>1.0</v>
      </c>
      <c r="C41" s="3" t="s">
        <v>100</v>
      </c>
      <c r="D41" s="4" t="s">
        <v>62</v>
      </c>
      <c r="F41" s="5" t="str">
        <f>IFERROR(__xludf.DUMMYFUNCTION("QUERY(PartsDB!$A$1:$C$999, ""SELECT C WHERE A = '""&amp;C41&amp;""' AND B = '""&amp;D41&amp;""' LIMIT 1"", 0)"),"https://www.mouser.com/ProductDetail/595-TLV803EB33VDBZR")</f>
        <v>https://www.mouser.com/ProductDetail/595-TLV803EB33VDBZR</v>
      </c>
      <c r="G41" s="6" t="str">
        <f>IFERROR(__xludf.DUMMYFUNCTION("INDEX(SPLIT(F41, ""/""), 1, 4)"),"595-TLV803EB33VDBZR")</f>
        <v>595-TLV803EB33VDBZR</v>
      </c>
      <c r="H41" s="3" t="s">
        <v>13</v>
      </c>
    </row>
    <row r="42">
      <c r="A42" s="3" t="s">
        <v>101</v>
      </c>
      <c r="B42" s="3">
        <v>1.0</v>
      </c>
      <c r="C42" s="3" t="s">
        <v>102</v>
      </c>
      <c r="D42" s="4" t="s">
        <v>46</v>
      </c>
      <c r="F42" s="6" t="str">
        <f>IFERROR(__xludf.DUMMYFUNCTION("QUERY(PartsDB!$A$1:$C$999, ""SELECT C WHERE A = '""&amp;C42&amp;""' AND B = '""&amp;D42&amp;""' LIMIT 1"", 0)"),"")</f>
        <v/>
      </c>
    </row>
    <row r="43">
      <c r="A43" s="3" t="s">
        <v>103</v>
      </c>
      <c r="B43" s="3">
        <v>1.0</v>
      </c>
      <c r="C43" s="3" t="s">
        <v>104</v>
      </c>
      <c r="D43" s="4" t="s">
        <v>46</v>
      </c>
      <c r="F43" s="6" t="str">
        <f>IFERROR(__xludf.DUMMYFUNCTION("QUERY(PartsDB!$A$1:$C$999, ""SELECT C WHERE A = '""&amp;C43&amp;""' AND B = '""&amp;D43&amp;""' LIMIT 1"", 0)"),"")</f>
        <v/>
      </c>
    </row>
    <row r="44">
      <c r="A44" s="3" t="s">
        <v>105</v>
      </c>
      <c r="B44" s="3">
        <v>1.0</v>
      </c>
      <c r="C44" s="3" t="s">
        <v>106</v>
      </c>
      <c r="D44" s="4" t="s">
        <v>107</v>
      </c>
      <c r="F44" s="5" t="str">
        <f>IFERROR(__xludf.DUMMYFUNCTION("QUERY(PartsDB!$A$1:$C$999, ""SELECT C WHERE A = '""&amp;C44&amp;""' AND B = '""&amp;D44&amp;""' LIMIT 1"", 0)"),"https://www.mouser.com/ProductDetail/595-BQ24072TRGTR")</f>
        <v>https://www.mouser.com/ProductDetail/595-BQ24072TRGTR</v>
      </c>
      <c r="G44" s="6" t="str">
        <f>IFERROR(__xludf.DUMMYFUNCTION("INDEX(SPLIT(F44, ""/""), 1, 4)"),"595-BQ24072TRGTR")</f>
        <v>595-BQ24072TRGTR</v>
      </c>
      <c r="H44" s="3" t="s">
        <v>13</v>
      </c>
    </row>
    <row r="45">
      <c r="A45" s="3" t="s">
        <v>108</v>
      </c>
      <c r="B45" s="3">
        <v>1.0</v>
      </c>
      <c r="C45" s="3" t="s">
        <v>109</v>
      </c>
      <c r="D45" s="4" t="s">
        <v>110</v>
      </c>
      <c r="F45" s="5" t="str">
        <f>IFERROR(__xludf.DUMMYFUNCTION("QUERY(PartsDB!$A$1:$C$999, ""SELECT C WHERE A = '""&amp;C45&amp;""' AND B = '""&amp;D45&amp;""' LIMIT 1"", 0)"),"https://www.mouser.com/ProductDetail/700-MAX16054AZTT")</f>
        <v>https://www.mouser.com/ProductDetail/700-MAX16054AZTT</v>
      </c>
      <c r="G45" s="6" t="str">
        <f>IFERROR(__xludf.DUMMYFUNCTION("INDEX(SPLIT(F45, ""/""), 1, 4)"),"700-MAX16054AZTT")</f>
        <v>700-MAX16054AZTT</v>
      </c>
      <c r="H45" s="3" t="s">
        <v>13</v>
      </c>
    </row>
    <row r="46">
      <c r="A46" s="3" t="s">
        <v>111</v>
      </c>
      <c r="B46" s="3">
        <v>1.0</v>
      </c>
      <c r="C46" s="3" t="s">
        <v>112</v>
      </c>
      <c r="D46" s="4" t="s">
        <v>62</v>
      </c>
      <c r="F46" s="5" t="str">
        <f>IFERROR(__xludf.DUMMYFUNCTION("QUERY(PartsDB!$A$1:$C$999, ""SELECT C WHERE A = '""&amp;C46&amp;""' AND B = '""&amp;D46&amp;""' LIMIT 1"", 0)"),"https://www.mouser.com/ProductDetail/Microchip-Technology/MCP1799T-3302H-TT")</f>
        <v>https://www.mouser.com/ProductDetail/Microchip-Technology/MCP1799T-3302H-TT</v>
      </c>
      <c r="G46" s="6" t="str">
        <f>IFERROR(__xludf.DUMMYFUNCTION("INDEX(SPLIT(F46, ""/""), 1, 5)"),"MCP1799T-3302H-TT")</f>
        <v>MCP1799T-3302H-TT</v>
      </c>
      <c r="H46" s="3" t="s">
        <v>13</v>
      </c>
    </row>
    <row r="47">
      <c r="A47" s="3" t="s">
        <v>113</v>
      </c>
      <c r="B47" s="3">
        <v>1.0</v>
      </c>
      <c r="C47" s="3" t="s">
        <v>114</v>
      </c>
      <c r="D47" s="4" t="s">
        <v>115</v>
      </c>
      <c r="F47" s="5" t="str">
        <f>IFERROR(__xludf.DUMMYFUNCTION("QUERY(PartsDB!$A$1:$C$999, ""SELECT C WHERE A = '""&amp;C47&amp;""' AND B = '""&amp;D47&amp;""' LIMIT 1"", 0)"),"https://www.mouser.com/ProductDetail/595-TPS61202DSCR")</f>
        <v>https://www.mouser.com/ProductDetail/595-TPS61202DSCR</v>
      </c>
      <c r="G47" s="6" t="str">
        <f>IFERROR(__xludf.DUMMYFUNCTION("INDEX(SPLIT(F47, ""/""), 1, 4)"),"595-TPS61202DSCR")</f>
        <v>595-TPS61202DSCR</v>
      </c>
      <c r="H47" s="3" t="s">
        <v>13</v>
      </c>
    </row>
    <row r="48">
      <c r="A48" s="3" t="s">
        <v>116</v>
      </c>
      <c r="B48" s="3">
        <v>1.0</v>
      </c>
      <c r="C48" s="3" t="s">
        <v>117</v>
      </c>
      <c r="D48" s="4" t="s">
        <v>118</v>
      </c>
      <c r="F48" s="5" t="str">
        <f>IFERROR(__xludf.DUMMYFUNCTION("QUERY(PartsDB!$A$1:$C$999, ""SELECT C WHERE A = '""&amp;C48&amp;""' AND B = '""&amp;D48&amp;""' LIMIT 1"", 0)"),"https://www.mouser.com/ProductDetail/926-LM4875MM-NOPB")</f>
        <v>https://www.mouser.com/ProductDetail/926-LM4875MM-NOPB</v>
      </c>
      <c r="G48" s="6" t="str">
        <f>IFERROR(__xludf.DUMMYFUNCTION("INDEX(SPLIT(F48, ""/""), 1, 4)"),"926-LM4875MM-NOPB")</f>
        <v>926-LM4875MM-NOPB</v>
      </c>
      <c r="H48" s="3" t="s">
        <v>13</v>
      </c>
    </row>
    <row r="49">
      <c r="A49" s="3" t="s">
        <v>119</v>
      </c>
      <c r="B49" s="3">
        <v>1.0</v>
      </c>
      <c r="C49" s="3" t="s">
        <v>120</v>
      </c>
      <c r="D49" s="4" t="s">
        <v>40</v>
      </c>
      <c r="F49" s="5" t="str">
        <f>IFERROR(__xludf.DUMMYFUNCTION("QUERY(PartsDB!$A$1:$C$999, ""SELECT C WHERE A = '""&amp;C49&amp;""' AND B = '""&amp;D49&amp;""' LIMIT 1"", 0)"),"https://www.mouser.com/ProductDetail/595-TLV3201AIDBVR")</f>
        <v>https://www.mouser.com/ProductDetail/595-TLV3201AIDBVR</v>
      </c>
      <c r="G49" s="6" t="str">
        <f>IFERROR(__xludf.DUMMYFUNCTION("INDEX(SPLIT(F49, ""/""), 1, 4)"),"595-TLV3201AIDBVR")</f>
        <v>595-TLV3201AIDBVR</v>
      </c>
      <c r="H49" s="3" t="s">
        <v>13</v>
      </c>
    </row>
    <row r="50">
      <c r="A50" s="3" t="s">
        <v>121</v>
      </c>
      <c r="B50" s="3">
        <v>1.0</v>
      </c>
      <c r="C50" s="3" t="s">
        <v>122</v>
      </c>
      <c r="D50" s="4" t="s">
        <v>122</v>
      </c>
      <c r="F50" s="5" t="str">
        <f>IFERROR(__xludf.DUMMYFUNCTION("QUERY(PartsDB!$A$1:$C$999, ""SELECT C WHERE A = '""&amp;C50&amp;""' AND B = '""&amp;D50&amp;""' LIMIT 1"", 0)"),"https://www.mouser.com/ProductDetail/688-RK08H113003Q")</f>
        <v>https://www.mouser.com/ProductDetail/688-RK08H113003Q</v>
      </c>
      <c r="G50" s="6" t="str">
        <f>IFERROR(__xludf.DUMMYFUNCTION("INDEX(SPLIT(F50, ""/""), 1, 4)"),"688-RK08H113003Q")</f>
        <v>688-RK08H113003Q</v>
      </c>
      <c r="H50" s="3" t="s">
        <v>13</v>
      </c>
    </row>
    <row r="51">
      <c r="A51" s="3" t="s">
        <v>123</v>
      </c>
      <c r="B51" s="3">
        <v>1.0</v>
      </c>
      <c r="C51" s="8" t="s">
        <v>124</v>
      </c>
      <c r="D51" s="4" t="s">
        <v>46</v>
      </c>
      <c r="F51" s="9" t="s">
        <v>125</v>
      </c>
      <c r="G51" s="6" t="str">
        <f>IFERROR(__xludf.DUMMYFUNCTION("INDEX(SPLIT(F51, ""/""), 1, 4)"),"732-CG838868MTJHPA")</f>
        <v>732-CG838868MTJHPA</v>
      </c>
      <c r="H51" s="3" t="s">
        <v>13</v>
      </c>
    </row>
    <row r="52">
      <c r="A52" s="3" t="s">
        <v>126</v>
      </c>
      <c r="B52" s="3">
        <v>1.0</v>
      </c>
      <c r="C52" s="3" t="s">
        <v>127</v>
      </c>
      <c r="D52" s="4" t="s">
        <v>46</v>
      </c>
      <c r="F52" s="5" t="str">
        <f>IFERROR(__xludf.DUMMYFUNCTION("QUERY(PartsDB!$A$1:$C$999, ""SELECT C WHERE A = '""&amp;C52&amp;""' AND B = '""&amp;D52&amp;""' LIMIT 1"", 0)"),"https://www.ifixit.com/products/nintendo-switch-joy-con-controller-replacement-battery?variant=39372012322919")</f>
        <v>https://www.ifixit.com/products/nintendo-switch-joy-con-controller-replacement-battery?variant=39372012322919</v>
      </c>
      <c r="H52" s="3" t="s">
        <v>128</v>
      </c>
    </row>
    <row r="53">
      <c r="A53" s="3" t="s">
        <v>129</v>
      </c>
      <c r="B53" s="3">
        <v>1.0</v>
      </c>
      <c r="C53" s="3" t="s">
        <v>130</v>
      </c>
      <c r="D53" s="4" t="s">
        <v>46</v>
      </c>
      <c r="F53" s="5" t="str">
        <f>IFERROR(__xludf.DUMMYFUNCTION("QUERY(PartsDB!$A$1:$C$999, ""SELECT C WHERE A = '""&amp;C53&amp;""' AND B = '""&amp;D53&amp;""' LIMIT 1"", 0)"),"https://www.mouser.com/ProductDetail/CUI-Devices/CMS-151135-18S-X8?qs=9vOqFld9vZXAip8uBsd1PA%3D%3D")</f>
        <v>https://www.mouser.com/ProductDetail/CUI-Devices/CMS-151135-18S-X8?qs=9vOqFld9vZXAip8uBsd1PA%3D%3D</v>
      </c>
      <c r="H53" s="3" t="s">
        <v>13</v>
      </c>
    </row>
  </sheetData>
  <autoFilter ref="$A$2:$F$53">
    <sortState ref="A2:F53">
      <sortCondition ref="A2:A53"/>
    </sortState>
  </autoFilter>
  <mergeCells count="1">
    <mergeCell ref="A1:F1"/>
  </mergeCells>
  <hyperlinks>
    <hyperlink r:id="rId1" ref="F5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38"/>
    <col customWidth="1" min="2" max="2" width="17.13"/>
    <col customWidth="1" min="3" max="3" width="81.75"/>
  </cols>
  <sheetData>
    <row r="1">
      <c r="A1" s="10" t="s">
        <v>131</v>
      </c>
      <c r="B1" s="11" t="s">
        <v>4</v>
      </c>
      <c r="C1" s="12" t="s">
        <v>6</v>
      </c>
    </row>
    <row r="2">
      <c r="A2" s="13" t="s">
        <v>46</v>
      </c>
      <c r="B2" s="14" t="s">
        <v>132</v>
      </c>
      <c r="C2" s="15" t="s">
        <v>133</v>
      </c>
    </row>
    <row r="3">
      <c r="A3" s="13" t="s">
        <v>11</v>
      </c>
      <c r="B3" s="14" t="s">
        <v>12</v>
      </c>
      <c r="C3" s="15" t="s">
        <v>134</v>
      </c>
    </row>
    <row r="4">
      <c r="A4" s="13" t="s">
        <v>15</v>
      </c>
      <c r="B4" s="14" t="s">
        <v>12</v>
      </c>
      <c r="C4" s="15" t="s">
        <v>135</v>
      </c>
    </row>
    <row r="5">
      <c r="A5" s="13" t="s">
        <v>22</v>
      </c>
      <c r="B5" s="14" t="s">
        <v>23</v>
      </c>
      <c r="C5" s="15" t="s">
        <v>136</v>
      </c>
    </row>
    <row r="6">
      <c r="A6" s="13" t="s">
        <v>20</v>
      </c>
      <c r="B6" s="14" t="s">
        <v>12</v>
      </c>
      <c r="C6" s="15" t="s">
        <v>137</v>
      </c>
    </row>
    <row r="7">
      <c r="A7" s="13" t="s">
        <v>138</v>
      </c>
      <c r="B7" s="14" t="s">
        <v>23</v>
      </c>
      <c r="C7" s="15" t="s">
        <v>139</v>
      </c>
    </row>
    <row r="8">
      <c r="A8" s="13" t="s">
        <v>140</v>
      </c>
      <c r="B8" s="14" t="s">
        <v>12</v>
      </c>
      <c r="C8" s="15" t="s">
        <v>141</v>
      </c>
    </row>
    <row r="9">
      <c r="A9" s="13" t="s">
        <v>27</v>
      </c>
      <c r="B9" s="14" t="s">
        <v>12</v>
      </c>
      <c r="C9" s="15" t="s">
        <v>142</v>
      </c>
    </row>
    <row r="10">
      <c r="A10" s="13" t="s">
        <v>17</v>
      </c>
      <c r="B10" s="14" t="s">
        <v>12</v>
      </c>
      <c r="C10" s="15" t="s">
        <v>143</v>
      </c>
    </row>
    <row r="11">
      <c r="A11" s="13" t="s">
        <v>29</v>
      </c>
      <c r="B11" s="14" t="s">
        <v>12</v>
      </c>
      <c r="C11" s="15" t="s">
        <v>144</v>
      </c>
    </row>
    <row r="12">
      <c r="A12" s="13" t="s">
        <v>145</v>
      </c>
      <c r="B12" s="14" t="s">
        <v>12</v>
      </c>
      <c r="C12" s="15" t="s">
        <v>146</v>
      </c>
    </row>
    <row r="13">
      <c r="A13" s="13" t="s">
        <v>31</v>
      </c>
      <c r="B13" s="14" t="s">
        <v>12</v>
      </c>
      <c r="C13" s="15" t="s">
        <v>147</v>
      </c>
    </row>
    <row r="14">
      <c r="A14" s="13" t="s">
        <v>33</v>
      </c>
      <c r="B14" s="14" t="s">
        <v>12</v>
      </c>
      <c r="C14" s="13"/>
    </row>
    <row r="15">
      <c r="A15" s="16" t="s">
        <v>35</v>
      </c>
      <c r="B15" s="14" t="s">
        <v>23</v>
      </c>
      <c r="C15" s="15" t="s">
        <v>148</v>
      </c>
    </row>
    <row r="16">
      <c r="A16" s="13" t="s">
        <v>37</v>
      </c>
      <c r="B16" s="14" t="s">
        <v>12</v>
      </c>
      <c r="C16" s="17" t="s">
        <v>149</v>
      </c>
    </row>
    <row r="17">
      <c r="A17" s="13" t="s">
        <v>150</v>
      </c>
      <c r="B17" s="14" t="s">
        <v>23</v>
      </c>
      <c r="C17" s="15" t="s">
        <v>151</v>
      </c>
    </row>
    <row r="18">
      <c r="A18" s="13" t="s">
        <v>45</v>
      </c>
      <c r="B18" s="13" t="s">
        <v>46</v>
      </c>
      <c r="C18" s="13"/>
    </row>
    <row r="19">
      <c r="A19" s="13" t="s">
        <v>48</v>
      </c>
      <c r="B19" s="13" t="s">
        <v>46</v>
      </c>
      <c r="C19" s="13"/>
    </row>
    <row r="20">
      <c r="A20" s="13" t="s">
        <v>152</v>
      </c>
      <c r="B20" s="13" t="s">
        <v>152</v>
      </c>
      <c r="C20" s="15" t="s">
        <v>153</v>
      </c>
    </row>
    <row r="21">
      <c r="A21" s="18" t="s">
        <v>154</v>
      </c>
      <c r="B21" s="18" t="s">
        <v>46</v>
      </c>
      <c r="C21" s="18"/>
    </row>
    <row r="22">
      <c r="A22" s="3" t="s">
        <v>55</v>
      </c>
      <c r="B22" s="4" t="s">
        <v>56</v>
      </c>
      <c r="C22" s="19" t="s">
        <v>155</v>
      </c>
    </row>
    <row r="23">
      <c r="A23" s="13" t="s">
        <v>156</v>
      </c>
      <c r="B23" s="13" t="s">
        <v>157</v>
      </c>
      <c r="C23" s="15" t="s">
        <v>158</v>
      </c>
    </row>
    <row r="24">
      <c r="A24" s="13" t="s">
        <v>58</v>
      </c>
      <c r="B24" s="13" t="s">
        <v>59</v>
      </c>
      <c r="C24" s="15" t="s">
        <v>159</v>
      </c>
    </row>
    <row r="25">
      <c r="A25" s="13" t="s">
        <v>61</v>
      </c>
      <c r="B25" s="13" t="s">
        <v>62</v>
      </c>
      <c r="C25" s="15" t="s">
        <v>160</v>
      </c>
    </row>
    <row r="26">
      <c r="A26" s="13" t="s">
        <v>67</v>
      </c>
      <c r="B26" s="20" t="s">
        <v>12</v>
      </c>
      <c r="C26" s="15" t="s">
        <v>161</v>
      </c>
    </row>
    <row r="27">
      <c r="A27" s="13" t="s">
        <v>69</v>
      </c>
      <c r="B27" s="14" t="s">
        <v>12</v>
      </c>
      <c r="C27" s="15" t="s">
        <v>162</v>
      </c>
    </row>
    <row r="28">
      <c r="A28" s="13" t="s">
        <v>73</v>
      </c>
      <c r="B28" s="14" t="s">
        <v>12</v>
      </c>
      <c r="C28" s="15" t="s">
        <v>163</v>
      </c>
    </row>
    <row r="29">
      <c r="A29" s="13" t="s">
        <v>83</v>
      </c>
      <c r="B29" s="14" t="s">
        <v>12</v>
      </c>
      <c r="C29" s="15" t="s">
        <v>164</v>
      </c>
    </row>
    <row r="30">
      <c r="A30" s="14" t="s">
        <v>71</v>
      </c>
      <c r="B30" s="14" t="s">
        <v>12</v>
      </c>
      <c r="C30" s="15" t="s">
        <v>165</v>
      </c>
    </row>
    <row r="31">
      <c r="A31" s="14" t="s">
        <v>166</v>
      </c>
      <c r="B31" s="14" t="s">
        <v>12</v>
      </c>
      <c r="C31" s="15" t="s">
        <v>167</v>
      </c>
    </row>
    <row r="32">
      <c r="A32" s="13" t="s">
        <v>77</v>
      </c>
      <c r="B32" s="14" t="s">
        <v>12</v>
      </c>
      <c r="C32" s="15" t="s">
        <v>168</v>
      </c>
    </row>
    <row r="33">
      <c r="A33" s="13" t="s">
        <v>79</v>
      </c>
      <c r="B33" s="14" t="s">
        <v>12</v>
      </c>
      <c r="C33" s="15" t="s">
        <v>169</v>
      </c>
    </row>
    <row r="34">
      <c r="A34" s="13" t="s">
        <v>81</v>
      </c>
      <c r="B34" s="14" t="s">
        <v>12</v>
      </c>
      <c r="C34" s="15" t="s">
        <v>170</v>
      </c>
    </row>
    <row r="35">
      <c r="A35" s="13" t="s">
        <v>171</v>
      </c>
      <c r="B35" s="14" t="s">
        <v>12</v>
      </c>
      <c r="C35" s="15" t="s">
        <v>172</v>
      </c>
    </row>
    <row r="36">
      <c r="A36" s="13" t="s">
        <v>85</v>
      </c>
      <c r="B36" s="14" t="s">
        <v>12</v>
      </c>
      <c r="C36" s="15" t="s">
        <v>173</v>
      </c>
    </row>
    <row r="37">
      <c r="A37" s="13" t="s">
        <v>75</v>
      </c>
      <c r="B37" s="14" t="s">
        <v>12</v>
      </c>
      <c r="C37" s="15" t="s">
        <v>174</v>
      </c>
    </row>
    <row r="38">
      <c r="A38" s="13" t="s">
        <v>89</v>
      </c>
      <c r="B38" s="14" t="s">
        <v>12</v>
      </c>
      <c r="C38" s="15" t="s">
        <v>175</v>
      </c>
    </row>
    <row r="39">
      <c r="A39" s="13" t="s">
        <v>176</v>
      </c>
      <c r="B39" s="14" t="s">
        <v>12</v>
      </c>
      <c r="C39" s="15" t="s">
        <v>177</v>
      </c>
    </row>
    <row r="40">
      <c r="A40" s="13" t="s">
        <v>91</v>
      </c>
      <c r="B40" s="14" t="s">
        <v>12</v>
      </c>
      <c r="C40" s="15" t="s">
        <v>161</v>
      </c>
    </row>
    <row r="41">
      <c r="A41" s="13" t="s">
        <v>87</v>
      </c>
      <c r="B41" s="14" t="s">
        <v>12</v>
      </c>
      <c r="C41" s="15" t="s">
        <v>178</v>
      </c>
    </row>
    <row r="42">
      <c r="A42" s="14" t="s">
        <v>93</v>
      </c>
      <c r="B42" s="14" t="s">
        <v>23</v>
      </c>
      <c r="C42" s="15" t="s">
        <v>179</v>
      </c>
    </row>
    <row r="43">
      <c r="A43" s="13" t="s">
        <v>95</v>
      </c>
      <c r="B43" s="4" t="s">
        <v>96</v>
      </c>
      <c r="C43" s="15" t="s">
        <v>180</v>
      </c>
    </row>
    <row r="44">
      <c r="A44" s="21" t="s">
        <v>181</v>
      </c>
      <c r="B44" s="13" t="s">
        <v>46</v>
      </c>
      <c r="C44" s="15" t="s">
        <v>182</v>
      </c>
    </row>
    <row r="45">
      <c r="A45" s="13" t="s">
        <v>98</v>
      </c>
      <c r="B45" s="13" t="s">
        <v>46</v>
      </c>
      <c r="C45" s="15" t="s">
        <v>183</v>
      </c>
    </row>
    <row r="46">
      <c r="A46" s="13" t="s">
        <v>102</v>
      </c>
      <c r="B46" s="13" t="s">
        <v>46</v>
      </c>
      <c r="C46" s="13"/>
    </row>
    <row r="47">
      <c r="A47" s="13" t="s">
        <v>109</v>
      </c>
      <c r="B47" s="13" t="s">
        <v>110</v>
      </c>
      <c r="C47" s="15" t="s">
        <v>184</v>
      </c>
    </row>
    <row r="48">
      <c r="A48" s="13" t="s">
        <v>104</v>
      </c>
      <c r="B48" s="13" t="s">
        <v>46</v>
      </c>
      <c r="C48" s="13"/>
    </row>
    <row r="49">
      <c r="A49" s="13" t="s">
        <v>106</v>
      </c>
      <c r="B49" s="21" t="s">
        <v>107</v>
      </c>
      <c r="C49" s="15" t="s">
        <v>185</v>
      </c>
    </row>
    <row r="50">
      <c r="A50" s="13" t="s">
        <v>114</v>
      </c>
      <c r="B50" s="22" t="s">
        <v>115</v>
      </c>
      <c r="C50" s="15" t="s">
        <v>186</v>
      </c>
    </row>
    <row r="51">
      <c r="A51" s="13" t="s">
        <v>117</v>
      </c>
      <c r="B51" s="21" t="s">
        <v>118</v>
      </c>
      <c r="C51" s="15" t="s">
        <v>187</v>
      </c>
    </row>
    <row r="52">
      <c r="A52" s="13" t="s">
        <v>188</v>
      </c>
      <c r="B52" s="13" t="s">
        <v>62</v>
      </c>
      <c r="C52" s="15" t="s">
        <v>189</v>
      </c>
    </row>
    <row r="53">
      <c r="A53" s="13" t="s">
        <v>100</v>
      </c>
      <c r="B53" s="13" t="s">
        <v>62</v>
      </c>
      <c r="C53" s="15" t="s">
        <v>190</v>
      </c>
    </row>
    <row r="54">
      <c r="A54" s="13" t="s">
        <v>120</v>
      </c>
      <c r="B54" s="13" t="s">
        <v>40</v>
      </c>
      <c r="C54" s="15" t="s">
        <v>191</v>
      </c>
    </row>
    <row r="55">
      <c r="A55" s="13" t="s">
        <v>122</v>
      </c>
      <c r="B55" s="13" t="s">
        <v>122</v>
      </c>
      <c r="C55" s="15" t="s">
        <v>192</v>
      </c>
    </row>
    <row r="56">
      <c r="A56" s="13" t="s">
        <v>193</v>
      </c>
      <c r="B56" s="13" t="s">
        <v>46</v>
      </c>
      <c r="C56" s="13"/>
    </row>
    <row r="57">
      <c r="A57" s="3" t="s">
        <v>193</v>
      </c>
      <c r="B57" s="3" t="s">
        <v>194</v>
      </c>
      <c r="C57" s="9" t="s">
        <v>195</v>
      </c>
    </row>
    <row r="58">
      <c r="A58" s="3" t="s">
        <v>196</v>
      </c>
      <c r="B58" s="4" t="s">
        <v>46</v>
      </c>
      <c r="C58" s="9" t="s">
        <v>197</v>
      </c>
    </row>
    <row r="59">
      <c r="A59" s="3" t="s">
        <v>42</v>
      </c>
      <c r="B59" s="4" t="s">
        <v>43</v>
      </c>
      <c r="C59" s="9" t="s">
        <v>198</v>
      </c>
    </row>
    <row r="60">
      <c r="A60" s="3" t="s">
        <v>39</v>
      </c>
      <c r="B60" s="4" t="s">
        <v>40</v>
      </c>
      <c r="C60" s="9" t="s">
        <v>199</v>
      </c>
    </row>
    <row r="61">
      <c r="A61" s="3" t="s">
        <v>112</v>
      </c>
      <c r="B61" s="3" t="s">
        <v>62</v>
      </c>
      <c r="C61" s="9" t="s">
        <v>200</v>
      </c>
    </row>
    <row r="62">
      <c r="A62" s="8" t="s">
        <v>124</v>
      </c>
      <c r="B62" s="3" t="s">
        <v>46</v>
      </c>
    </row>
    <row r="63">
      <c r="A63" s="3" t="s">
        <v>201</v>
      </c>
      <c r="B63" s="3" t="s">
        <v>46</v>
      </c>
      <c r="C63" s="9" t="s">
        <v>202</v>
      </c>
    </row>
    <row r="64">
      <c r="A64" s="3" t="s">
        <v>17</v>
      </c>
      <c r="B64" s="4" t="s">
        <v>18</v>
      </c>
      <c r="C64" s="9" t="s">
        <v>203</v>
      </c>
    </row>
    <row r="65">
      <c r="A65" s="3" t="s">
        <v>20</v>
      </c>
      <c r="B65" s="4" t="s">
        <v>18</v>
      </c>
      <c r="C65" s="9" t="s">
        <v>204</v>
      </c>
    </row>
    <row r="66">
      <c r="A66" s="3" t="s">
        <v>25</v>
      </c>
      <c r="B66" s="4" t="s">
        <v>18</v>
      </c>
      <c r="C66" s="9" t="s">
        <v>205</v>
      </c>
    </row>
    <row r="67">
      <c r="A67" s="3" t="s">
        <v>27</v>
      </c>
      <c r="B67" s="4" t="s">
        <v>18</v>
      </c>
      <c r="C67" s="9" t="s">
        <v>206</v>
      </c>
    </row>
    <row r="68">
      <c r="A68" s="3" t="s">
        <v>29</v>
      </c>
      <c r="B68" s="4" t="s">
        <v>18</v>
      </c>
      <c r="C68" s="9" t="s">
        <v>207</v>
      </c>
    </row>
    <row r="69">
      <c r="A69" s="3" t="s">
        <v>31</v>
      </c>
      <c r="B69" s="4" t="s">
        <v>18</v>
      </c>
      <c r="C69" s="9" t="s">
        <v>208</v>
      </c>
    </row>
    <row r="70">
      <c r="A70" s="3" t="s">
        <v>50</v>
      </c>
      <c r="B70" s="4" t="s">
        <v>51</v>
      </c>
      <c r="C70" s="9" t="s">
        <v>209</v>
      </c>
    </row>
    <row r="71">
      <c r="A71" s="3" t="s">
        <v>53</v>
      </c>
      <c r="B71" s="3" t="s">
        <v>53</v>
      </c>
      <c r="C71" s="9" t="s">
        <v>210</v>
      </c>
    </row>
    <row r="72">
      <c r="A72" s="13" t="s">
        <v>64</v>
      </c>
      <c r="B72" s="14" t="s">
        <v>65</v>
      </c>
      <c r="C72" s="9" t="s">
        <v>211</v>
      </c>
    </row>
    <row r="73">
      <c r="A73" s="13" t="s">
        <v>67</v>
      </c>
      <c r="B73" s="14" t="s">
        <v>18</v>
      </c>
      <c r="C73" s="9" t="s">
        <v>212</v>
      </c>
    </row>
    <row r="74">
      <c r="A74" s="13" t="s">
        <v>69</v>
      </c>
      <c r="B74" s="14" t="s">
        <v>18</v>
      </c>
      <c r="C74" s="9" t="s">
        <v>213</v>
      </c>
    </row>
    <row r="75">
      <c r="A75" s="14" t="s">
        <v>71</v>
      </c>
      <c r="B75" s="14" t="s">
        <v>18</v>
      </c>
      <c r="C75" s="9" t="s">
        <v>214</v>
      </c>
    </row>
    <row r="76">
      <c r="A76" s="13" t="s">
        <v>73</v>
      </c>
      <c r="B76" s="14" t="s">
        <v>18</v>
      </c>
      <c r="C76" s="9" t="s">
        <v>215</v>
      </c>
    </row>
    <row r="77">
      <c r="A77" s="13" t="s">
        <v>75</v>
      </c>
      <c r="B77" s="14" t="s">
        <v>18</v>
      </c>
      <c r="C77" s="9" t="s">
        <v>216</v>
      </c>
    </row>
    <row r="78">
      <c r="A78" s="13" t="s">
        <v>77</v>
      </c>
      <c r="B78" s="14" t="s">
        <v>18</v>
      </c>
      <c r="C78" s="9" t="s">
        <v>217</v>
      </c>
    </row>
    <row r="79">
      <c r="A79" s="13" t="s">
        <v>79</v>
      </c>
      <c r="B79" s="14" t="s">
        <v>18</v>
      </c>
      <c r="C79" s="9" t="s">
        <v>218</v>
      </c>
    </row>
    <row r="80">
      <c r="A80" s="13" t="s">
        <v>81</v>
      </c>
      <c r="B80" s="14" t="s">
        <v>18</v>
      </c>
      <c r="C80" s="9" t="s">
        <v>219</v>
      </c>
    </row>
    <row r="81">
      <c r="A81" s="13" t="s">
        <v>83</v>
      </c>
      <c r="B81" s="14" t="s">
        <v>18</v>
      </c>
      <c r="C81" s="9" t="s">
        <v>220</v>
      </c>
    </row>
    <row r="82">
      <c r="A82" s="13" t="s">
        <v>85</v>
      </c>
      <c r="B82" s="14" t="s">
        <v>18</v>
      </c>
      <c r="C82" s="9" t="s">
        <v>221</v>
      </c>
    </row>
    <row r="83">
      <c r="A83" s="13" t="s">
        <v>89</v>
      </c>
      <c r="B83" s="14" t="s">
        <v>18</v>
      </c>
      <c r="C83" s="9" t="s">
        <v>222</v>
      </c>
    </row>
    <row r="84">
      <c r="A84" s="13" t="s">
        <v>91</v>
      </c>
      <c r="B84" s="14" t="s">
        <v>18</v>
      </c>
      <c r="C84" s="9" t="s">
        <v>223</v>
      </c>
    </row>
    <row r="85">
      <c r="A85" s="13" t="s">
        <v>87</v>
      </c>
      <c r="B85" s="14" t="s">
        <v>18</v>
      </c>
      <c r="C85" s="9" t="s">
        <v>224</v>
      </c>
    </row>
    <row r="86">
      <c r="A86" s="3" t="s">
        <v>127</v>
      </c>
      <c r="B86" s="4" t="s">
        <v>46</v>
      </c>
      <c r="C86" s="9" t="s">
        <v>225</v>
      </c>
    </row>
    <row r="87">
      <c r="A87" s="3" t="s">
        <v>130</v>
      </c>
      <c r="B87" s="4" t="s">
        <v>46</v>
      </c>
      <c r="C87" s="9" t="s">
        <v>226</v>
      </c>
    </row>
    <row r="88">
      <c r="B88" s="23"/>
    </row>
    <row r="89">
      <c r="B89" s="23"/>
    </row>
    <row r="90">
      <c r="B90" s="23"/>
    </row>
    <row r="91">
      <c r="B91" s="23"/>
    </row>
    <row r="92">
      <c r="B92" s="23"/>
    </row>
    <row r="93">
      <c r="B93" s="23"/>
    </row>
    <row r="94">
      <c r="B94" s="23"/>
    </row>
    <row r="95">
      <c r="B95" s="23"/>
    </row>
    <row r="96">
      <c r="B96" s="23"/>
    </row>
    <row r="97">
      <c r="B97" s="23"/>
    </row>
    <row r="98">
      <c r="B98" s="23"/>
    </row>
    <row r="99">
      <c r="B99" s="23"/>
    </row>
    <row r="100">
      <c r="B100" s="23"/>
    </row>
    <row r="101">
      <c r="B101" s="23"/>
    </row>
    <row r="102">
      <c r="B102" s="23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5"/>
    <hyperlink r:id="rId14" ref="C16"/>
    <hyperlink r:id="rId15" ref="C17"/>
    <hyperlink r:id="rId16" ref="C20"/>
    <hyperlink r:id="rId17" ref="C22"/>
    <hyperlink r:id="rId18" ref="C23"/>
    <hyperlink r:id="rId19" ref="C24"/>
    <hyperlink r:id="rId20" ref="C25"/>
    <hyperlink r:id="rId21" ref="C26"/>
    <hyperlink r:id="rId22" ref="C27"/>
    <hyperlink r:id="rId23" ref="C28"/>
    <hyperlink r:id="rId24" ref="C29"/>
    <hyperlink r:id="rId25" ref="C30"/>
    <hyperlink r:id="rId26" ref="C31"/>
    <hyperlink r:id="rId27" ref="C32"/>
    <hyperlink r:id="rId28" ref="C33"/>
    <hyperlink r:id="rId29" ref="C34"/>
    <hyperlink r:id="rId30" ref="C35"/>
    <hyperlink r:id="rId31" ref="C36"/>
    <hyperlink r:id="rId32" ref="C37"/>
    <hyperlink r:id="rId33" ref="C38"/>
    <hyperlink r:id="rId34" ref="C39"/>
    <hyperlink r:id="rId35" ref="C40"/>
    <hyperlink r:id="rId36" ref="C41"/>
    <hyperlink r:id="rId37" ref="C42"/>
    <hyperlink r:id="rId38" ref="C43"/>
    <hyperlink r:id="rId39" ref="C44"/>
    <hyperlink r:id="rId40" ref="C45"/>
    <hyperlink r:id="rId41" ref="C47"/>
    <hyperlink r:id="rId42" ref="C49"/>
    <hyperlink r:id="rId43" ref="C50"/>
    <hyperlink r:id="rId44" ref="C51"/>
    <hyperlink r:id="rId45" ref="C52"/>
    <hyperlink r:id="rId46" ref="C53"/>
    <hyperlink r:id="rId47" ref="C54"/>
    <hyperlink r:id="rId48" ref="C55"/>
    <hyperlink r:id="rId49" ref="C57"/>
    <hyperlink r:id="rId50" ref="C58"/>
    <hyperlink r:id="rId51" ref="C59"/>
    <hyperlink r:id="rId52" ref="C60"/>
    <hyperlink r:id="rId53" ref="C61"/>
    <hyperlink r:id="rId54" ref="C63"/>
    <hyperlink r:id="rId55" ref="C64"/>
    <hyperlink r:id="rId56" ref="C65"/>
    <hyperlink r:id="rId57" ref="C66"/>
    <hyperlink r:id="rId58" ref="C67"/>
    <hyperlink r:id="rId59" ref="C68"/>
    <hyperlink r:id="rId60" ref="C69"/>
    <hyperlink r:id="rId61" ref="C70"/>
    <hyperlink r:id="rId62" ref="C71"/>
    <hyperlink r:id="rId63" ref="C72"/>
    <hyperlink r:id="rId64" ref="C73"/>
    <hyperlink r:id="rId65" ref="C74"/>
    <hyperlink r:id="rId66" ref="C75"/>
    <hyperlink r:id="rId67" ref="C76"/>
    <hyperlink r:id="rId68" ref="C77"/>
    <hyperlink r:id="rId69" ref="C78"/>
    <hyperlink r:id="rId70" ref="C79"/>
    <hyperlink r:id="rId71" ref="C80"/>
    <hyperlink r:id="rId72" ref="C81"/>
    <hyperlink r:id="rId73" ref="C82"/>
    <hyperlink r:id="rId74" ref="C83"/>
    <hyperlink r:id="rId75" ref="C84"/>
    <hyperlink r:id="rId76" ref="C85"/>
    <hyperlink r:id="rId77" ref="C86"/>
    <hyperlink r:id="rId78" ref="C87"/>
  </hyperlinks>
  <drawing r:id="rId79"/>
</worksheet>
</file>