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emico\2023-I\APM\Proyecto\Analisis Economico\"/>
    </mc:Choice>
  </mc:AlternateContent>
  <xr:revisionPtr revIDLastSave="0" documentId="13_ncr:1_{A85A8BB4-8FC2-4427-8CB0-C682E32228BF}" xr6:coauthVersionLast="47" xr6:coauthVersionMax="47" xr10:uidLastSave="{00000000-0000-0000-0000-000000000000}"/>
  <bookViews>
    <workbookView xWindow="20370" yWindow="-120" windowWidth="29040" windowHeight="15840" activeTab="4" xr2:uid="{8E60C8B2-404C-47D6-88DC-27F96E8EF9A3}"/>
  </bookViews>
  <sheets>
    <sheet name="Ingreso y Egresos" sheetId="1" r:id="rId1"/>
    <sheet name="Estado Deuda" sheetId="2" r:id="rId2"/>
    <sheet name="Estado de Resultados" sheetId="3" r:id="rId3"/>
    <sheet name="Flujos Efectivo y PayBack" sheetId="4" r:id="rId4"/>
    <sheet name="Cantidad Minima de Lot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8" l="1"/>
  <c r="F6" i="8"/>
  <c r="F7" i="8"/>
  <c r="F8" i="8"/>
  <c r="F4" i="8"/>
  <c r="D5" i="8"/>
  <c r="D6" i="8"/>
  <c r="D7" i="8"/>
  <c r="D8" i="8"/>
  <c r="D4" i="8"/>
  <c r="G8" i="8"/>
  <c r="G7" i="8"/>
  <c r="G6" i="8"/>
  <c r="G5" i="8"/>
  <c r="G4" i="8"/>
  <c r="E4" i="8"/>
  <c r="E5" i="8"/>
  <c r="E6" i="8"/>
  <c r="E8" i="8"/>
  <c r="E7" i="8"/>
  <c r="M10" i="3"/>
  <c r="M30" i="3"/>
  <c r="C3" i="2"/>
  <c r="C4" i="2" s="1"/>
  <c r="D99" i="1"/>
  <c r="C99" i="1"/>
  <c r="D94" i="1"/>
  <c r="C94" i="1"/>
  <c r="D89" i="1"/>
  <c r="C8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12" i="1"/>
  <c r="G13" i="1"/>
  <c r="G14" i="1"/>
  <c r="G15" i="1"/>
  <c r="G16" i="1"/>
  <c r="G17" i="1"/>
  <c r="G18" i="1"/>
  <c r="G11" i="1"/>
  <c r="G70" i="1"/>
  <c r="E70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54" i="1"/>
  <c r="E60" i="1"/>
  <c r="E55" i="1"/>
  <c r="E56" i="1"/>
  <c r="E57" i="1"/>
  <c r="E58" i="1"/>
  <c r="E59" i="1"/>
  <c r="E61" i="1"/>
  <c r="E62" i="1"/>
  <c r="E63" i="1"/>
  <c r="E64" i="1"/>
  <c r="E65" i="1"/>
  <c r="E66" i="1"/>
  <c r="E67" i="1"/>
  <c r="E68" i="1"/>
  <c r="E69" i="1"/>
  <c r="E54" i="1"/>
  <c r="F79" i="1"/>
  <c r="F80" i="1"/>
  <c r="F78" i="1"/>
  <c r="D79" i="1"/>
  <c r="D80" i="1"/>
  <c r="D78" i="1"/>
  <c r="H9" i="3" l="1"/>
  <c r="E29" i="3"/>
  <c r="C9" i="3"/>
  <c r="K9" i="3"/>
  <c r="G9" i="3"/>
  <c r="L29" i="3"/>
  <c r="H29" i="3"/>
  <c r="D29" i="3"/>
  <c r="D9" i="3"/>
  <c r="J9" i="3"/>
  <c r="F9" i="3"/>
  <c r="K29" i="3"/>
  <c r="G29" i="3"/>
  <c r="C29" i="3"/>
  <c r="M9" i="3"/>
  <c r="I9" i="3"/>
  <c r="E9" i="3"/>
  <c r="J29" i="3"/>
  <c r="F29" i="3"/>
  <c r="L9" i="3"/>
  <c r="M29" i="3"/>
  <c r="I29" i="3"/>
  <c r="C101" i="1"/>
  <c r="D101" i="1"/>
  <c r="G71" i="1"/>
  <c r="E71" i="1"/>
  <c r="F81" i="1"/>
  <c r="F82" i="1" s="1"/>
  <c r="F83" i="1" s="1"/>
  <c r="D81" i="1"/>
  <c r="O13" i="1" l="1"/>
  <c r="E26" i="3" s="1"/>
  <c r="O17" i="1"/>
  <c r="I26" i="3" s="1"/>
  <c r="O21" i="1"/>
  <c r="M26" i="3" s="1"/>
  <c r="O14" i="1"/>
  <c r="F26" i="3" s="1"/>
  <c r="O18" i="1"/>
  <c r="J26" i="3" s="1"/>
  <c r="O12" i="1"/>
  <c r="D26" i="3" s="1"/>
  <c r="O11" i="1"/>
  <c r="C26" i="3" s="1"/>
  <c r="O15" i="1"/>
  <c r="G26" i="3" s="1"/>
  <c r="O19" i="1"/>
  <c r="K26" i="3" s="1"/>
  <c r="O16" i="1"/>
  <c r="H26" i="3" s="1"/>
  <c r="O20" i="1"/>
  <c r="L26" i="3" s="1"/>
  <c r="D82" i="1"/>
  <c r="D83" i="1" s="1"/>
  <c r="L15" i="1" l="1"/>
  <c r="G6" i="3" s="1"/>
  <c r="L19" i="1"/>
  <c r="K6" i="3" s="1"/>
  <c r="L16" i="1"/>
  <c r="H6" i="3" s="1"/>
  <c r="L20" i="1"/>
  <c r="L6" i="3" s="1"/>
  <c r="L13" i="1"/>
  <c r="E6" i="3" s="1"/>
  <c r="L17" i="1"/>
  <c r="I6" i="3" s="1"/>
  <c r="L21" i="1"/>
  <c r="M6" i="3" s="1"/>
  <c r="L11" i="1"/>
  <c r="C6" i="3" s="1"/>
  <c r="L14" i="1"/>
  <c r="F6" i="3" s="1"/>
  <c r="L18" i="1"/>
  <c r="J6" i="3" s="1"/>
  <c r="L12" i="1"/>
  <c r="D6" i="3" s="1"/>
  <c r="G49" i="1" l="1"/>
  <c r="C4" i="4" s="1"/>
  <c r="C16" i="4" s="1"/>
  <c r="E11" i="1"/>
  <c r="P10" i="1" l="1"/>
  <c r="Q10" i="1" s="1"/>
  <c r="C12" i="2"/>
  <c r="C6" i="2" s="1"/>
  <c r="E49" i="1"/>
  <c r="C3" i="4" s="1"/>
  <c r="C15" i="4" s="1"/>
  <c r="D12" i="2" l="1"/>
  <c r="C35" i="3" s="1"/>
  <c r="M10" i="1"/>
  <c r="N10" i="1" s="1"/>
  <c r="I12" i="2"/>
  <c r="C7" i="2" s="1"/>
  <c r="J12" i="2" l="1"/>
  <c r="C15" i="3" s="1"/>
  <c r="F12" i="2"/>
  <c r="G72" i="1" s="1"/>
  <c r="G73" i="1" s="1"/>
  <c r="F15" i="2"/>
  <c r="F19" i="2"/>
  <c r="F16" i="2"/>
  <c r="F20" i="2"/>
  <c r="F13" i="2"/>
  <c r="F17" i="2"/>
  <c r="F21" i="2"/>
  <c r="F14" i="2"/>
  <c r="F18" i="2"/>
  <c r="F22" i="2"/>
  <c r="P11" i="1" l="1"/>
  <c r="P19" i="1"/>
  <c r="P13" i="1"/>
  <c r="P12" i="1"/>
  <c r="P18" i="1"/>
  <c r="P17" i="1"/>
  <c r="P16" i="1"/>
  <c r="P21" i="1"/>
  <c r="P15" i="1"/>
  <c r="P20" i="1"/>
  <c r="P14" i="1"/>
  <c r="F23" i="2"/>
  <c r="C13" i="2"/>
  <c r="L22" i="2"/>
  <c r="L18" i="2"/>
  <c r="L14" i="2"/>
  <c r="L21" i="2"/>
  <c r="L17" i="2"/>
  <c r="L13" i="2"/>
  <c r="L20" i="2"/>
  <c r="L16" i="2"/>
  <c r="L12" i="2"/>
  <c r="E72" i="1" s="1"/>
  <c r="E73" i="1" s="1"/>
  <c r="L19" i="2"/>
  <c r="L15" i="2"/>
  <c r="Q11" i="1" l="1"/>
  <c r="C27" i="3"/>
  <c r="Q21" i="1"/>
  <c r="M27" i="3"/>
  <c r="M32" i="3" s="1"/>
  <c r="Q12" i="1"/>
  <c r="D27" i="3"/>
  <c r="Q14" i="1"/>
  <c r="F27" i="3"/>
  <c r="Q16" i="1"/>
  <c r="H27" i="3"/>
  <c r="Q13" i="1"/>
  <c r="E27" i="3"/>
  <c r="Q15" i="1"/>
  <c r="G27" i="3"/>
  <c r="Q18" i="1"/>
  <c r="J27" i="3"/>
  <c r="Q20" i="1"/>
  <c r="L27" i="3"/>
  <c r="Q17" i="1"/>
  <c r="I27" i="3"/>
  <c r="Q19" i="1"/>
  <c r="K27" i="3"/>
  <c r="L23" i="2"/>
  <c r="D13" i="2"/>
  <c r="E13" i="2"/>
  <c r="C30" i="3" s="1"/>
  <c r="I13" i="2"/>
  <c r="C14" i="2" l="1"/>
  <c r="E14" i="2" s="1"/>
  <c r="D30" i="3" s="1"/>
  <c r="D32" i="3" s="1"/>
  <c r="D35" i="3"/>
  <c r="C32" i="3"/>
  <c r="C36" i="3" s="1"/>
  <c r="C37" i="3" s="1"/>
  <c r="C38" i="3" s="1"/>
  <c r="C39" i="3" s="1"/>
  <c r="M11" i="1"/>
  <c r="M13" i="1"/>
  <c r="M16" i="1"/>
  <c r="M14" i="1"/>
  <c r="M21" i="1"/>
  <c r="M20" i="1"/>
  <c r="M18" i="1"/>
  <c r="M15" i="1"/>
  <c r="M17" i="1"/>
  <c r="M12" i="1"/>
  <c r="M19" i="1"/>
  <c r="J13" i="2"/>
  <c r="K13" i="2"/>
  <c r="C10" i="3" s="1"/>
  <c r="D14" i="2"/>
  <c r="D36" i="3" l="1"/>
  <c r="D37" i="3" s="1"/>
  <c r="D38" i="3" s="1"/>
  <c r="E4" i="4" s="1"/>
  <c r="D4" i="4"/>
  <c r="D16" i="4" s="1"/>
  <c r="C40" i="3"/>
  <c r="C41" i="3" s="1"/>
  <c r="C42" i="3" s="1"/>
  <c r="I14" i="2"/>
  <c r="J14" i="2" s="1"/>
  <c r="D15" i="3"/>
  <c r="C15" i="2"/>
  <c r="E15" i="2" s="1"/>
  <c r="E30" i="3" s="1"/>
  <c r="E32" i="3" s="1"/>
  <c r="E35" i="3"/>
  <c r="N20" i="1"/>
  <c r="L7" i="3"/>
  <c r="N17" i="1"/>
  <c r="I7" i="3"/>
  <c r="N21" i="1"/>
  <c r="M7" i="3"/>
  <c r="M12" i="3" s="1"/>
  <c r="N11" i="1"/>
  <c r="C7" i="3"/>
  <c r="C12" i="3" s="1"/>
  <c r="C16" i="3" s="1"/>
  <c r="N13" i="1"/>
  <c r="E7" i="3"/>
  <c r="N14" i="1"/>
  <c r="F7" i="3"/>
  <c r="N12" i="1"/>
  <c r="D7" i="3"/>
  <c r="N15" i="1"/>
  <c r="G7" i="3"/>
  <c r="N19" i="1"/>
  <c r="K7" i="3"/>
  <c r="N18" i="1"/>
  <c r="J7" i="3"/>
  <c r="N16" i="1"/>
  <c r="H7" i="3"/>
  <c r="E16" i="4" l="1"/>
  <c r="D39" i="3"/>
  <c r="D40" i="3" s="1"/>
  <c r="D41" i="3" s="1"/>
  <c r="D42" i="3" s="1"/>
  <c r="D15" i="2"/>
  <c r="F35" i="3" s="1"/>
  <c r="K14" i="2"/>
  <c r="D10" i="3" s="1"/>
  <c r="D12" i="3" s="1"/>
  <c r="D16" i="3" s="1"/>
  <c r="D17" i="3" s="1"/>
  <c r="D18" i="3" s="1"/>
  <c r="I15" i="2"/>
  <c r="K15" i="2" s="1"/>
  <c r="E10" i="3" s="1"/>
  <c r="E12" i="3" s="1"/>
  <c r="E15" i="3"/>
  <c r="E36" i="3"/>
  <c r="E37" i="3" s="1"/>
  <c r="E38" i="3" s="1"/>
  <c r="C17" i="3"/>
  <c r="C18" i="3" s="1"/>
  <c r="C16" i="2" l="1"/>
  <c r="D16" i="2" s="1"/>
  <c r="G35" i="3" s="1"/>
  <c r="E16" i="3"/>
  <c r="E17" i="3" s="1"/>
  <c r="E18" i="3" s="1"/>
  <c r="F3" i="4" s="1"/>
  <c r="J15" i="2"/>
  <c r="I16" i="2" s="1"/>
  <c r="E39" i="3"/>
  <c r="F4" i="4"/>
  <c r="E3" i="4"/>
  <c r="D19" i="3"/>
  <c r="D20" i="3" s="1"/>
  <c r="D21" i="3" s="1"/>
  <c r="D22" i="3" s="1"/>
  <c r="D3" i="4"/>
  <c r="C19" i="3"/>
  <c r="C17" i="2" l="1"/>
  <c r="D17" i="2" s="1"/>
  <c r="H35" i="3" s="1"/>
  <c r="E19" i="3"/>
  <c r="E20" i="3" s="1"/>
  <c r="E21" i="3" s="1"/>
  <c r="E22" i="3" s="1"/>
  <c r="E16" i="2"/>
  <c r="F30" i="3" s="1"/>
  <c r="F32" i="3" s="1"/>
  <c r="F36" i="3" s="1"/>
  <c r="F37" i="3" s="1"/>
  <c r="F38" i="3" s="1"/>
  <c r="K16" i="2"/>
  <c r="F10" i="3" s="1"/>
  <c r="F12" i="3" s="1"/>
  <c r="J16" i="2"/>
  <c r="I17" i="2" s="1"/>
  <c r="F15" i="3"/>
  <c r="E40" i="3"/>
  <c r="E41" i="3" s="1"/>
  <c r="E42" i="3" s="1"/>
  <c r="F16" i="4"/>
  <c r="C18" i="2"/>
  <c r="E18" i="2" s="1"/>
  <c r="H30" i="3" s="1"/>
  <c r="H32" i="3" s="1"/>
  <c r="C20" i="3"/>
  <c r="C21" i="3" s="1"/>
  <c r="C22" i="3" s="1"/>
  <c r="D15" i="4"/>
  <c r="F15" i="4"/>
  <c r="E15" i="4"/>
  <c r="E17" i="2" l="1"/>
  <c r="G30" i="3" s="1"/>
  <c r="G32" i="3" s="1"/>
  <c r="G36" i="3" s="1"/>
  <c r="G37" i="3" s="1"/>
  <c r="G38" i="3" s="1"/>
  <c r="G39" i="3" s="1"/>
  <c r="G40" i="3" s="1"/>
  <c r="G41" i="3" s="1"/>
  <c r="G42" i="3" s="1"/>
  <c r="G4" i="4"/>
  <c r="G16" i="4" s="1"/>
  <c r="F39" i="3"/>
  <c r="F40" i="3" s="1"/>
  <c r="F41" i="3" s="1"/>
  <c r="F42" i="3" s="1"/>
  <c r="G15" i="3"/>
  <c r="J17" i="2"/>
  <c r="I18" i="2" s="1"/>
  <c r="K18" i="2" s="1"/>
  <c r="H10" i="3" s="1"/>
  <c r="H12" i="3" s="1"/>
  <c r="K17" i="2"/>
  <c r="G10" i="3" s="1"/>
  <c r="G12" i="3" s="1"/>
  <c r="D18" i="2"/>
  <c r="I35" i="3" s="1"/>
  <c r="F16" i="3"/>
  <c r="F17" i="3" s="1"/>
  <c r="F18" i="3" s="1"/>
  <c r="H36" i="3"/>
  <c r="H37" i="3" s="1"/>
  <c r="H38" i="3" s="1"/>
  <c r="H4" i="4" l="1"/>
  <c r="H16" i="4" s="1"/>
  <c r="C19" i="2"/>
  <c r="D19" i="2" s="1"/>
  <c r="J35" i="3" s="1"/>
  <c r="H15" i="3"/>
  <c r="H16" i="3" s="1"/>
  <c r="G16" i="3"/>
  <c r="G17" i="3" s="1"/>
  <c r="G18" i="3" s="1"/>
  <c r="G19" i="3" s="1"/>
  <c r="G20" i="3" s="1"/>
  <c r="G21" i="3" s="1"/>
  <c r="G22" i="3" s="1"/>
  <c r="J18" i="2"/>
  <c r="I19" i="2" s="1"/>
  <c r="G3" i="4"/>
  <c r="G15" i="4" s="1"/>
  <c r="F19" i="3"/>
  <c r="F20" i="3" s="1"/>
  <c r="F21" i="3" s="1"/>
  <c r="F22" i="3" s="1"/>
  <c r="I4" i="4"/>
  <c r="H39" i="3"/>
  <c r="C20" i="2" l="1"/>
  <c r="E20" i="2" s="1"/>
  <c r="J30" i="3" s="1"/>
  <c r="J32" i="3" s="1"/>
  <c r="J36" i="3" s="1"/>
  <c r="J37" i="3" s="1"/>
  <c r="J38" i="3" s="1"/>
  <c r="K4" i="4" s="1"/>
  <c r="H3" i="4"/>
  <c r="H15" i="4" s="1"/>
  <c r="E19" i="2"/>
  <c r="I30" i="3" s="1"/>
  <c r="I32" i="3" s="1"/>
  <c r="I36" i="3" s="1"/>
  <c r="I37" i="3" s="1"/>
  <c r="I38" i="3" s="1"/>
  <c r="J4" i="4" s="1"/>
  <c r="I15" i="3"/>
  <c r="J19" i="2"/>
  <c r="I20" i="2" s="1"/>
  <c r="J20" i="2" s="1"/>
  <c r="K19" i="2"/>
  <c r="I10" i="3" s="1"/>
  <c r="I12" i="3" s="1"/>
  <c r="I16" i="4"/>
  <c r="G10" i="4" s="1" a="1"/>
  <c r="G10" i="4" s="1"/>
  <c r="H17" i="3"/>
  <c r="H18" i="3" s="1"/>
  <c r="H40" i="3"/>
  <c r="H41" i="3" s="1"/>
  <c r="H42" i="3" s="1"/>
  <c r="J39" i="3" l="1"/>
  <c r="J40" i="3" s="1"/>
  <c r="J41" i="3" s="1"/>
  <c r="J42" i="3" s="1"/>
  <c r="I39" i="3"/>
  <c r="I40" i="3" s="1"/>
  <c r="I41" i="3" s="1"/>
  <c r="I42" i="3" s="1"/>
  <c r="D20" i="2"/>
  <c r="I16" i="3"/>
  <c r="I17" i="3" s="1"/>
  <c r="I18" i="3" s="1"/>
  <c r="J3" i="4" s="1"/>
  <c r="J15" i="3"/>
  <c r="K20" i="2"/>
  <c r="J10" i="3" s="1"/>
  <c r="J12" i="3" s="1"/>
  <c r="J16" i="3" s="1"/>
  <c r="J17" i="3" s="1"/>
  <c r="J18" i="3" s="1"/>
  <c r="H10" i="4"/>
  <c r="I10" i="4"/>
  <c r="K16" i="4"/>
  <c r="J16" i="4"/>
  <c r="H19" i="3"/>
  <c r="I3" i="4"/>
  <c r="I21" i="2"/>
  <c r="K15" i="3"/>
  <c r="K35" i="3" l="1"/>
  <c r="C21" i="2"/>
  <c r="I19" i="3"/>
  <c r="I20" i="3" s="1"/>
  <c r="I21" i="3" s="1"/>
  <c r="I22" i="3" s="1"/>
  <c r="E10" i="4"/>
  <c r="K3" i="4"/>
  <c r="J19" i="3"/>
  <c r="J20" i="3" s="1"/>
  <c r="J21" i="3" s="1"/>
  <c r="J22" i="3" s="1"/>
  <c r="H20" i="3"/>
  <c r="H21" i="3" s="1"/>
  <c r="H22" i="3" s="1"/>
  <c r="K21" i="2"/>
  <c r="K10" i="3" s="1"/>
  <c r="K12" i="3" s="1"/>
  <c r="K16" i="3" s="1"/>
  <c r="K17" i="3" s="1"/>
  <c r="K18" i="3" s="1"/>
  <c r="J21" i="2"/>
  <c r="K15" i="4"/>
  <c r="I15" i="4"/>
  <c r="J15" i="4"/>
  <c r="E21" i="2" l="1"/>
  <c r="K30" i="3" s="1"/>
  <c r="K32" i="3" s="1"/>
  <c r="K36" i="3" s="1"/>
  <c r="K37" i="3" s="1"/>
  <c r="K38" i="3" s="1"/>
  <c r="D21" i="2"/>
  <c r="L35" i="3" s="1"/>
  <c r="I22" i="2"/>
  <c r="L15" i="3"/>
  <c r="L3" i="4"/>
  <c r="K19" i="3"/>
  <c r="K20" i="3" s="1"/>
  <c r="K21" i="3" s="1"/>
  <c r="K22" i="3" s="1"/>
  <c r="G9" i="4" a="1"/>
  <c r="G9" i="4" s="1"/>
  <c r="K39" i="3" l="1"/>
  <c r="K40" i="3" s="1"/>
  <c r="K41" i="3" s="1"/>
  <c r="K42" i="3" s="1"/>
  <c r="L4" i="4"/>
  <c r="L16" i="4" s="1"/>
  <c r="C22" i="2"/>
  <c r="H9" i="4"/>
  <c r="I9" i="4"/>
  <c r="L15" i="4"/>
  <c r="J22" i="2"/>
  <c r="M15" i="3" s="1"/>
  <c r="M16" i="3" s="1"/>
  <c r="M17" i="3" s="1"/>
  <c r="M18" i="3" s="1"/>
  <c r="K22" i="2"/>
  <c r="L10" i="3" s="1"/>
  <c r="L12" i="3" s="1"/>
  <c r="L16" i="3" s="1"/>
  <c r="L17" i="3" s="1"/>
  <c r="L18" i="3" s="1"/>
  <c r="E22" i="2" l="1"/>
  <c r="L30" i="3" s="1"/>
  <c r="L32" i="3" s="1"/>
  <c r="L36" i="3" s="1"/>
  <c r="L37" i="3" s="1"/>
  <c r="L38" i="3" s="1"/>
  <c r="D22" i="2"/>
  <c r="M35" i="3" s="1"/>
  <c r="M36" i="3" s="1"/>
  <c r="M37" i="3" s="1"/>
  <c r="M38" i="3" s="1"/>
  <c r="M3" i="4"/>
  <c r="L19" i="3"/>
  <c r="M19" i="3"/>
  <c r="M20" i="3" s="1"/>
  <c r="M21" i="3" s="1"/>
  <c r="M22" i="3" s="1"/>
  <c r="N3" i="4"/>
  <c r="E9" i="4"/>
  <c r="N4" i="4" l="1"/>
  <c r="M39" i="3"/>
  <c r="M40" i="3" s="1"/>
  <c r="M41" i="3" s="1"/>
  <c r="M42" i="3" s="1"/>
  <c r="O4" i="4" s="1"/>
  <c r="L39" i="3"/>
  <c r="L40" i="3" s="1"/>
  <c r="L41" i="3" s="1"/>
  <c r="L42" i="3" s="1"/>
  <c r="M4" i="4"/>
  <c r="D9" i="4"/>
  <c r="N15" i="4"/>
  <c r="C9" i="4"/>
  <c r="M15" i="4"/>
  <c r="L20" i="3"/>
  <c r="L21" i="3" s="1"/>
  <c r="L22" i="3" s="1"/>
  <c r="O3" i="4" s="1"/>
  <c r="O15" i="4" s="1"/>
  <c r="O16" i="4" l="1"/>
  <c r="M16" i="4"/>
  <c r="N16" i="4"/>
  <c r="D10" i="4"/>
  <c r="C10" i="4"/>
</calcChain>
</file>

<file path=xl/sharedStrings.xml><?xml version="1.0" encoding="utf-8"?>
<sst xmlns="http://schemas.openxmlformats.org/spreadsheetml/2006/main" count="273" uniqueCount="174">
  <si>
    <t>Cantidad</t>
  </si>
  <si>
    <t>Precio Total</t>
  </si>
  <si>
    <t>Item</t>
  </si>
  <si>
    <t>Estanteria</t>
  </si>
  <si>
    <t>Sistemas de Vigilancia</t>
  </si>
  <si>
    <t>Computadores</t>
  </si>
  <si>
    <t>Capacitación de Personal</t>
  </si>
  <si>
    <t>Software</t>
  </si>
  <si>
    <t>Taladros de Arbol</t>
  </si>
  <si>
    <t>Rebordeadoras</t>
  </si>
  <si>
    <t>EPP</t>
  </si>
  <si>
    <t>Desbastadora</t>
  </si>
  <si>
    <t>Fresadora</t>
  </si>
  <si>
    <t>Precio Unitario</t>
  </si>
  <si>
    <t>SIN AUTOMATIZACION</t>
  </si>
  <si>
    <t>CON AUTOMATIZACION</t>
  </si>
  <si>
    <t>INVERSION INICIAL</t>
  </si>
  <si>
    <t>CNC</t>
  </si>
  <si>
    <t>Robot ABB</t>
  </si>
  <si>
    <t>Empujadores</t>
  </si>
  <si>
    <t>Actuadores  Vastago 480 mm</t>
  </si>
  <si>
    <t>Rodillos Bajada</t>
  </si>
  <si>
    <t>Bandas Transportadora Curva 500 mm</t>
  </si>
  <si>
    <t>Maquinaria</t>
  </si>
  <si>
    <t>Personal</t>
  </si>
  <si>
    <t>Bodega</t>
  </si>
  <si>
    <t>Software Programacion</t>
  </si>
  <si>
    <t>Studio 5000</t>
  </si>
  <si>
    <t>Controlador+ Modulos IO</t>
  </si>
  <si>
    <t>Categoria</t>
  </si>
  <si>
    <t>Costos Legales por Contratacion</t>
  </si>
  <si>
    <t>Pruebas</t>
  </si>
  <si>
    <t>Puesta en marcha</t>
  </si>
  <si>
    <t>Comisión a Ingenieros</t>
  </si>
  <si>
    <t>Honorarios Madematic</t>
  </si>
  <si>
    <t>Utilidad MadeMatic</t>
  </si>
  <si>
    <t>COSTOS MENSUALES FIJOS</t>
  </si>
  <si>
    <t>Empleados</t>
  </si>
  <si>
    <t>Supervisor</t>
  </si>
  <si>
    <t>Operarios</t>
  </si>
  <si>
    <t>Jefe de Planta</t>
  </si>
  <si>
    <t>Consumibles</t>
  </si>
  <si>
    <t>Papeleria</t>
  </si>
  <si>
    <t>Cajas</t>
  </si>
  <si>
    <t>Suministros  Aseo</t>
  </si>
  <si>
    <t>Servicios</t>
  </si>
  <si>
    <t>Agua</t>
  </si>
  <si>
    <t>Energia</t>
  </si>
  <si>
    <t>Vigilancia</t>
  </si>
  <si>
    <t>Internet</t>
  </si>
  <si>
    <t>Arriendo</t>
  </si>
  <si>
    <t>Mantenimiento</t>
  </si>
  <si>
    <t xml:space="preserve">Mantenimiento </t>
  </si>
  <si>
    <t xml:space="preserve"> TOTAL inversion inicial</t>
  </si>
  <si>
    <t>Total Costos Mensuales</t>
  </si>
  <si>
    <t>INGRESOS</t>
  </si>
  <si>
    <t>Cantidad Semanal</t>
  </si>
  <si>
    <t>Repisa</t>
  </si>
  <si>
    <t>Precio Dólar</t>
  </si>
  <si>
    <t>Inflación Anual</t>
  </si>
  <si>
    <t>Cantidad Semanal x Lote</t>
  </si>
  <si>
    <t>Total Ingresos Semanales Promedio</t>
  </si>
  <si>
    <t>Barniz</t>
  </si>
  <si>
    <t>Cambio de herramienta</t>
  </si>
  <si>
    <t>Impuesto a la utilidad</t>
  </si>
  <si>
    <t>Depreciacion Anual Maquinaria</t>
  </si>
  <si>
    <t>SIN Automatización</t>
  </si>
  <si>
    <t>Períodos</t>
  </si>
  <si>
    <t>Ingresos</t>
  </si>
  <si>
    <t>Egresos</t>
  </si>
  <si>
    <t>Flujo de Caja SIN</t>
  </si>
  <si>
    <t>Flujo de Caja CON</t>
  </si>
  <si>
    <t>Inversión Inicial</t>
  </si>
  <si>
    <t>Total Ingresos Mensuales promedio</t>
  </si>
  <si>
    <t>Total Ingresos Anuales Promedio</t>
  </si>
  <si>
    <t>Sensores de Interrupcion</t>
  </si>
  <si>
    <t>Notas</t>
  </si>
  <si>
    <t>El precio corresponde al valor total, donde se incluye el salario del empleado, pension(12%), Salud(8,5%), ARL(0,5%) y Caja de compensacion (4%).</t>
  </si>
  <si>
    <t>Crecimiento en Ventas</t>
  </si>
  <si>
    <t>Margen de Crecimiento en Eficiencia (OEE)</t>
  </si>
  <si>
    <t>Prospecto de Crecimiento</t>
  </si>
  <si>
    <t>Factor Crecimiento</t>
  </si>
  <si>
    <t>Materia Prima</t>
  </si>
  <si>
    <t>Consumibles Personal</t>
  </si>
  <si>
    <t>Sierras de disco (Banco)</t>
  </si>
  <si>
    <t xml:space="preserve">Actuadores  Vastago 180 mm </t>
  </si>
  <si>
    <t>Mesas</t>
  </si>
  <si>
    <t>Sensores Clasificadores</t>
  </si>
  <si>
    <t>Incluye el software de procesamiento</t>
  </si>
  <si>
    <t>Importacion Maquinaria</t>
  </si>
  <si>
    <t>Bandas Transportadora Recta 500 mmx5 m</t>
  </si>
  <si>
    <t>Bandas Transportadora subida 500 mmx1 m</t>
  </si>
  <si>
    <t>Banda Transportadora 800 mmx 1m</t>
  </si>
  <si>
    <t>Sistema neumatico</t>
  </si>
  <si>
    <t>Incliuye: Mangueras,Compresor,  Purificadores, Sensores de presion y caudal</t>
  </si>
  <si>
    <t>Incluye Valvula</t>
  </si>
  <si>
    <t>Incluye controlador robot</t>
  </si>
  <si>
    <t>NX siemens Comisionado</t>
  </si>
  <si>
    <t>Elementos de proteccion electrica</t>
  </si>
  <si>
    <t>Incluye reles, fusibles, guarda motores</t>
  </si>
  <si>
    <t>Lamparas UV</t>
  </si>
  <si>
    <t>Instalación Maquinaria</t>
  </si>
  <si>
    <t>Adecuacion Celda Robotica</t>
  </si>
  <si>
    <t>Licencia perpetua</t>
  </si>
  <si>
    <t>Paradores</t>
  </si>
  <si>
    <t>Precio Competencia</t>
  </si>
  <si>
    <t>SIN Automatizacion</t>
  </si>
  <si>
    <t>CON Automatizacion</t>
  </si>
  <si>
    <t>Organizador</t>
  </si>
  <si>
    <t>Porta Platos</t>
  </si>
  <si>
    <t>CON Automatización</t>
  </si>
  <si>
    <t>Promedio</t>
  </si>
  <si>
    <t>Inflacion</t>
  </si>
  <si>
    <t>Cuota Automatizacion</t>
  </si>
  <si>
    <t>Cuota SIN Automatizacion</t>
  </si>
  <si>
    <t>Datos Supuestos</t>
  </si>
  <si>
    <t>Se pueden encontrar en detalle las refencias de los precios en el anexo 1</t>
  </si>
  <si>
    <t>Interes Anual (Inflacion + Tasa)</t>
  </si>
  <si>
    <t>Deuda CON Automatización</t>
  </si>
  <si>
    <t>Deuda SIN Automatización</t>
  </si>
  <si>
    <t>Capital</t>
  </si>
  <si>
    <t>Interes</t>
  </si>
  <si>
    <t>Amortizacion</t>
  </si>
  <si>
    <t>Pago</t>
  </si>
  <si>
    <t>Total</t>
  </si>
  <si>
    <t>Total Costos Anuales+ Interes</t>
  </si>
  <si>
    <t>Suscripcion Nube+ IGNITION</t>
  </si>
  <si>
    <t>Tasa de interes BANREP</t>
  </si>
  <si>
    <t>Intereses Anuales Prestamo</t>
  </si>
  <si>
    <t>Años del prestamo</t>
  </si>
  <si>
    <t>Se solicita un credito a 10 años usando la tasa de interes del BANREP como referencia en conjunto con la inflacion de 2022</t>
  </si>
  <si>
    <t>ESTADO DE RESULTADO INTEGRAL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</si>
  <si>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</si>
  <si>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</si>
  <si>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</si>
  <si>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</si>
  <si>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</si>
  <si>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</si>
  <si>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</si>
  <si>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</si>
  <si>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</si>
  <si>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</si>
  <si>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Ventas</t>
  </si>
  <si>
    <t xml:space="preserve"> - Egresos de Operación</t>
  </si>
  <si>
    <t>Depreciaciones y Amortizaciones:</t>
  </si>
  <si>
    <t xml:space="preserve"> -Depreciaciones</t>
  </si>
  <si>
    <t xml:space="preserve"> -Amortizaciones</t>
  </si>
  <si>
    <t xml:space="preserve"> +Ganacia o Perd. X Exposic. Inf.</t>
  </si>
  <si>
    <t>Utilidad Operacional</t>
  </si>
  <si>
    <t xml:space="preserve"> +Otros Ingresos</t>
  </si>
  <si>
    <t>Gastos Financieros</t>
  </si>
  <si>
    <t xml:space="preserve"> -Gasto Intereses LP</t>
  </si>
  <si>
    <t>Utilidad Antes de Impuestos</t>
  </si>
  <si>
    <t xml:space="preserve"> -Impuestos</t>
  </si>
  <si>
    <t>Utilidad Neta del Periodo</t>
  </si>
  <si>
    <t>Reserva Legal</t>
  </si>
  <si>
    <t>Superavit de Utilidades del Período</t>
  </si>
  <si>
    <t>Dividendos</t>
  </si>
  <si>
    <t>Utilidades Retenidas del período</t>
  </si>
  <si>
    <t>AÑO 0</t>
  </si>
  <si>
    <t>Los dividendos a los inversionistas seran del 20%</t>
  </si>
  <si>
    <t>Cada analisis se realiza al finalizar el año correspondiente</t>
  </si>
  <si>
    <t>INV Inicial</t>
  </si>
  <si>
    <t>Valor Final</t>
  </si>
  <si>
    <t>Resultados</t>
  </si>
  <si>
    <t>TIR</t>
  </si>
  <si>
    <t>VPN</t>
  </si>
  <si>
    <t>Payback</t>
  </si>
  <si>
    <t>Inflacion Anual Promedio SUPUESTA</t>
  </si>
  <si>
    <t>PARAMETROS CALCULO PAYBACK</t>
  </si>
  <si>
    <t>Gastos</t>
  </si>
  <si>
    <t>Datos usados</t>
  </si>
  <si>
    <t>Lotes</t>
  </si>
  <si>
    <t xml:space="preserve">La produccion se realizara por lotes y la duracion de la fabricacion de un lotes es de 1 semana en condiciones normales.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</si>
</sst>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164" formatCode="&quot;$&quot;\ #,##0.00"/>
    <numFmt numFmtId="165" formatCode="_(&quot;$&quot;* #,##0.00_);_(&quot;$&quot;* \(#,##0.00\);_(&quot;$&quot;* &quot;-&quot;??_);_(@_)"/>
    <numFmt numFmtId="166" formatCode="&quot;$&quot;#,##0.00_);[Red]\(&quot;$&quot;#,##0.00\)"/>
    <numFmt numFmtId="167" formatCode="_-&quot;$&quot;* #,##0_-;\-&quot;$&quot;* #,##0_-;_-&quot;$&quot;* &quot;-&quot;_-;_-@"/>
    <numFmt numFmtId="172" formatCode="&quot;$&quot;#,##0.00;[Red]\-&quot;$&quot;#,##0.00"/>
    <numFmt numFmtId="173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rgb="FF000000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rgb="FFFFE59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E59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E598"/>
      </patternFill>
    </fill>
    <fill>
      <patternFill patternType="solid">
        <fgColor theme="9" tint="0.39997558519241921"/>
        <bgColor rgb="FFFFE598"/>
      </patternFill>
    </fill>
    <fill>
      <patternFill patternType="solid">
        <fgColor theme="8" tint="0.59999389629810485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rgb="FF92D050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2" borderId="1" xfId="0" applyFont="1" applyFill="1" applyBorder="1"/>
    <xf numFmtId="0" fontId="7" fillId="6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3" fillId="0" borderId="1" xfId="0" applyFont="1" applyBorder="1" applyAlignment="1">
      <alignment vertical="center"/>
    </xf>
    <xf numFmtId="44" fontId="0" fillId="0" borderId="1" xfId="0" applyNumberFormat="1" applyBorder="1"/>
    <xf numFmtId="44" fontId="0" fillId="0" borderId="0" xfId="0" applyNumberFormat="1"/>
    <xf numFmtId="44" fontId="0" fillId="9" borderId="1" xfId="0" applyNumberFormat="1" applyFill="1" applyBorder="1"/>
    <xf numFmtId="0" fontId="3" fillId="0" borderId="1" xfId="0" applyFont="1" applyFill="1" applyBorder="1"/>
    <xf numFmtId="0" fontId="3" fillId="0" borderId="4" xfId="0" applyFont="1" applyFill="1" applyBorder="1"/>
    <xf numFmtId="0" fontId="0" fillId="4" borderId="5" xfId="0" applyFill="1" applyBorder="1" applyAlignment="1"/>
    <xf numFmtId="0" fontId="0" fillId="4" borderId="3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6" fillId="5" borderId="2" xfId="0" applyFont="1" applyFill="1" applyBorder="1" applyAlignment="1"/>
    <xf numFmtId="0" fontId="6" fillId="5" borderId="3" xfId="0" applyFont="1" applyFill="1" applyBorder="1" applyAlignment="1"/>
    <xf numFmtId="164" fontId="0" fillId="0" borderId="1" xfId="0" applyNumberFormat="1" applyBorder="1"/>
    <xf numFmtId="0" fontId="0" fillId="10" borderId="1" xfId="0" applyFill="1" applyBorder="1" applyAlignment="1">
      <alignment horizontal="center" vertical="center"/>
    </xf>
    <xf numFmtId="164" fontId="0" fillId="9" borderId="1" xfId="0" applyNumberFormat="1" applyFill="1" applyBorder="1"/>
    <xf numFmtId="0" fontId="0" fillId="0" borderId="1" xfId="0" applyBorder="1" applyAlignment="1">
      <alignment wrapText="1"/>
    </xf>
    <xf numFmtId="164" fontId="0" fillId="0" borderId="4" xfId="0" applyNumberFormat="1" applyFill="1" applyBorder="1"/>
    <xf numFmtId="9" fontId="3" fillId="0" borderId="1" xfId="0" applyNumberFormat="1" applyFont="1" applyBorder="1" applyAlignment="1">
      <alignment horizontal="right"/>
    </xf>
    <xf numFmtId="9" fontId="3" fillId="0" borderId="1" xfId="0" applyNumberFormat="1" applyFont="1" applyBorder="1"/>
    <xf numFmtId="0" fontId="3" fillId="0" borderId="1" xfId="0" applyFont="1" applyBorder="1" applyAlignment="1">
      <alignment wrapText="1"/>
    </xf>
    <xf numFmtId="10" fontId="3" fillId="0" borderId="1" xfId="0" applyNumberFormat="1" applyFont="1" applyBorder="1"/>
    <xf numFmtId="0" fontId="5" fillId="9" borderId="1" xfId="0" applyFont="1" applyFill="1" applyBorder="1"/>
    <xf numFmtId="10" fontId="0" fillId="9" borderId="1" xfId="0" applyNumberForma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10" borderId="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/>
    <xf numFmtId="0" fontId="4" fillId="12" borderId="2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164" fontId="0" fillId="12" borderId="1" xfId="0" applyNumberFormat="1" applyFill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" fillId="0" borderId="1" xfId="0" applyNumberFormat="1" applyFont="1" applyBorder="1"/>
    <xf numFmtId="0" fontId="1" fillId="0" borderId="1" xfId="0" applyFont="1" applyBorder="1"/>
    <xf numFmtId="10" fontId="1" fillId="0" borderId="1" xfId="0" applyNumberFormat="1" applyFont="1" applyBorder="1"/>
    <xf numFmtId="0" fontId="1" fillId="0" borderId="1" xfId="0" applyFont="1" applyBorder="1" applyAlignment="1">
      <alignment wrapText="1"/>
    </xf>
    <xf numFmtId="167" fontId="1" fillId="0" borderId="1" xfId="0" applyNumberFormat="1" applyFont="1" applyBorder="1"/>
    <xf numFmtId="0" fontId="10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3" fontId="12" fillId="0" borderId="1" xfId="0" applyNumberFormat="1" applyFont="1" applyBorder="1"/>
    <xf numFmtId="3" fontId="3" fillId="0" borderId="1" xfId="0" applyNumberFormat="1" applyFont="1" applyBorder="1"/>
    <xf numFmtId="0" fontId="12" fillId="17" borderId="1" xfId="0" applyFont="1" applyFill="1" applyBorder="1"/>
    <xf numFmtId="3" fontId="12" fillId="17" borderId="1" xfId="0" applyNumberFormat="1" applyFont="1" applyFill="1" applyBorder="1"/>
    <xf numFmtId="0" fontId="13" fillId="17" borderId="1" xfId="0" applyFont="1" applyFill="1" applyBorder="1"/>
    <xf numFmtId="3" fontId="3" fillId="17" borderId="1" xfId="0" applyNumberFormat="1" applyFont="1" applyFill="1" applyBorder="1"/>
    <xf numFmtId="0" fontId="12" fillId="18" borderId="1" xfId="0" applyFont="1" applyFill="1" applyBorder="1"/>
    <xf numFmtId="3" fontId="3" fillId="18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7" borderId="1" xfId="0" applyFont="1" applyFill="1" applyBorder="1"/>
    <xf numFmtId="165" fontId="3" fillId="0" borderId="1" xfId="0" applyNumberFormat="1" applyFont="1" applyFill="1" applyBorder="1"/>
    <xf numFmtId="165" fontId="9" fillId="0" borderId="1" xfId="0" applyNumberFormat="1" applyFont="1" applyFill="1" applyBorder="1"/>
    <xf numFmtId="165" fontId="8" fillId="0" borderId="1" xfId="0" applyNumberFormat="1" applyFont="1" applyFill="1" applyBorder="1"/>
    <xf numFmtId="166" fontId="3" fillId="0" borderId="1" xfId="0" applyNumberFormat="1" applyFont="1" applyFill="1" applyBorder="1"/>
    <xf numFmtId="0" fontId="6" fillId="0" borderId="1" xfId="0" applyNumberFormat="1" applyFont="1" applyFill="1" applyBorder="1"/>
    <xf numFmtId="44" fontId="6" fillId="0" borderId="1" xfId="0" applyNumberFormat="1" applyFont="1" applyFill="1" applyBorder="1"/>
    <xf numFmtId="0" fontId="0" fillId="0" borderId="1" xfId="0" applyNumberFormat="1" applyFill="1" applyBorder="1"/>
    <xf numFmtId="44" fontId="0" fillId="0" borderId="1" xfId="0" applyNumberFormat="1" applyFill="1" applyBorder="1"/>
    <xf numFmtId="0" fontId="8" fillId="0" borderId="1" xfId="0" applyFont="1" applyFill="1" applyBorder="1"/>
    <xf numFmtId="164" fontId="8" fillId="0" borderId="1" xfId="0" applyNumberFormat="1" applyFont="1" applyFill="1" applyBorder="1"/>
    <xf numFmtId="164" fontId="3" fillId="0" borderId="1" xfId="0" applyNumberFormat="1" applyFont="1" applyFill="1" applyBorder="1"/>
    <xf numFmtId="0" fontId="0" fillId="7" borderId="1" xfId="0" applyFill="1" applyBorder="1" applyAlignment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6" fillId="22" borderId="2" xfId="0" applyFont="1" applyFill="1" applyBorder="1" applyAlignment="1">
      <alignment horizontal="center"/>
    </xf>
    <xf numFmtId="0" fontId="16" fillId="22" borderId="5" xfId="0" applyFont="1" applyFill="1" applyBorder="1" applyAlignment="1">
      <alignment horizontal="center"/>
    </xf>
    <xf numFmtId="0" fontId="16" fillId="22" borderId="3" xfId="0" applyFont="1" applyFill="1" applyBorder="1" applyAlignment="1">
      <alignment horizontal="center"/>
    </xf>
    <xf numFmtId="0" fontId="15" fillId="22" borderId="2" xfId="0" applyFont="1" applyFill="1" applyBorder="1" applyAlignment="1">
      <alignment horizontal="center"/>
    </xf>
    <xf numFmtId="0" fontId="15" fillId="22" borderId="3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8" fillId="13" borderId="1" xfId="0" applyFont="1" applyFill="1" applyBorder="1"/>
    <xf numFmtId="0" fontId="5" fillId="13" borderId="1" xfId="0" applyFont="1" applyFill="1" applyBorder="1" applyAlignment="1">
      <alignment horizontal="center"/>
    </xf>
    <xf numFmtId="0" fontId="3" fillId="13" borderId="1" xfId="0" applyFont="1" applyFill="1" applyBorder="1"/>
    <xf numFmtId="167" fontId="3" fillId="0" borderId="1" xfId="0" applyNumberFormat="1" applyFont="1" applyBorder="1"/>
    <xf numFmtId="44" fontId="3" fillId="0" borderId="1" xfId="0" applyNumberFormat="1" applyFont="1" applyBorder="1"/>
    <xf numFmtId="167" fontId="3" fillId="11" borderId="1" xfId="0" applyNumberFormat="1" applyFont="1" applyFill="1" applyBorder="1"/>
    <xf numFmtId="0" fontId="5" fillId="14" borderId="1" xfId="0" applyFont="1" applyFill="1" applyBorder="1" applyAlignment="1">
      <alignment horizontal="center"/>
    </xf>
    <xf numFmtId="0" fontId="8" fillId="14" borderId="1" xfId="0" applyFont="1" applyFill="1" applyBorder="1"/>
    <xf numFmtId="0" fontId="5" fillId="14" borderId="1" xfId="0" applyFont="1" applyFill="1" applyBorder="1" applyAlignment="1">
      <alignment horizontal="center"/>
    </xf>
    <xf numFmtId="0" fontId="3" fillId="14" borderId="1" xfId="0" applyFont="1" applyFill="1" applyBorder="1"/>
    <xf numFmtId="167" fontId="3" fillId="0" borderId="1" xfId="0" applyNumberFormat="1" applyFont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167" fontId="3" fillId="7" borderId="1" xfId="0" applyNumberFormat="1" applyFont="1" applyFill="1" applyBorder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167" fontId="3" fillId="7" borderId="1" xfId="0" applyNumberFormat="1" applyFont="1" applyFill="1" applyBorder="1"/>
    <xf numFmtId="0" fontId="5" fillId="14" borderId="1" xfId="0" applyFont="1" applyFill="1" applyBorder="1"/>
    <xf numFmtId="0" fontId="5" fillId="13" borderId="1" xfId="0" applyFont="1" applyFill="1" applyBorder="1"/>
    <xf numFmtId="3" fontId="3" fillId="0" borderId="1" xfId="0" applyNumberFormat="1" applyFont="1" applyBorder="1" applyAlignment="1">
      <alignment horizontal="center"/>
    </xf>
    <xf numFmtId="165" fontId="10" fillId="0" borderId="1" xfId="0" applyNumberFormat="1" applyFont="1" applyBorder="1"/>
    <xf numFmtId="0" fontId="10" fillId="0" borderId="1" xfId="0" applyFont="1" applyBorder="1" applyAlignment="1">
      <alignment horizontal="center"/>
    </xf>
    <xf numFmtId="172" fontId="3" fillId="0" borderId="1" xfId="0" applyNumberFormat="1" applyFont="1" applyBorder="1"/>
    <xf numFmtId="173" fontId="10" fillId="0" borderId="1" xfId="0" applyNumberFormat="1" applyFont="1" applyBorder="1" applyAlignment="1">
      <alignment horizontal="center"/>
    </xf>
    <xf numFmtId="10" fontId="3" fillId="20" borderId="1" xfId="0" applyNumberFormat="1" applyFont="1" applyFill="1" applyBorder="1"/>
    <xf numFmtId="172" fontId="3" fillId="21" borderId="1" xfId="0" applyNumberFormat="1" applyFont="1" applyFill="1" applyBorder="1"/>
    <xf numFmtId="173" fontId="10" fillId="21" borderId="1" xfId="0" applyNumberFormat="1" applyFont="1" applyFill="1" applyBorder="1" applyAlignment="1">
      <alignment horizontal="center"/>
    </xf>
    <xf numFmtId="0" fontId="5" fillId="23" borderId="1" xfId="0" applyFont="1" applyFill="1" applyBorder="1"/>
    <xf numFmtId="9" fontId="3" fillId="0" borderId="1" xfId="0" applyNumberFormat="1" applyFont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4" fillId="19" borderId="1" xfId="0" applyFont="1" applyFill="1" applyBorder="1"/>
    <xf numFmtId="165" fontId="14" fillId="19" borderId="1" xfId="0" applyNumberFormat="1" applyFont="1" applyFill="1" applyBorder="1"/>
    <xf numFmtId="3" fontId="3" fillId="0" borderId="1" xfId="0" applyNumberFormat="1" applyFont="1" applyFill="1" applyBorder="1"/>
    <xf numFmtId="0" fontId="0" fillId="0" borderId="1" xfId="0" applyFill="1" applyBorder="1"/>
    <xf numFmtId="167" fontId="3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Cantidad</a:t>
            </a:r>
            <a:r>
              <a:rPr lang="es-CO" baseline="0"/>
              <a:t> Minima de Lotes al Mes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Ingresos SIN Automatizacion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'Cantidad Minima de Lotes'!$D$4:$D$8</c:f>
              <c:numCache>
                <c:formatCode>_-"$"* #,##0_-;\-"$"* #,##0_-;_-"$"* "-"_-;_-@</c:formatCode>
                <c:ptCount val="5"/>
                <c:pt idx="0">
                  <c:v>23411666.666666668</c:v>
                </c:pt>
                <c:pt idx="1">
                  <c:v>46823333.333333336</c:v>
                </c:pt>
                <c:pt idx="2">
                  <c:v>70235000</c:v>
                </c:pt>
                <c:pt idx="3">
                  <c:v>93646666.666666672</c:v>
                </c:pt>
                <c:pt idx="4">
                  <c:v>117058333.33333333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6-404D-8ED8-5400343732DB}"/>
            </c:ext>
          </c:extLst>
        </c:ser>
        <c:ser>
          <c:idx val="0"/>
          <c:order val="1"/>
          <c:tx>
            <c:v>Gastos SIN Automatizacion</c:v>
          </c:tx>
          <c:spPr>
            <a:ln w="28575" cap="rnd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'Cantidad Minima de Lotes'!$E$4:$E$8</c:f>
              <c:numCache>
                <c:formatCode>_-"$"* #,##0_-;\-"$"* #,##0_-;_-"$"* "-"_-;_-@</c:formatCode>
                <c:ptCount val="5"/>
                <c:pt idx="0">
                  <c:v>74738019.632134646</c:v>
                </c:pt>
                <c:pt idx="1">
                  <c:v>80713019.632134646</c:v>
                </c:pt>
                <c:pt idx="2">
                  <c:v>86688019.632134646</c:v>
                </c:pt>
                <c:pt idx="3">
                  <c:v>92663019.632134646</c:v>
                </c:pt>
                <c:pt idx="4">
                  <c:v>98638019.632134646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66-404D-8ED8-5400343732DB}"/>
            </c:ext>
          </c:extLst>
        </c:ser>
        <c:ser>
          <c:idx val="2"/>
          <c:order val="2"/>
          <c:tx>
            <c:v>Ingresos CON Automatizacion</c:v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'Cantidad Minima de Lotes'!$F$4:$F$8</c:f>
              <c:numCache>
                <c:formatCode>_-"$"* #,##0_-;\-"$"* #,##0_-;_-"$"* "-"_-;_-@</c:formatCode>
                <c:ptCount val="5"/>
                <c:pt idx="0">
                  <c:v>58171666.666666672</c:v>
                </c:pt>
                <c:pt idx="1">
                  <c:v>116343333.33333334</c:v>
                </c:pt>
                <c:pt idx="2">
                  <c:v>174515000</c:v>
                </c:pt>
                <c:pt idx="3">
                  <c:v>232686666.66666669</c:v>
                </c:pt>
                <c:pt idx="4">
                  <c:v>290858333.33333337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66-404D-8ED8-5400343732DB}"/>
            </c:ext>
          </c:extLst>
        </c:ser>
        <c:ser>
          <c:idx val="3"/>
          <c:order val="3"/>
          <c:tx>
            <c:v>Gastos CON Automatizacion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'Cantidad Minima de Lotes'!$G$4:$G$8</c:f>
              <c:numCache>
                <c:formatCode>_-"$"* #,##0_-;\-"$"* #,##0_-;_-"$"* "-"_-;_-@</c:formatCode>
                <c:ptCount val="5"/>
                <c:pt idx="0">
                  <c:v>165734144.05697939</c:v>
                </c:pt>
                <c:pt idx="1">
                  <c:v>183634144.05697939</c:v>
                </c:pt>
                <c:pt idx="2">
                  <c:v>201534144.05697939</c:v>
                </c:pt>
                <c:pt idx="3">
                  <c:v>219434144.05697939</c:v>
                </c:pt>
                <c:pt idx="4">
                  <c:v>237334144.05697939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66-404D-8ED8-5400343732D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658768"/>
        <c:axId val="1822653360"/>
      </c:lineChart>
      <c:catAx>
        <c:axId val="182265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aseline="0"/>
                  <a:t>Cantidad de Lotes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2653360"/>
        <c:crosses val="autoZero"/>
        <c:auto val="1"/>
        <c:lblAlgn val="ctr"/>
        <c:lblOffset val="100"/>
        <c:noMultiLvlLbl val="0"/>
      </c:catAx>
      <c:valAx>
        <c:axId val="18226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-&quot;$&quot;* #,##0_-;\-&quot;$&quot;* #,##0_-;_-&quot;$&quot;* &quot;-&quot;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265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666749</xdr:colOff>
      <xdr:row>9</xdr:row>
      <xdr:rowOff>100011</xdr:rowOff>
    </xdr:from>
    <xdr:to>
      <xdr:col>12</xdr:col>
      <xdr:colOff>57149</xdr:colOff>
      <xdr:row>31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8BB3C44-FED2-4F2B-D2A7-4CF4D8987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5D43-1DC7-4859-AF1D-56DCC635A310}">
  <dimension ref="A2:Q101"/>
  <sheetViews>
    <sheetView topLeftCell="A49" zoomScale="91" zoomScaleNormal="91" workbookViewId="0">
      <selection activeCell="H82" sqref="H82"/>
    </sheetView>
  </sheetViews>
  <sheetFormatPr baseColWidth="10" defaultRowHeight="15" x14ac:dyDescent="0.25"/>
  <cols>
    <col min="1" max="1" width="17.42578125" customWidth="1"/>
    <col min="2" max="2" width="41.85546875" bestFit="1" customWidth="1"/>
    <col min="3" max="3" width="26.7109375" customWidth="1"/>
    <col min="4" max="4" width="21.28515625" customWidth="1"/>
    <col min="5" max="5" width="22.140625" bestFit="1" customWidth="1"/>
    <col min="6" max="6" width="21.5703125" customWidth="1"/>
    <col min="7" max="7" width="23.7109375" customWidth="1"/>
    <col min="8" max="8" width="78.85546875" customWidth="1"/>
    <col min="11" max="11" width="18.28515625" customWidth="1"/>
    <col min="12" max="12" width="24.140625" customWidth="1"/>
    <col min="13" max="13" width="31.42578125" customWidth="1"/>
    <col min="14" max="14" width="32.28515625" customWidth="1"/>
    <col min="15" max="15" width="26.42578125" customWidth="1"/>
    <col min="16" max="16" width="30.42578125" customWidth="1"/>
    <col min="17" max="17" width="18.140625" bestFit="1" customWidth="1"/>
  </cols>
  <sheetData>
    <row r="2" spans="1:17" ht="21" x14ac:dyDescent="0.35">
      <c r="B2" s="116" t="s">
        <v>171</v>
      </c>
      <c r="C2" s="116"/>
    </row>
    <row r="3" spans="1:17" x14ac:dyDescent="0.25">
      <c r="B3" s="2" t="s">
        <v>58</v>
      </c>
      <c r="C3" s="2">
        <v>4500</v>
      </c>
    </row>
    <row r="4" spans="1:17" x14ac:dyDescent="0.25">
      <c r="B4" s="2" t="s">
        <v>59</v>
      </c>
      <c r="C4" s="28">
        <v>0.13</v>
      </c>
    </row>
    <row r="5" spans="1:17" x14ac:dyDescent="0.25">
      <c r="B5" s="2" t="s">
        <v>64</v>
      </c>
      <c r="C5" s="28">
        <v>0.35</v>
      </c>
    </row>
    <row r="6" spans="1:17" x14ac:dyDescent="0.25">
      <c r="B6" s="2" t="s">
        <v>65</v>
      </c>
      <c r="C6" s="29">
        <v>0.05</v>
      </c>
    </row>
    <row r="8" spans="1:17" ht="23.25" x14ac:dyDescent="0.35">
      <c r="A8" s="58" t="s">
        <v>16</v>
      </c>
      <c r="B8" s="58"/>
      <c r="C8" s="58"/>
      <c r="D8" s="58"/>
      <c r="E8" s="58"/>
      <c r="F8" s="58"/>
      <c r="G8" s="58"/>
      <c r="H8" s="62" t="s">
        <v>116</v>
      </c>
      <c r="K8" s="93"/>
      <c r="L8" s="89" t="s">
        <v>66</v>
      </c>
      <c r="M8" s="89"/>
      <c r="N8" s="89"/>
      <c r="O8" s="91" t="s">
        <v>110</v>
      </c>
      <c r="P8" s="91"/>
      <c r="Q8" s="91"/>
    </row>
    <row r="9" spans="1:17" x14ac:dyDescent="0.25">
      <c r="A9" s="55"/>
      <c r="B9" s="55"/>
      <c r="C9" s="55"/>
      <c r="D9" s="56" t="s">
        <v>14</v>
      </c>
      <c r="E9" s="56"/>
      <c r="F9" s="57" t="s">
        <v>15</v>
      </c>
      <c r="G9" s="57"/>
      <c r="H9" s="24" t="s">
        <v>76</v>
      </c>
      <c r="K9" s="94" t="s">
        <v>67</v>
      </c>
      <c r="L9" s="90" t="s">
        <v>68</v>
      </c>
      <c r="M9" s="90" t="s">
        <v>69</v>
      </c>
      <c r="N9" s="90" t="s">
        <v>70</v>
      </c>
      <c r="O9" s="92" t="s">
        <v>68</v>
      </c>
      <c r="P9" s="92" t="s">
        <v>69</v>
      </c>
      <c r="Q9" s="92" t="s">
        <v>71</v>
      </c>
    </row>
    <row r="10" spans="1:17" x14ac:dyDescent="0.25">
      <c r="A10" s="9" t="s">
        <v>29</v>
      </c>
      <c r="B10" s="10" t="s">
        <v>2</v>
      </c>
      <c r="C10" s="10" t="s">
        <v>13</v>
      </c>
      <c r="D10" s="8" t="s">
        <v>0</v>
      </c>
      <c r="E10" s="8" t="s">
        <v>1</v>
      </c>
      <c r="F10" s="7" t="s">
        <v>0</v>
      </c>
      <c r="G10" s="7" t="s">
        <v>1</v>
      </c>
      <c r="H10" s="1"/>
      <c r="K10" s="95" t="s">
        <v>72</v>
      </c>
      <c r="L10" s="96"/>
      <c r="M10" s="96">
        <f>E49</f>
        <v>200700000</v>
      </c>
      <c r="N10" s="97">
        <f>L10-M10</f>
        <v>-200700000</v>
      </c>
      <c r="O10" s="15"/>
      <c r="P10" s="96">
        <f>G49</f>
        <v>907300000</v>
      </c>
      <c r="Q10" s="99">
        <f t="shared" ref="Q10" si="0">O10-P10</f>
        <v>-907300000</v>
      </c>
    </row>
    <row r="11" spans="1:17" x14ac:dyDescent="0.25">
      <c r="A11" s="41" t="s">
        <v>23</v>
      </c>
      <c r="B11" s="11" t="s">
        <v>89</v>
      </c>
      <c r="C11" s="12">
        <v>5000000</v>
      </c>
      <c r="D11" s="100">
        <v>0</v>
      </c>
      <c r="E11" s="101">
        <f>D11*C11</f>
        <v>0</v>
      </c>
      <c r="F11" s="102">
        <v>2</v>
      </c>
      <c r="G11" s="103">
        <f>F11*C11</f>
        <v>10000000</v>
      </c>
      <c r="H11" s="1"/>
      <c r="K11" s="93">
        <v>0</v>
      </c>
      <c r="L11" s="96">
        <f>$D$83*(1+$C$4)^K11</f>
        <v>1149300000</v>
      </c>
      <c r="M11" s="96">
        <f>$E$73*(1+$C$4)^K11</f>
        <v>1111956235.5856156</v>
      </c>
      <c r="N11" s="98">
        <f t="shared" ref="N11" si="1">L11-M11</f>
        <v>37343764.414384365</v>
      </c>
      <c r="O11" s="96">
        <f>$F$83*(1+$C$4)^K11</f>
        <v>2855700000</v>
      </c>
      <c r="P11" s="96">
        <f>($G$73)*(1+$C$4)^K11</f>
        <v>2633209728.6837525</v>
      </c>
      <c r="Q11" s="99">
        <f>O11-P11</f>
        <v>222490271.31624746</v>
      </c>
    </row>
    <row r="12" spans="1:17" x14ac:dyDescent="0.25">
      <c r="A12" s="41"/>
      <c r="B12" s="4" t="s">
        <v>8</v>
      </c>
      <c r="C12" s="12">
        <v>10000000</v>
      </c>
      <c r="D12" s="100">
        <v>2</v>
      </c>
      <c r="E12" s="101">
        <f t="shared" ref="E12:E48" si="2">D12*C12</f>
        <v>20000000</v>
      </c>
      <c r="F12" s="102">
        <v>2</v>
      </c>
      <c r="G12" s="103">
        <f t="shared" ref="G12:G48" si="3">F12*C12</f>
        <v>20000000</v>
      </c>
      <c r="H12" s="1"/>
      <c r="K12" s="93">
        <v>1</v>
      </c>
      <c r="L12" s="96">
        <f>$D$83*(1+$C$4)^K12</f>
        <v>1298708999.9999998</v>
      </c>
      <c r="M12" s="96">
        <f>$E$73*(1+$C$4)^K12</f>
        <v>1256510546.2117455</v>
      </c>
      <c r="N12" s="98">
        <f t="shared" ref="N12:N21" si="4">L12-M12</f>
        <v>42198453.788254261</v>
      </c>
      <c r="O12" s="96">
        <f>$F$83*(1+$C$4)^K12</f>
        <v>3226940999.9999995</v>
      </c>
      <c r="P12" s="96">
        <f>($G$73)*(1+$C$4)^K12</f>
        <v>2975526993.4126401</v>
      </c>
      <c r="Q12" s="99">
        <f>O12-P12</f>
        <v>251414006.58735943</v>
      </c>
    </row>
    <row r="13" spans="1:17" x14ac:dyDescent="0.25">
      <c r="A13" s="41"/>
      <c r="B13" s="5" t="s">
        <v>84</v>
      </c>
      <c r="C13" s="12">
        <v>5000000</v>
      </c>
      <c r="D13" s="100">
        <v>5</v>
      </c>
      <c r="E13" s="101">
        <f t="shared" si="2"/>
        <v>25000000</v>
      </c>
      <c r="F13" s="102">
        <v>0</v>
      </c>
      <c r="G13" s="103">
        <f t="shared" si="3"/>
        <v>0</v>
      </c>
      <c r="H13" s="1"/>
      <c r="K13" s="93">
        <v>2</v>
      </c>
      <c r="L13" s="96">
        <f>$D$83*(1+$C$4)^K13</f>
        <v>1467541169.9999998</v>
      </c>
      <c r="M13" s="96">
        <f>$E$73*(1+$C$4)^K13</f>
        <v>1419856917.2192724</v>
      </c>
      <c r="N13" s="98">
        <f t="shared" si="4"/>
        <v>47684252.780727386</v>
      </c>
      <c r="O13" s="96">
        <f>$F$83*(1+$C$4)^K13</f>
        <v>3646443329.999999</v>
      </c>
      <c r="P13" s="96">
        <f>($G$73)*(1+$C$4)^K13</f>
        <v>3362345502.556283</v>
      </c>
      <c r="Q13" s="99">
        <f>O13-P13</f>
        <v>284097827.44371605</v>
      </c>
    </row>
    <row r="14" spans="1:17" x14ac:dyDescent="0.25">
      <c r="A14" s="41"/>
      <c r="B14" s="4" t="s">
        <v>11</v>
      </c>
      <c r="C14" s="12">
        <v>600000</v>
      </c>
      <c r="D14" s="100">
        <v>6</v>
      </c>
      <c r="E14" s="101">
        <f t="shared" si="2"/>
        <v>3600000</v>
      </c>
      <c r="F14" s="102">
        <v>0</v>
      </c>
      <c r="G14" s="103">
        <f t="shared" si="3"/>
        <v>0</v>
      </c>
      <c r="H14" s="1"/>
      <c r="K14" s="93">
        <v>3</v>
      </c>
      <c r="L14" s="96">
        <f>$D$83*(1+$C$4)^K14</f>
        <v>1658321522.0999994</v>
      </c>
      <c r="M14" s="96">
        <f>$E$73*(1+$C$4)^K14</f>
        <v>1604438316.4577775</v>
      </c>
      <c r="N14" s="98">
        <f t="shared" si="4"/>
        <v>53883205.642221928</v>
      </c>
      <c r="O14" s="96">
        <f>$F$83*(1+$C$4)^K14</f>
        <v>4120480962.8999982</v>
      </c>
      <c r="P14" s="96">
        <f>($G$73)*(1+$C$4)^K14</f>
        <v>3799450417.8885989</v>
      </c>
      <c r="Q14" s="99">
        <f>O14-P14</f>
        <v>321030545.01139927</v>
      </c>
    </row>
    <row r="15" spans="1:17" x14ac:dyDescent="0.25">
      <c r="A15" s="41"/>
      <c r="B15" s="4" t="s">
        <v>9</v>
      </c>
      <c r="C15" s="12">
        <v>1500000</v>
      </c>
      <c r="D15" s="100">
        <v>4</v>
      </c>
      <c r="E15" s="101">
        <f t="shared" si="2"/>
        <v>6000000</v>
      </c>
      <c r="F15" s="102">
        <v>4</v>
      </c>
      <c r="G15" s="103">
        <f t="shared" si="3"/>
        <v>6000000</v>
      </c>
      <c r="H15" s="1"/>
      <c r="K15" s="93">
        <v>4</v>
      </c>
      <c r="L15" s="96">
        <f>$D$83*(1+$C$4)^K15</f>
        <v>1873903319.9729991</v>
      </c>
      <c r="M15" s="96">
        <f>$E$73*(1+$C$4)^K15</f>
        <v>1813015297.5972884</v>
      </c>
      <c r="N15" s="98">
        <f t="shared" si="4"/>
        <v>60888022.375710726</v>
      </c>
      <c r="O15" s="96">
        <f>$F$83*(1+$C$4)^K15</f>
        <v>4656143488.0769978</v>
      </c>
      <c r="P15" s="96">
        <f>($G$73)*(1+$C$4)^K15</f>
        <v>4293378972.2141166</v>
      </c>
      <c r="Q15" s="99">
        <f>O15-P15</f>
        <v>362764515.86288118</v>
      </c>
    </row>
    <row r="16" spans="1:17" x14ac:dyDescent="0.25">
      <c r="A16" s="41"/>
      <c r="B16" s="4" t="s">
        <v>12</v>
      </c>
      <c r="C16" s="12">
        <v>1200000</v>
      </c>
      <c r="D16" s="100">
        <v>5</v>
      </c>
      <c r="E16" s="101">
        <f t="shared" si="2"/>
        <v>6000000</v>
      </c>
      <c r="F16" s="102">
        <v>0</v>
      </c>
      <c r="G16" s="103">
        <f t="shared" si="3"/>
        <v>0</v>
      </c>
      <c r="H16" s="1"/>
      <c r="K16" s="93">
        <v>5</v>
      </c>
      <c r="L16" s="96">
        <f>$D$83*(1+$C$4)^K16</f>
        <v>2117510751.5694888</v>
      </c>
      <c r="M16" s="96">
        <f>$E$73*(1+$C$4)^K16</f>
        <v>2048707286.2849355</v>
      </c>
      <c r="N16" s="98">
        <f t="shared" si="4"/>
        <v>68803465.284553289</v>
      </c>
      <c r="O16" s="96">
        <f>$F$83*(1+$C$4)^K16</f>
        <v>5261442141.5270071</v>
      </c>
      <c r="P16" s="96">
        <f>($G$73)*(1+$C$4)^K16</f>
        <v>4851518238.6019506</v>
      </c>
      <c r="Q16" s="99">
        <f>O16-P16</f>
        <v>409923902.92505646</v>
      </c>
    </row>
    <row r="17" spans="1:17" x14ac:dyDescent="0.25">
      <c r="A17" s="41"/>
      <c r="B17" s="3" t="s">
        <v>3</v>
      </c>
      <c r="C17" s="12">
        <v>1300000</v>
      </c>
      <c r="D17" s="100">
        <v>2</v>
      </c>
      <c r="E17" s="101">
        <f t="shared" si="2"/>
        <v>2600000</v>
      </c>
      <c r="F17" s="102">
        <v>3</v>
      </c>
      <c r="G17" s="103">
        <f t="shared" si="3"/>
        <v>3900000</v>
      </c>
      <c r="H17" s="1"/>
      <c r="K17" s="93">
        <v>6</v>
      </c>
      <c r="L17" s="96">
        <f>$D$83*(1+$C$4)^K17</f>
        <v>2392787149.2735219</v>
      </c>
      <c r="M17" s="96">
        <f>$E$73*(1+$C$4)^K17</f>
        <v>2315039233.5019765</v>
      </c>
      <c r="N17" s="98">
        <f t="shared" si="4"/>
        <v>77747915.77154541</v>
      </c>
      <c r="O17" s="96">
        <f>$F$83*(1+$C$4)^K17</f>
        <v>5945429619.9255161</v>
      </c>
      <c r="P17" s="96">
        <f>($G$73)*(1+$C$4)^K17</f>
        <v>5482215609.620204</v>
      </c>
      <c r="Q17" s="99">
        <f>O17-P17</f>
        <v>463214010.30531216</v>
      </c>
    </row>
    <row r="18" spans="1:17" x14ac:dyDescent="0.25">
      <c r="A18" s="41"/>
      <c r="B18" s="5" t="s">
        <v>17</v>
      </c>
      <c r="C18" s="12">
        <v>80000000</v>
      </c>
      <c r="D18" s="100">
        <v>0</v>
      </c>
      <c r="E18" s="101">
        <f t="shared" si="2"/>
        <v>0</v>
      </c>
      <c r="F18" s="102">
        <v>1</v>
      </c>
      <c r="G18" s="103">
        <f t="shared" si="3"/>
        <v>80000000</v>
      </c>
      <c r="H18" s="1"/>
      <c r="K18" s="93">
        <v>7</v>
      </c>
      <c r="L18" s="96">
        <f>$D$83*(1+$C$4)^K18</f>
        <v>2703849478.6790795</v>
      </c>
      <c r="M18" s="96">
        <f>$E$73*(1+$C$4)^K18</f>
        <v>2615994333.8572335</v>
      </c>
      <c r="N18" s="98">
        <f t="shared" si="4"/>
        <v>87855144.821846008</v>
      </c>
      <c r="O18" s="96">
        <f>$F$83*(1+$C$4)^K18</f>
        <v>6718335470.5158329</v>
      </c>
      <c r="P18" s="96">
        <f>($G$73)*(1+$C$4)^K18</f>
        <v>6194903638.8708296</v>
      </c>
      <c r="Q18" s="99">
        <f>O18-P18</f>
        <v>523431831.64500332</v>
      </c>
    </row>
    <row r="19" spans="1:17" x14ac:dyDescent="0.25">
      <c r="A19" s="41"/>
      <c r="B19" s="5" t="s">
        <v>93</v>
      </c>
      <c r="C19" s="12">
        <v>30000000</v>
      </c>
      <c r="D19" s="100">
        <v>0</v>
      </c>
      <c r="E19" s="101">
        <f t="shared" si="2"/>
        <v>0</v>
      </c>
      <c r="F19" s="102">
        <v>1</v>
      </c>
      <c r="G19" s="103">
        <f t="shared" si="3"/>
        <v>30000000</v>
      </c>
      <c r="H19" s="1" t="s">
        <v>94</v>
      </c>
      <c r="K19" s="93">
        <v>8</v>
      </c>
      <c r="L19" s="96">
        <f>$D$83*(1+$C$4)^K19</f>
        <v>3055349910.9073596</v>
      </c>
      <c r="M19" s="96">
        <f>$E$73*(1+$C$4)^K19</f>
        <v>2956073597.2586737</v>
      </c>
      <c r="N19" s="98">
        <f t="shared" si="4"/>
        <v>99276313.648685932</v>
      </c>
      <c r="O19" s="96">
        <f>$F$83*(1+$C$4)^K19</f>
        <v>7591719081.6828918</v>
      </c>
      <c r="P19" s="96">
        <f>($G$73)*(1+$C$4)^K19</f>
        <v>7000241111.924037</v>
      </c>
      <c r="Q19" s="99">
        <f>O19-P19</f>
        <v>591477969.75885487</v>
      </c>
    </row>
    <row r="20" spans="1:17" x14ac:dyDescent="0.25">
      <c r="A20" s="41"/>
      <c r="B20" s="5" t="s">
        <v>85</v>
      </c>
      <c r="C20" s="12">
        <v>300000</v>
      </c>
      <c r="D20" s="100">
        <v>0</v>
      </c>
      <c r="E20" s="101">
        <f t="shared" si="2"/>
        <v>0</v>
      </c>
      <c r="F20" s="102">
        <v>18</v>
      </c>
      <c r="G20" s="103">
        <f t="shared" si="3"/>
        <v>5400000</v>
      </c>
      <c r="H20" s="1" t="s">
        <v>95</v>
      </c>
      <c r="K20" s="93">
        <v>9</v>
      </c>
      <c r="L20" s="96">
        <f>$D$83*(1+$C$4)^K20</f>
        <v>3452545399.325316</v>
      </c>
      <c r="M20" s="96">
        <f>$E$73*(1+$C$4)^K20</f>
        <v>3340363164.9023013</v>
      </c>
      <c r="N20" s="98">
        <f t="shared" si="4"/>
        <v>112182234.42301464</v>
      </c>
      <c r="O20" s="96">
        <f>$F$83*(1+$C$4)^K20</f>
        <v>8578642562.3016663</v>
      </c>
      <c r="P20" s="96">
        <f>($G$73)*(1+$C$4)^K20</f>
        <v>7910272456.4741611</v>
      </c>
      <c r="Q20" s="99">
        <f>O20-P20</f>
        <v>668370105.82750511</v>
      </c>
    </row>
    <row r="21" spans="1:17" x14ac:dyDescent="0.25">
      <c r="A21" s="41"/>
      <c r="B21" s="5" t="s">
        <v>20</v>
      </c>
      <c r="C21" s="12">
        <v>600000</v>
      </c>
      <c r="D21" s="100">
        <v>0</v>
      </c>
      <c r="E21" s="101">
        <f t="shared" si="2"/>
        <v>0</v>
      </c>
      <c r="F21" s="102">
        <v>10</v>
      </c>
      <c r="G21" s="103">
        <f t="shared" si="3"/>
        <v>6000000</v>
      </c>
      <c r="H21" s="1" t="s">
        <v>95</v>
      </c>
      <c r="K21" s="93">
        <v>10</v>
      </c>
      <c r="L21" s="96">
        <f>$D$83*(1+$C$4)^K21</f>
        <v>3901376301.2376065</v>
      </c>
      <c r="M21" s="96">
        <f>$E$73*(1+$C$4)^K21</f>
        <v>3774610376.3395996</v>
      </c>
      <c r="N21" s="98">
        <f t="shared" si="4"/>
        <v>126765924.89800692</v>
      </c>
      <c r="O21" s="96">
        <f>$F$83*(1+$C$4)^K21</f>
        <v>9693866095.4008808</v>
      </c>
      <c r="P21" s="96">
        <f>($G$73)*(1+$C$4)^K21</f>
        <v>8938607875.8158016</v>
      </c>
      <c r="Q21" s="99">
        <f>O21-P21</f>
        <v>755258219.58507919</v>
      </c>
    </row>
    <row r="22" spans="1:17" x14ac:dyDescent="0.25">
      <c r="A22" s="41"/>
      <c r="B22" s="5" t="s">
        <v>18</v>
      </c>
      <c r="C22" s="12">
        <v>250000000</v>
      </c>
      <c r="D22" s="100">
        <v>0</v>
      </c>
      <c r="E22" s="101">
        <f t="shared" si="2"/>
        <v>0</v>
      </c>
      <c r="F22" s="102">
        <v>1</v>
      </c>
      <c r="G22" s="103">
        <f t="shared" si="3"/>
        <v>250000000</v>
      </c>
      <c r="H22" s="1" t="s">
        <v>96</v>
      </c>
    </row>
    <row r="23" spans="1:17" x14ac:dyDescent="0.25">
      <c r="A23" s="41"/>
      <c r="B23" s="5" t="s">
        <v>87</v>
      </c>
      <c r="C23" s="12">
        <v>500000</v>
      </c>
      <c r="D23" s="100">
        <v>0</v>
      </c>
      <c r="E23" s="101">
        <f t="shared" si="2"/>
        <v>0</v>
      </c>
      <c r="F23" s="102">
        <v>8</v>
      </c>
      <c r="G23" s="103">
        <f t="shared" si="3"/>
        <v>4000000</v>
      </c>
      <c r="H23" s="1" t="s">
        <v>88</v>
      </c>
      <c r="K23" s="62" t="s">
        <v>161</v>
      </c>
    </row>
    <row r="24" spans="1:17" x14ac:dyDescent="0.25">
      <c r="A24" s="41"/>
      <c r="B24" s="5" t="s">
        <v>86</v>
      </c>
      <c r="C24" s="12">
        <v>600000</v>
      </c>
      <c r="D24" s="100">
        <v>15</v>
      </c>
      <c r="E24" s="101">
        <f t="shared" si="2"/>
        <v>9000000</v>
      </c>
      <c r="F24" s="102">
        <v>6</v>
      </c>
      <c r="G24" s="103">
        <f t="shared" si="3"/>
        <v>3600000</v>
      </c>
      <c r="H24" s="1"/>
    </row>
    <row r="25" spans="1:17" x14ac:dyDescent="0.25">
      <c r="A25" s="41"/>
      <c r="B25" s="5" t="s">
        <v>75</v>
      </c>
      <c r="C25" s="12">
        <v>50000</v>
      </c>
      <c r="D25" s="100">
        <v>0</v>
      </c>
      <c r="E25" s="101">
        <f t="shared" si="2"/>
        <v>0</v>
      </c>
      <c r="F25" s="102">
        <v>6</v>
      </c>
      <c r="G25" s="103">
        <f t="shared" si="3"/>
        <v>300000</v>
      </c>
      <c r="H25" s="1"/>
    </row>
    <row r="26" spans="1:17" x14ac:dyDescent="0.25">
      <c r="A26" s="41"/>
      <c r="B26" s="5" t="s">
        <v>19</v>
      </c>
      <c r="C26" s="12">
        <v>80000</v>
      </c>
      <c r="D26" s="100">
        <v>0</v>
      </c>
      <c r="E26" s="101">
        <f t="shared" si="2"/>
        <v>0</v>
      </c>
      <c r="F26" s="102">
        <v>10</v>
      </c>
      <c r="G26" s="103">
        <f t="shared" si="3"/>
        <v>800000</v>
      </c>
      <c r="H26" s="1"/>
    </row>
    <row r="27" spans="1:17" x14ac:dyDescent="0.25">
      <c r="A27" s="41"/>
      <c r="B27" s="5" t="s">
        <v>104</v>
      </c>
      <c r="C27" s="12">
        <v>100000</v>
      </c>
      <c r="D27" s="100">
        <v>0</v>
      </c>
      <c r="E27" s="101">
        <f t="shared" si="2"/>
        <v>0</v>
      </c>
      <c r="F27" s="102">
        <v>18</v>
      </c>
      <c r="G27" s="103">
        <f t="shared" si="3"/>
        <v>1800000</v>
      </c>
      <c r="H27" s="1"/>
    </row>
    <row r="28" spans="1:17" x14ac:dyDescent="0.25">
      <c r="A28" s="41"/>
      <c r="B28" s="5" t="s">
        <v>90</v>
      </c>
      <c r="C28" s="12">
        <v>10000000</v>
      </c>
      <c r="D28" s="100">
        <v>0</v>
      </c>
      <c r="E28" s="101">
        <f t="shared" si="2"/>
        <v>0</v>
      </c>
      <c r="F28" s="102">
        <v>20</v>
      </c>
      <c r="G28" s="103">
        <f t="shared" si="3"/>
        <v>200000000</v>
      </c>
      <c r="H28" s="1"/>
    </row>
    <row r="29" spans="1:17" x14ac:dyDescent="0.25">
      <c r="A29" s="41"/>
      <c r="B29" s="5" t="s">
        <v>21</v>
      </c>
      <c r="C29" s="12">
        <v>1500000</v>
      </c>
      <c r="D29" s="100">
        <v>0</v>
      </c>
      <c r="E29" s="101">
        <f t="shared" si="2"/>
        <v>0</v>
      </c>
      <c r="F29" s="102">
        <v>8</v>
      </c>
      <c r="G29" s="103">
        <f t="shared" si="3"/>
        <v>12000000</v>
      </c>
      <c r="H29" s="1"/>
    </row>
    <row r="30" spans="1:17" x14ac:dyDescent="0.25">
      <c r="A30" s="41"/>
      <c r="B30" s="5" t="s">
        <v>91</v>
      </c>
      <c r="C30" s="12">
        <v>3000000</v>
      </c>
      <c r="D30" s="100">
        <v>0</v>
      </c>
      <c r="E30" s="101">
        <f t="shared" si="2"/>
        <v>0</v>
      </c>
      <c r="F30" s="102">
        <v>8</v>
      </c>
      <c r="G30" s="103">
        <f t="shared" si="3"/>
        <v>24000000</v>
      </c>
      <c r="H30" s="1"/>
    </row>
    <row r="31" spans="1:17" x14ac:dyDescent="0.25">
      <c r="A31" s="41"/>
      <c r="B31" s="5" t="s">
        <v>22</v>
      </c>
      <c r="C31" s="12">
        <v>1500000</v>
      </c>
      <c r="D31" s="100">
        <v>0</v>
      </c>
      <c r="E31" s="101">
        <f t="shared" si="2"/>
        <v>0</v>
      </c>
      <c r="F31" s="102">
        <v>6</v>
      </c>
      <c r="G31" s="103">
        <f t="shared" si="3"/>
        <v>9000000</v>
      </c>
      <c r="H31" s="1"/>
    </row>
    <row r="32" spans="1:17" x14ac:dyDescent="0.25">
      <c r="A32" s="41"/>
      <c r="B32" s="5" t="s">
        <v>92</v>
      </c>
      <c r="C32" s="12">
        <v>5000000</v>
      </c>
      <c r="D32" s="100">
        <v>0</v>
      </c>
      <c r="E32" s="101">
        <f t="shared" si="2"/>
        <v>0</v>
      </c>
      <c r="F32" s="102">
        <v>1</v>
      </c>
      <c r="G32" s="103">
        <f t="shared" si="3"/>
        <v>5000000</v>
      </c>
      <c r="H32" s="1"/>
    </row>
    <row r="33" spans="1:8" x14ac:dyDescent="0.25">
      <c r="A33" s="41"/>
      <c r="B33" s="5" t="s">
        <v>98</v>
      </c>
      <c r="C33" s="12">
        <v>2000000</v>
      </c>
      <c r="D33" s="100">
        <v>0</v>
      </c>
      <c r="E33" s="101">
        <f t="shared" si="2"/>
        <v>0</v>
      </c>
      <c r="F33" s="102">
        <v>1</v>
      </c>
      <c r="G33" s="103">
        <f t="shared" si="3"/>
        <v>2000000</v>
      </c>
      <c r="H33" s="1" t="s">
        <v>99</v>
      </c>
    </row>
    <row r="34" spans="1:8" x14ac:dyDescent="0.25">
      <c r="A34" s="41"/>
      <c r="B34" s="5" t="s">
        <v>100</v>
      </c>
      <c r="C34" s="12">
        <v>1000000</v>
      </c>
      <c r="D34" s="100"/>
      <c r="E34" s="101">
        <f t="shared" si="2"/>
        <v>0</v>
      </c>
      <c r="F34" s="102">
        <v>6</v>
      </c>
      <c r="G34" s="103">
        <f t="shared" si="3"/>
        <v>6000000</v>
      </c>
      <c r="H34" s="1"/>
    </row>
    <row r="35" spans="1:8" x14ac:dyDescent="0.25">
      <c r="A35" s="41"/>
      <c r="B35" s="5" t="s">
        <v>28</v>
      </c>
      <c r="C35" s="12">
        <v>20000000</v>
      </c>
      <c r="D35" s="100">
        <v>0</v>
      </c>
      <c r="E35" s="101">
        <f t="shared" si="2"/>
        <v>0</v>
      </c>
      <c r="F35" s="102">
        <v>1</v>
      </c>
      <c r="G35" s="103">
        <f t="shared" si="3"/>
        <v>20000000</v>
      </c>
      <c r="H35" s="1"/>
    </row>
    <row r="36" spans="1:8" x14ac:dyDescent="0.25">
      <c r="A36" s="41" t="s">
        <v>24</v>
      </c>
      <c r="B36" s="3" t="s">
        <v>6</v>
      </c>
      <c r="C36" s="12">
        <v>1500000</v>
      </c>
      <c r="D36" s="100">
        <v>18</v>
      </c>
      <c r="E36" s="101">
        <f t="shared" si="2"/>
        <v>27000000</v>
      </c>
      <c r="F36" s="102">
        <v>10</v>
      </c>
      <c r="G36" s="103">
        <f t="shared" si="3"/>
        <v>15000000</v>
      </c>
      <c r="H36" s="1"/>
    </row>
    <row r="37" spans="1:8" x14ac:dyDescent="0.25">
      <c r="A37" s="41"/>
      <c r="B37" s="3" t="s">
        <v>30</v>
      </c>
      <c r="C37" s="12">
        <v>1000000</v>
      </c>
      <c r="D37" s="100">
        <v>18</v>
      </c>
      <c r="E37" s="101">
        <f t="shared" si="2"/>
        <v>18000000</v>
      </c>
      <c r="F37" s="102">
        <v>10</v>
      </c>
      <c r="G37" s="103">
        <f t="shared" si="3"/>
        <v>10000000</v>
      </c>
      <c r="H37" s="1"/>
    </row>
    <row r="38" spans="1:8" x14ac:dyDescent="0.25">
      <c r="A38" s="41"/>
      <c r="B38" s="4" t="s">
        <v>10</v>
      </c>
      <c r="C38" s="12">
        <v>2000000</v>
      </c>
      <c r="D38" s="100">
        <v>25</v>
      </c>
      <c r="E38" s="101">
        <f t="shared" si="2"/>
        <v>50000000</v>
      </c>
      <c r="F38" s="102">
        <v>20</v>
      </c>
      <c r="G38" s="103">
        <f t="shared" si="3"/>
        <v>40000000</v>
      </c>
      <c r="H38" s="1"/>
    </row>
    <row r="39" spans="1:8" x14ac:dyDescent="0.25">
      <c r="A39" s="60" t="s">
        <v>25</v>
      </c>
      <c r="B39" s="3" t="s">
        <v>4</v>
      </c>
      <c r="C39" s="12">
        <v>10000000</v>
      </c>
      <c r="D39" s="100">
        <v>1</v>
      </c>
      <c r="E39" s="101">
        <f t="shared" si="2"/>
        <v>10000000</v>
      </c>
      <c r="F39" s="102">
        <v>1</v>
      </c>
      <c r="G39" s="103">
        <f t="shared" si="3"/>
        <v>10000000</v>
      </c>
      <c r="H39" s="1"/>
    </row>
    <row r="40" spans="1:8" x14ac:dyDescent="0.25">
      <c r="A40" s="61"/>
      <c r="B40" s="3" t="s">
        <v>5</v>
      </c>
      <c r="C40" s="12">
        <v>5000000</v>
      </c>
      <c r="D40" s="100">
        <v>2</v>
      </c>
      <c r="E40" s="101">
        <f t="shared" si="2"/>
        <v>10000000</v>
      </c>
      <c r="F40" s="102">
        <v>2</v>
      </c>
      <c r="G40" s="103">
        <f t="shared" si="3"/>
        <v>10000000</v>
      </c>
      <c r="H40" s="1"/>
    </row>
    <row r="41" spans="1:8" x14ac:dyDescent="0.25">
      <c r="A41" s="61"/>
      <c r="B41" s="11" t="s">
        <v>102</v>
      </c>
      <c r="C41" s="12">
        <v>5000000</v>
      </c>
      <c r="D41" s="100">
        <v>0</v>
      </c>
      <c r="E41" s="101">
        <f t="shared" si="2"/>
        <v>0</v>
      </c>
      <c r="F41" s="102">
        <v>1</v>
      </c>
      <c r="G41" s="103">
        <f t="shared" si="3"/>
        <v>5000000</v>
      </c>
      <c r="H41" s="1"/>
    </row>
    <row r="42" spans="1:8" x14ac:dyDescent="0.25">
      <c r="A42" s="61"/>
      <c r="B42" s="11" t="s">
        <v>101</v>
      </c>
      <c r="C42" s="12">
        <v>1000000</v>
      </c>
      <c r="D42" s="100">
        <v>10</v>
      </c>
      <c r="E42" s="101">
        <f t="shared" si="2"/>
        <v>10000000</v>
      </c>
      <c r="F42" s="102">
        <v>20</v>
      </c>
      <c r="G42" s="103">
        <f t="shared" si="3"/>
        <v>20000000</v>
      </c>
      <c r="H42" s="1"/>
    </row>
    <row r="43" spans="1:8" x14ac:dyDescent="0.25">
      <c r="A43" s="61"/>
      <c r="B43" s="11" t="s">
        <v>31</v>
      </c>
      <c r="C43" s="12">
        <v>500000</v>
      </c>
      <c r="D43" s="100">
        <v>5</v>
      </c>
      <c r="E43" s="101">
        <f t="shared" si="2"/>
        <v>2500000</v>
      </c>
      <c r="F43" s="102">
        <v>10</v>
      </c>
      <c r="G43" s="103">
        <f t="shared" si="3"/>
        <v>5000000</v>
      </c>
      <c r="H43" s="1"/>
    </row>
    <row r="44" spans="1:8" x14ac:dyDescent="0.25">
      <c r="A44" s="61"/>
      <c r="B44" s="11" t="s">
        <v>32</v>
      </c>
      <c r="C44" s="12">
        <v>500000</v>
      </c>
      <c r="D44" s="100">
        <v>2</v>
      </c>
      <c r="E44" s="101">
        <f t="shared" si="2"/>
        <v>1000000</v>
      </c>
      <c r="F44" s="102">
        <v>5</v>
      </c>
      <c r="G44" s="103">
        <f t="shared" si="3"/>
        <v>2500000</v>
      </c>
      <c r="H44" s="1"/>
    </row>
    <row r="45" spans="1:8" x14ac:dyDescent="0.25">
      <c r="A45" s="39" t="s">
        <v>26</v>
      </c>
      <c r="B45" s="11" t="s">
        <v>97</v>
      </c>
      <c r="C45" s="12">
        <v>30000000</v>
      </c>
      <c r="D45" s="100">
        <v>0</v>
      </c>
      <c r="E45" s="101">
        <f t="shared" si="2"/>
        <v>0</v>
      </c>
      <c r="F45" s="102">
        <v>1</v>
      </c>
      <c r="G45" s="103">
        <f t="shared" si="3"/>
        <v>30000000</v>
      </c>
      <c r="H45" s="1"/>
    </row>
    <row r="46" spans="1:8" x14ac:dyDescent="0.25">
      <c r="A46" s="40"/>
      <c r="B46" s="5" t="s">
        <v>27</v>
      </c>
      <c r="C46" s="12">
        <v>20000000</v>
      </c>
      <c r="D46" s="100">
        <v>0</v>
      </c>
      <c r="E46" s="101">
        <f t="shared" si="2"/>
        <v>0</v>
      </c>
      <c r="F46" s="102">
        <v>1</v>
      </c>
      <c r="G46" s="103">
        <f t="shared" si="3"/>
        <v>20000000</v>
      </c>
      <c r="H46" s="1" t="s">
        <v>103</v>
      </c>
    </row>
    <row r="47" spans="1:8" x14ac:dyDescent="0.25">
      <c r="A47" s="59" t="s">
        <v>34</v>
      </c>
      <c r="B47" s="2" t="s">
        <v>33</v>
      </c>
      <c r="C47" s="12">
        <v>5000000</v>
      </c>
      <c r="D47" s="100">
        <v>0</v>
      </c>
      <c r="E47" s="101">
        <f t="shared" si="2"/>
        <v>0</v>
      </c>
      <c r="F47" s="102">
        <v>4</v>
      </c>
      <c r="G47" s="103">
        <f t="shared" si="3"/>
        <v>20000000</v>
      </c>
      <c r="H47" s="1" t="s">
        <v>103</v>
      </c>
    </row>
    <row r="48" spans="1:8" x14ac:dyDescent="0.25">
      <c r="A48" s="59"/>
      <c r="B48" s="11" t="s">
        <v>35</v>
      </c>
      <c r="C48" s="12">
        <v>20000000</v>
      </c>
      <c r="D48" s="100">
        <v>0</v>
      </c>
      <c r="E48" s="101">
        <f t="shared" si="2"/>
        <v>0</v>
      </c>
      <c r="F48" s="102">
        <v>1</v>
      </c>
      <c r="G48" s="103">
        <f t="shared" si="3"/>
        <v>20000000</v>
      </c>
      <c r="H48" s="1"/>
    </row>
    <row r="49" spans="1:8" x14ac:dyDescent="0.25">
      <c r="A49" s="54" t="s">
        <v>53</v>
      </c>
      <c r="B49" s="54"/>
      <c r="C49" s="54"/>
      <c r="D49" s="54"/>
      <c r="E49" s="14">
        <f>SUM(E11:E48)</f>
        <v>200700000</v>
      </c>
      <c r="G49" s="14">
        <f>SUM(G11:G48)</f>
        <v>907300000</v>
      </c>
    </row>
    <row r="51" spans="1:8" ht="23.25" x14ac:dyDescent="0.35">
      <c r="A51" s="58" t="s">
        <v>36</v>
      </c>
      <c r="B51" s="58"/>
      <c r="C51" s="58"/>
      <c r="D51" s="58"/>
      <c r="E51" s="58"/>
      <c r="F51" s="58"/>
      <c r="G51" s="58"/>
    </row>
    <row r="52" spans="1:8" x14ac:dyDescent="0.25">
      <c r="A52" s="55"/>
      <c r="B52" s="55"/>
      <c r="C52" s="55"/>
      <c r="D52" s="56" t="s">
        <v>14</v>
      </c>
      <c r="E52" s="56"/>
      <c r="F52" s="57" t="s">
        <v>15</v>
      </c>
      <c r="G52" s="57"/>
    </row>
    <row r="53" spans="1:8" x14ac:dyDescent="0.25">
      <c r="A53" s="9" t="s">
        <v>29</v>
      </c>
      <c r="B53" s="10" t="s">
        <v>2</v>
      </c>
      <c r="C53" s="10" t="s">
        <v>13</v>
      </c>
      <c r="D53" s="8" t="s">
        <v>0</v>
      </c>
      <c r="E53" s="8" t="s">
        <v>1</v>
      </c>
      <c r="F53" s="7" t="s">
        <v>0</v>
      </c>
      <c r="G53" s="7" t="s">
        <v>1</v>
      </c>
      <c r="H53" s="24" t="s">
        <v>76</v>
      </c>
    </row>
    <row r="54" spans="1:8" ht="30" x14ac:dyDescent="0.25">
      <c r="A54" s="47" t="s">
        <v>37</v>
      </c>
      <c r="B54" s="2" t="s">
        <v>40</v>
      </c>
      <c r="C54" s="23">
        <v>5000000</v>
      </c>
      <c r="D54" s="104">
        <v>1</v>
      </c>
      <c r="E54" s="105">
        <f>C54*D54</f>
        <v>5000000</v>
      </c>
      <c r="F54" s="15">
        <v>1</v>
      </c>
      <c r="G54" s="106">
        <f>F54*C54</f>
        <v>5000000</v>
      </c>
      <c r="H54" s="26" t="s">
        <v>77</v>
      </c>
    </row>
    <row r="55" spans="1:8" ht="30" x14ac:dyDescent="0.25">
      <c r="A55" s="49"/>
      <c r="B55" s="2" t="s">
        <v>38</v>
      </c>
      <c r="C55" s="23">
        <v>3200000</v>
      </c>
      <c r="D55" s="104">
        <v>1</v>
      </c>
      <c r="E55" s="105">
        <f t="shared" ref="E55:E68" si="5">C55*D55</f>
        <v>3200000</v>
      </c>
      <c r="F55" s="15">
        <v>1</v>
      </c>
      <c r="G55" s="106">
        <f t="shared" ref="G55:G68" si="6">F55*C55</f>
        <v>3200000</v>
      </c>
      <c r="H55" s="26" t="s">
        <v>77</v>
      </c>
    </row>
    <row r="56" spans="1:8" ht="30" x14ac:dyDescent="0.25">
      <c r="A56" s="48"/>
      <c r="B56" s="2" t="s">
        <v>39</v>
      </c>
      <c r="C56" s="23">
        <v>1800000</v>
      </c>
      <c r="D56" s="104">
        <v>18</v>
      </c>
      <c r="E56" s="105">
        <f t="shared" si="5"/>
        <v>32400000</v>
      </c>
      <c r="F56" s="15">
        <v>12</v>
      </c>
      <c r="G56" s="106">
        <f t="shared" si="6"/>
        <v>21600000</v>
      </c>
      <c r="H56" s="26" t="s">
        <v>77</v>
      </c>
    </row>
    <row r="57" spans="1:8" x14ac:dyDescent="0.25">
      <c r="A57" s="47" t="s">
        <v>41</v>
      </c>
      <c r="B57" s="15" t="s">
        <v>42</v>
      </c>
      <c r="C57" s="23">
        <v>100000</v>
      </c>
      <c r="D57" s="104">
        <v>1</v>
      </c>
      <c r="E57" s="105">
        <f t="shared" si="5"/>
        <v>100000</v>
      </c>
      <c r="F57" s="15">
        <v>2</v>
      </c>
      <c r="G57" s="106">
        <f t="shared" si="6"/>
        <v>200000</v>
      </c>
      <c r="H57" s="1"/>
    </row>
    <row r="58" spans="1:8" x14ac:dyDescent="0.25">
      <c r="A58" s="49"/>
      <c r="B58" s="15" t="s">
        <v>43</v>
      </c>
      <c r="C58" s="23">
        <v>500</v>
      </c>
      <c r="D58" s="104">
        <v>600</v>
      </c>
      <c r="E58" s="105">
        <f t="shared" si="5"/>
        <v>300000</v>
      </c>
      <c r="F58" s="15">
        <v>2000</v>
      </c>
      <c r="G58" s="106">
        <f t="shared" si="6"/>
        <v>1000000</v>
      </c>
      <c r="H58" s="1"/>
    </row>
    <row r="59" spans="1:8" x14ac:dyDescent="0.25">
      <c r="A59" s="49"/>
      <c r="B59" s="15" t="s">
        <v>44</v>
      </c>
      <c r="C59" s="23">
        <v>250000</v>
      </c>
      <c r="D59" s="104">
        <v>2</v>
      </c>
      <c r="E59" s="105">
        <f t="shared" si="5"/>
        <v>500000</v>
      </c>
      <c r="F59" s="15">
        <v>1</v>
      </c>
      <c r="G59" s="106">
        <f t="shared" si="6"/>
        <v>250000</v>
      </c>
      <c r="H59" s="1"/>
    </row>
    <row r="60" spans="1:8" x14ac:dyDescent="0.25">
      <c r="A60" s="49"/>
      <c r="B60" s="15" t="s">
        <v>82</v>
      </c>
      <c r="C60" s="23">
        <v>400000</v>
      </c>
      <c r="D60" s="104">
        <v>50</v>
      </c>
      <c r="E60" s="105">
        <f>D60*C60</f>
        <v>20000000</v>
      </c>
      <c r="F60" s="15">
        <v>150</v>
      </c>
      <c r="G60" s="106">
        <f t="shared" si="6"/>
        <v>60000000</v>
      </c>
      <c r="H60" s="1"/>
    </row>
    <row r="61" spans="1:8" x14ac:dyDescent="0.25">
      <c r="A61" s="49"/>
      <c r="B61" s="15" t="s">
        <v>62</v>
      </c>
      <c r="C61" s="23">
        <v>5000</v>
      </c>
      <c r="D61" s="104">
        <v>600</v>
      </c>
      <c r="E61" s="105">
        <f t="shared" si="5"/>
        <v>3000000</v>
      </c>
      <c r="F61" s="15">
        <v>2000</v>
      </c>
      <c r="G61" s="106">
        <f t="shared" si="6"/>
        <v>10000000</v>
      </c>
      <c r="H61" s="1"/>
    </row>
    <row r="62" spans="1:8" x14ac:dyDescent="0.25">
      <c r="A62" s="48"/>
      <c r="B62" s="15" t="s">
        <v>83</v>
      </c>
      <c r="C62" s="23">
        <v>150000</v>
      </c>
      <c r="D62" s="104">
        <v>2</v>
      </c>
      <c r="E62" s="105">
        <f t="shared" si="5"/>
        <v>300000</v>
      </c>
      <c r="F62" s="15">
        <v>1</v>
      </c>
      <c r="G62" s="106">
        <f t="shared" si="6"/>
        <v>150000</v>
      </c>
      <c r="H62" s="1"/>
    </row>
    <row r="63" spans="1:8" x14ac:dyDescent="0.25">
      <c r="A63" s="47" t="s">
        <v>45</v>
      </c>
      <c r="B63" s="15" t="s">
        <v>46</v>
      </c>
      <c r="C63" s="23">
        <v>350000</v>
      </c>
      <c r="D63" s="104">
        <v>2</v>
      </c>
      <c r="E63" s="105">
        <f t="shared" si="5"/>
        <v>700000</v>
      </c>
      <c r="F63" s="15">
        <v>1</v>
      </c>
      <c r="G63" s="106">
        <f t="shared" si="6"/>
        <v>350000</v>
      </c>
      <c r="H63" s="1"/>
    </row>
    <row r="64" spans="1:8" x14ac:dyDescent="0.25">
      <c r="A64" s="49"/>
      <c r="B64" s="15" t="s">
        <v>47</v>
      </c>
      <c r="C64" s="23">
        <v>1000</v>
      </c>
      <c r="D64" s="104">
        <v>5000</v>
      </c>
      <c r="E64" s="105">
        <f t="shared" si="5"/>
        <v>5000000</v>
      </c>
      <c r="F64" s="15">
        <v>15000</v>
      </c>
      <c r="G64" s="106">
        <f t="shared" si="6"/>
        <v>15000000</v>
      </c>
      <c r="H64" s="1"/>
    </row>
    <row r="65" spans="1:8" x14ac:dyDescent="0.25">
      <c r="A65" s="48"/>
      <c r="B65" s="15" t="s">
        <v>49</v>
      </c>
      <c r="C65" s="23">
        <v>300000</v>
      </c>
      <c r="D65" s="104">
        <v>1</v>
      </c>
      <c r="E65" s="105">
        <f t="shared" si="5"/>
        <v>300000</v>
      </c>
      <c r="F65" s="15">
        <v>4</v>
      </c>
      <c r="G65" s="106">
        <f t="shared" si="6"/>
        <v>1200000</v>
      </c>
      <c r="H65" s="1"/>
    </row>
    <row r="66" spans="1:8" x14ac:dyDescent="0.25">
      <c r="A66" s="47" t="s">
        <v>50</v>
      </c>
      <c r="B66" s="15" t="s">
        <v>50</v>
      </c>
      <c r="C66" s="23">
        <v>8000000</v>
      </c>
      <c r="D66" s="104">
        <v>1</v>
      </c>
      <c r="E66" s="105">
        <f t="shared" si="5"/>
        <v>8000000</v>
      </c>
      <c r="F66" s="15">
        <v>4</v>
      </c>
      <c r="G66" s="106">
        <f t="shared" si="6"/>
        <v>32000000</v>
      </c>
      <c r="H66" s="1"/>
    </row>
    <row r="67" spans="1:8" x14ac:dyDescent="0.25">
      <c r="A67" s="48"/>
      <c r="B67" s="15" t="s">
        <v>48</v>
      </c>
      <c r="C67" s="23">
        <v>1500000</v>
      </c>
      <c r="D67" s="104">
        <v>1</v>
      </c>
      <c r="E67" s="105">
        <f t="shared" si="5"/>
        <v>1500000</v>
      </c>
      <c r="F67" s="15">
        <v>5</v>
      </c>
      <c r="G67" s="106">
        <f t="shared" si="6"/>
        <v>7500000</v>
      </c>
      <c r="H67" s="1"/>
    </row>
    <row r="68" spans="1:8" x14ac:dyDescent="0.25">
      <c r="A68" s="41" t="s">
        <v>51</v>
      </c>
      <c r="B68" s="15" t="s">
        <v>63</v>
      </c>
      <c r="C68" s="23">
        <v>2500000</v>
      </c>
      <c r="D68" s="104">
        <v>1</v>
      </c>
      <c r="E68" s="105">
        <f t="shared" si="5"/>
        <v>2500000</v>
      </c>
      <c r="F68" s="15">
        <v>2</v>
      </c>
      <c r="G68" s="106">
        <f t="shared" si="6"/>
        <v>5000000</v>
      </c>
      <c r="H68" s="1"/>
    </row>
    <row r="69" spans="1:8" x14ac:dyDescent="0.25">
      <c r="A69" s="41"/>
      <c r="B69" s="15" t="s">
        <v>52</v>
      </c>
      <c r="C69" s="23">
        <v>5000000</v>
      </c>
      <c r="D69" s="104">
        <v>1</v>
      </c>
      <c r="E69" s="105">
        <f>C69*D69</f>
        <v>5000000</v>
      </c>
      <c r="F69" s="15">
        <v>4</v>
      </c>
      <c r="G69" s="106">
        <f>F69*C69</f>
        <v>20000000</v>
      </c>
      <c r="H69" s="1"/>
    </row>
    <row r="70" spans="1:8" x14ac:dyDescent="0.25">
      <c r="A70" s="6" t="s">
        <v>7</v>
      </c>
      <c r="B70" s="16" t="s">
        <v>126</v>
      </c>
      <c r="C70" s="27">
        <v>15000000</v>
      </c>
      <c r="D70" s="104">
        <v>0</v>
      </c>
      <c r="E70" s="105">
        <f>C70*D70</f>
        <v>0</v>
      </c>
      <c r="F70" s="15">
        <v>1</v>
      </c>
      <c r="G70" s="106">
        <f>F70*C70</f>
        <v>15000000</v>
      </c>
      <c r="H70" s="1"/>
    </row>
    <row r="71" spans="1:8" x14ac:dyDescent="0.25">
      <c r="A71" s="54" t="s">
        <v>54</v>
      </c>
      <c r="B71" s="54"/>
      <c r="C71" s="54"/>
      <c r="D71" s="54"/>
      <c r="E71" s="25">
        <f>SUM(E54:E70)</f>
        <v>87800000</v>
      </c>
      <c r="G71" s="25">
        <f>SUM(G54:G70)</f>
        <v>197450000</v>
      </c>
    </row>
    <row r="72" spans="1:8" x14ac:dyDescent="0.25">
      <c r="A72" s="63" t="s">
        <v>128</v>
      </c>
      <c r="B72" s="64"/>
      <c r="C72" s="64"/>
      <c r="D72" s="65"/>
      <c r="E72" s="66">
        <f>'Estado Deuda'!L12</f>
        <v>58356235.585615739</v>
      </c>
      <c r="G72" s="66">
        <f>'Estado Deuda'!F12</f>
        <v>263809728.68375269</v>
      </c>
    </row>
    <row r="73" spans="1:8" x14ac:dyDescent="0.25">
      <c r="A73" s="54" t="s">
        <v>125</v>
      </c>
      <c r="B73" s="54"/>
      <c r="C73" s="54"/>
      <c r="D73" s="54"/>
      <c r="E73" s="25">
        <f>E71*12+E72</f>
        <v>1111956235.5856156</v>
      </c>
      <c r="G73" s="25">
        <f>G71*12+G72</f>
        <v>2633209728.6837525</v>
      </c>
    </row>
    <row r="75" spans="1:8" ht="23.25" x14ac:dyDescent="0.35">
      <c r="A75" s="50" t="s">
        <v>55</v>
      </c>
      <c r="B75" s="51"/>
      <c r="C75" s="51"/>
      <c r="D75" s="51"/>
      <c r="E75" s="51"/>
      <c r="F75" s="52"/>
    </row>
    <row r="76" spans="1:8" x14ac:dyDescent="0.25">
      <c r="A76" s="17"/>
      <c r="B76" s="18"/>
      <c r="C76" s="21" t="s">
        <v>14</v>
      </c>
      <c r="D76" s="22"/>
      <c r="E76" s="19" t="s">
        <v>15</v>
      </c>
      <c r="F76" s="20"/>
    </row>
    <row r="77" spans="1:8" x14ac:dyDescent="0.25">
      <c r="A77" s="10" t="s">
        <v>2</v>
      </c>
      <c r="B77" s="10" t="s">
        <v>13</v>
      </c>
      <c r="C77" s="8" t="s">
        <v>60</v>
      </c>
      <c r="D77" s="8" t="s">
        <v>1</v>
      </c>
      <c r="E77" s="7" t="s">
        <v>56</v>
      </c>
      <c r="F77" s="7" t="s">
        <v>1</v>
      </c>
      <c r="G77" s="44" t="s">
        <v>76</v>
      </c>
      <c r="H77" s="45"/>
    </row>
    <row r="78" spans="1:8" x14ac:dyDescent="0.25">
      <c r="A78" s="1" t="s">
        <v>109</v>
      </c>
      <c r="B78" s="12">
        <v>100000</v>
      </c>
      <c r="C78" s="1">
        <v>215</v>
      </c>
      <c r="D78" s="12">
        <f>B78*C78</f>
        <v>21500000</v>
      </c>
      <c r="E78" s="1">
        <v>620</v>
      </c>
      <c r="F78" s="12">
        <f>B78*E78</f>
        <v>62000000</v>
      </c>
      <c r="G78" s="42" t="s">
        <v>173</v>
      </c>
      <c r="H78" s="43"/>
    </row>
    <row r="79" spans="1:8" ht="15" customHeight="1" x14ac:dyDescent="0.25">
      <c r="A79" s="1" t="s">
        <v>57</v>
      </c>
      <c r="B79" s="12">
        <v>80000</v>
      </c>
      <c r="C79" s="1">
        <v>310</v>
      </c>
      <c r="D79" s="12">
        <f t="shared" ref="D79:D80" si="7">B79*C79</f>
        <v>24800000</v>
      </c>
      <c r="E79" s="1">
        <v>680</v>
      </c>
      <c r="F79" s="12">
        <f t="shared" ref="F79:F80" si="8">B79*E79</f>
        <v>54400000</v>
      </c>
      <c r="G79" s="42" t="s">
        <v>173</v>
      </c>
      <c r="H79" s="43"/>
    </row>
    <row r="80" spans="1:8" ht="15" customHeight="1" x14ac:dyDescent="0.25">
      <c r="A80" s="1" t="s">
        <v>108</v>
      </c>
      <c r="B80" s="12">
        <v>65000</v>
      </c>
      <c r="C80" s="1">
        <v>270</v>
      </c>
      <c r="D80" s="12">
        <f t="shared" si="7"/>
        <v>17550000</v>
      </c>
      <c r="E80" s="1">
        <v>650</v>
      </c>
      <c r="F80" s="12">
        <f t="shared" si="8"/>
        <v>42250000</v>
      </c>
      <c r="G80" s="42" t="s">
        <v>173</v>
      </c>
      <c r="H80" s="43"/>
    </row>
    <row r="81" spans="1:7" x14ac:dyDescent="0.25">
      <c r="A81" s="53" t="s">
        <v>61</v>
      </c>
      <c r="B81" s="53"/>
      <c r="C81" s="53"/>
      <c r="D81" s="14">
        <f>SUM(D78:D80)/3</f>
        <v>21283333.333333332</v>
      </c>
      <c r="E81" s="13"/>
      <c r="F81" s="14">
        <f>SUM(F78:F80)/3</f>
        <v>52883333.333333336</v>
      </c>
    </row>
    <row r="82" spans="1:7" x14ac:dyDescent="0.25">
      <c r="A82" s="53" t="s">
        <v>73</v>
      </c>
      <c r="B82" s="53"/>
      <c r="C82" s="53"/>
      <c r="D82" s="14">
        <f>D81*4.5</f>
        <v>95775000</v>
      </c>
      <c r="F82" s="14">
        <f>F81*4.5</f>
        <v>237975000</v>
      </c>
    </row>
    <row r="83" spans="1:7" x14ac:dyDescent="0.25">
      <c r="A83" s="53" t="s">
        <v>74</v>
      </c>
      <c r="B83" s="53"/>
      <c r="C83" s="53"/>
      <c r="D83" s="14">
        <f>D82*12</f>
        <v>1149300000</v>
      </c>
      <c r="F83" s="14">
        <f>F82*12</f>
        <v>2855700000</v>
      </c>
    </row>
    <row r="85" spans="1:7" ht="21" x14ac:dyDescent="0.35">
      <c r="B85" s="111" t="s">
        <v>78</v>
      </c>
      <c r="C85" s="112"/>
      <c r="D85" s="113"/>
      <c r="F85" s="114" t="s">
        <v>105</v>
      </c>
      <c r="G85" s="115"/>
    </row>
    <row r="86" spans="1:7" x14ac:dyDescent="0.25">
      <c r="B86" s="107" t="s">
        <v>109</v>
      </c>
      <c r="C86" s="107"/>
      <c r="D86" s="107"/>
      <c r="F86" s="1" t="s">
        <v>109</v>
      </c>
      <c r="G86" s="1">
        <v>120000</v>
      </c>
    </row>
    <row r="87" spans="1:7" x14ac:dyDescent="0.25">
      <c r="B87" s="2"/>
      <c r="C87" s="2" t="s">
        <v>106</v>
      </c>
      <c r="D87" s="2" t="s">
        <v>107</v>
      </c>
      <c r="F87" s="1" t="s">
        <v>57</v>
      </c>
      <c r="G87" s="1">
        <v>90000</v>
      </c>
    </row>
    <row r="88" spans="1:7" x14ac:dyDescent="0.25">
      <c r="B88" s="30" t="s">
        <v>79</v>
      </c>
      <c r="C88" s="2">
        <v>20</v>
      </c>
      <c r="D88" s="2">
        <v>76</v>
      </c>
      <c r="F88" s="1" t="s">
        <v>108</v>
      </c>
      <c r="G88" s="1">
        <v>80000</v>
      </c>
    </row>
    <row r="89" spans="1:7" x14ac:dyDescent="0.25">
      <c r="B89" s="2" t="s">
        <v>80</v>
      </c>
      <c r="C89" s="31">
        <f>($G$86-$B$78)^C90/((120-C88)*$B$78)</f>
        <v>3.9024647992937755E-2</v>
      </c>
      <c r="D89" s="31">
        <f>($G$86-$B$78)^D90/((120-D88)*$B$78)</f>
        <v>8.8692381802131265E-2</v>
      </c>
    </row>
    <row r="90" spans="1:7" x14ac:dyDescent="0.25">
      <c r="B90" s="2" t="s">
        <v>81</v>
      </c>
      <c r="C90" s="2">
        <v>1.3</v>
      </c>
      <c r="D90" s="2">
        <v>1.3</v>
      </c>
    </row>
    <row r="91" spans="1:7" x14ac:dyDescent="0.25">
      <c r="B91" s="107" t="s">
        <v>57</v>
      </c>
      <c r="C91" s="107"/>
      <c r="D91" s="107"/>
    </row>
    <row r="92" spans="1:7" x14ac:dyDescent="0.25">
      <c r="B92" s="2"/>
      <c r="C92" s="2" t="s">
        <v>106</v>
      </c>
      <c r="D92" s="2" t="s">
        <v>107</v>
      </c>
    </row>
    <row r="93" spans="1:7" x14ac:dyDescent="0.25">
      <c r="B93" s="30" t="s">
        <v>79</v>
      </c>
      <c r="C93" s="2">
        <v>28</v>
      </c>
      <c r="D93" s="2">
        <v>84</v>
      </c>
    </row>
    <row r="94" spans="1:7" x14ac:dyDescent="0.25">
      <c r="B94" s="2" t="s">
        <v>80</v>
      </c>
      <c r="C94" s="31">
        <f>($G$87-$B$79)^C95/((120-C93)*$B$79)</f>
        <v>2.1533874897569517E-2</v>
      </c>
      <c r="D94" s="31">
        <f>($G$87-$B$79)^D95/((120-D93)*$B$79)</f>
        <v>5.5031013627122101E-2</v>
      </c>
    </row>
    <row r="95" spans="1:7" x14ac:dyDescent="0.25">
      <c r="B95" s="2" t="s">
        <v>81</v>
      </c>
      <c r="C95" s="2">
        <v>1.3</v>
      </c>
      <c r="D95" s="2">
        <v>1.3</v>
      </c>
    </row>
    <row r="96" spans="1:7" x14ac:dyDescent="0.25">
      <c r="B96" s="107" t="s">
        <v>108</v>
      </c>
      <c r="C96" s="107"/>
      <c r="D96" s="107"/>
    </row>
    <row r="97" spans="2:4" x14ac:dyDescent="0.25">
      <c r="B97" s="2"/>
      <c r="C97" s="2" t="s">
        <v>106</v>
      </c>
      <c r="D97" s="2" t="s">
        <v>107</v>
      </c>
    </row>
    <row r="98" spans="2:4" x14ac:dyDescent="0.25">
      <c r="B98" s="30" t="s">
        <v>79</v>
      </c>
      <c r="C98" s="2">
        <v>25</v>
      </c>
      <c r="D98" s="2">
        <v>80</v>
      </c>
    </row>
    <row r="99" spans="2:4" x14ac:dyDescent="0.25">
      <c r="B99" s="2" t="s">
        <v>80</v>
      </c>
      <c r="C99" s="31">
        <f>($G$88-$B$80)^C100/((120-C98)*$B$80)</f>
        <v>4.3479213034794927E-2</v>
      </c>
      <c r="D99" s="31">
        <f>($G$88-$B$80)^D100/((120-D98)*$B$80)</f>
        <v>0.10326313095763796</v>
      </c>
    </row>
    <row r="100" spans="2:4" x14ac:dyDescent="0.25">
      <c r="B100" s="2" t="s">
        <v>81</v>
      </c>
      <c r="C100" s="2">
        <v>1.3</v>
      </c>
      <c r="D100" s="2">
        <v>1.3</v>
      </c>
    </row>
    <row r="101" spans="2:4" x14ac:dyDescent="0.25">
      <c r="B101" s="32" t="s">
        <v>111</v>
      </c>
      <c r="C101" s="33">
        <f>AVERAGE(C89,C94,C99)</f>
        <v>3.467924530843406E-2</v>
      </c>
      <c r="D101" s="33">
        <f>AVERAGE(D89,D94,D99)</f>
        <v>8.2328842128963783E-2</v>
      </c>
    </row>
  </sheetData>
  <mergeCells count="35">
    <mergeCell ref="A39:A44"/>
    <mergeCell ref="D9:E9"/>
    <mergeCell ref="F9:G9"/>
    <mergeCell ref="A72:D72"/>
    <mergeCell ref="B2:C2"/>
    <mergeCell ref="L8:N8"/>
    <mergeCell ref="O8:Q8"/>
    <mergeCell ref="A66:A67"/>
    <mergeCell ref="A63:A65"/>
    <mergeCell ref="A57:A62"/>
    <mergeCell ref="A54:A56"/>
    <mergeCell ref="A52:C52"/>
    <mergeCell ref="D52:E52"/>
    <mergeCell ref="F52:G52"/>
    <mergeCell ref="A49:D49"/>
    <mergeCell ref="A8:G8"/>
    <mergeCell ref="A9:C9"/>
    <mergeCell ref="A47:A48"/>
    <mergeCell ref="A51:G51"/>
    <mergeCell ref="A11:A35"/>
    <mergeCell ref="A36:A38"/>
    <mergeCell ref="G78:H78"/>
    <mergeCell ref="G77:H77"/>
    <mergeCell ref="G79:H79"/>
    <mergeCell ref="G80:H80"/>
    <mergeCell ref="A45:A46"/>
    <mergeCell ref="A68:A69"/>
    <mergeCell ref="A75:F75"/>
    <mergeCell ref="A81:C81"/>
    <mergeCell ref="A82:C82"/>
    <mergeCell ref="A83:C83"/>
    <mergeCell ref="A71:D71"/>
    <mergeCell ref="A73:D73"/>
    <mergeCell ref="F85:G85"/>
    <mergeCell ref="B85:D8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E7DC-0409-4C99-A1DD-6496A6CEF777}">
  <dimension ref="B2:L23"/>
  <sheetViews>
    <sheetView workbookViewId="0">
      <selection activeCell="F27" sqref="F27"/>
    </sheetView>
  </sheetViews>
  <sheetFormatPr baseColWidth="10" defaultRowHeight="15" x14ac:dyDescent="0.25"/>
  <cols>
    <col min="2" max="2" width="25" customWidth="1"/>
    <col min="3" max="3" width="14.28515625" customWidth="1"/>
    <col min="4" max="4" width="16.5703125" customWidth="1"/>
    <col min="5" max="5" width="15" customWidth="1"/>
    <col min="6" max="6" width="16.85546875" customWidth="1"/>
    <col min="9" max="9" width="17.7109375" customWidth="1"/>
    <col min="10" max="10" width="18.7109375" customWidth="1"/>
    <col min="11" max="11" width="12.7109375" bestFit="1" customWidth="1"/>
    <col min="12" max="12" width="13.5703125" bestFit="1" customWidth="1"/>
  </cols>
  <sheetData>
    <row r="2" spans="2:12" ht="18.75" x14ac:dyDescent="0.3">
      <c r="B2" s="117" t="s">
        <v>115</v>
      </c>
      <c r="C2" s="118"/>
      <c r="E2" s="68" t="s">
        <v>130</v>
      </c>
      <c r="F2" s="68"/>
      <c r="G2" s="68"/>
      <c r="H2" s="68"/>
      <c r="I2" s="68"/>
    </row>
    <row r="3" spans="2:12" x14ac:dyDescent="0.25">
      <c r="B3" s="70" t="s">
        <v>112</v>
      </c>
      <c r="C3" s="71">
        <f>'Ingreso y Egresos'!C4</f>
        <v>0.13</v>
      </c>
      <c r="E3" s="68"/>
      <c r="F3" s="68"/>
      <c r="G3" s="68"/>
      <c r="H3" s="68"/>
      <c r="I3" s="68"/>
    </row>
    <row r="4" spans="2:12" ht="30" x14ac:dyDescent="0.25">
      <c r="B4" s="30" t="s">
        <v>117</v>
      </c>
      <c r="C4" s="71">
        <f>C5+C3</f>
        <v>0.26250000000000001</v>
      </c>
    </row>
    <row r="5" spans="2:12" x14ac:dyDescent="0.25">
      <c r="B5" s="2" t="s">
        <v>127</v>
      </c>
      <c r="C5" s="31">
        <v>0.13250000000000001</v>
      </c>
    </row>
    <row r="6" spans="2:12" ht="23.25" customHeight="1" x14ac:dyDescent="0.25">
      <c r="B6" s="72" t="s">
        <v>113</v>
      </c>
      <c r="C6" s="73">
        <f>C12*($C$4*(1+$C$4)^C8)/((1+$C$4)^C8-1)</f>
        <v>263809728.68375269</v>
      </c>
    </row>
    <row r="7" spans="2:12" x14ac:dyDescent="0.25">
      <c r="B7" s="72" t="s">
        <v>114</v>
      </c>
      <c r="C7" s="73">
        <f>I12*($C$4*(1+$C$4)^C8)/((1+$C$4)^C8-1)</f>
        <v>58356235.585615739</v>
      </c>
    </row>
    <row r="8" spans="2:12" x14ac:dyDescent="0.25">
      <c r="B8" s="30" t="s">
        <v>129</v>
      </c>
      <c r="C8" s="69">
        <v>10</v>
      </c>
    </row>
    <row r="10" spans="2:12" x14ac:dyDescent="0.25">
      <c r="B10" s="119" t="s">
        <v>118</v>
      </c>
      <c r="C10" s="120"/>
      <c r="D10" s="120"/>
      <c r="E10" s="120"/>
      <c r="F10" s="120"/>
      <c r="H10" s="126" t="s">
        <v>119</v>
      </c>
      <c r="I10" s="127"/>
      <c r="J10" s="127"/>
      <c r="K10" s="127"/>
      <c r="L10" s="127"/>
    </row>
    <row r="11" spans="2:12" x14ac:dyDescent="0.25">
      <c r="B11" s="121" t="s">
        <v>67</v>
      </c>
      <c r="C11" s="122" t="s">
        <v>120</v>
      </c>
      <c r="D11" s="122" t="s">
        <v>121</v>
      </c>
      <c r="E11" s="122" t="s">
        <v>122</v>
      </c>
      <c r="F11" s="122" t="s">
        <v>123</v>
      </c>
      <c r="H11" s="128" t="s">
        <v>67</v>
      </c>
      <c r="I11" s="129" t="s">
        <v>120</v>
      </c>
      <c r="J11" s="129" t="s">
        <v>121</v>
      </c>
      <c r="K11" s="129" t="s">
        <v>122</v>
      </c>
      <c r="L11" s="129" t="s">
        <v>123</v>
      </c>
    </row>
    <row r="12" spans="2:12" x14ac:dyDescent="0.25">
      <c r="B12" s="34">
        <v>0</v>
      </c>
      <c r="C12" s="123">
        <f>'Ingreso y Egresos'!G49</f>
        <v>907300000</v>
      </c>
      <c r="D12" s="123">
        <f t="shared" ref="D12:D22" si="0">C12*$C$4</f>
        <v>238166250</v>
      </c>
      <c r="E12" s="2">
        <v>0</v>
      </c>
      <c r="F12" s="123">
        <f t="shared" ref="F12:F22" si="1">$C$6</f>
        <v>263809728.68375269</v>
      </c>
      <c r="H12" s="34">
        <v>0</v>
      </c>
      <c r="I12" s="123">
        <f>'Ingreso y Egresos'!E49</f>
        <v>200700000</v>
      </c>
      <c r="J12" s="123">
        <f t="shared" ref="J12:J22" si="2">I12*$C$4</f>
        <v>52683750</v>
      </c>
      <c r="K12" s="2">
        <v>0</v>
      </c>
      <c r="L12" s="123">
        <f t="shared" ref="L12:L22" si="3">$C$7</f>
        <v>58356235.585615739</v>
      </c>
    </row>
    <row r="13" spans="2:12" x14ac:dyDescent="0.25">
      <c r="B13" s="34">
        <v>1</v>
      </c>
      <c r="C13" s="123">
        <f t="shared" ref="C13:C22" si="4">C12+D12-F12</f>
        <v>881656521.31624734</v>
      </c>
      <c r="D13" s="123">
        <f t="shared" si="0"/>
        <v>231434836.84551492</v>
      </c>
      <c r="E13" s="123">
        <f t="shared" ref="E13:E22" si="5">C12-C13</f>
        <v>25643478.683752656</v>
      </c>
      <c r="F13" s="123">
        <f t="shared" si="1"/>
        <v>263809728.68375269</v>
      </c>
      <c r="H13" s="34">
        <v>1</v>
      </c>
      <c r="I13" s="123">
        <f t="shared" ref="I13:I22" si="6">I12+J12-L12</f>
        <v>195027514.41438425</v>
      </c>
      <c r="J13" s="123">
        <f t="shared" si="2"/>
        <v>51194722.533775866</v>
      </c>
      <c r="K13" s="123">
        <f t="shared" ref="K13:K22" si="7">I12-I13</f>
        <v>5672485.5856157541</v>
      </c>
      <c r="L13" s="123">
        <f t="shared" si="3"/>
        <v>58356235.585615739</v>
      </c>
    </row>
    <row r="14" spans="2:12" x14ac:dyDescent="0.25">
      <c r="B14" s="34">
        <v>2</v>
      </c>
      <c r="C14" s="123">
        <f t="shared" si="4"/>
        <v>849281629.47800958</v>
      </c>
      <c r="D14" s="123">
        <f t="shared" si="0"/>
        <v>222936427.73797753</v>
      </c>
      <c r="E14" s="123">
        <f t="shared" si="5"/>
        <v>32374891.838237762</v>
      </c>
      <c r="F14" s="123">
        <f t="shared" si="1"/>
        <v>263809728.68375269</v>
      </c>
      <c r="H14" s="34">
        <v>2</v>
      </c>
      <c r="I14" s="123">
        <f t="shared" si="6"/>
        <v>187866001.36254436</v>
      </c>
      <c r="J14" s="123">
        <f t="shared" si="2"/>
        <v>49314825.357667893</v>
      </c>
      <c r="K14" s="123">
        <f t="shared" si="7"/>
        <v>7161513.0518398881</v>
      </c>
      <c r="L14" s="123">
        <f t="shared" si="3"/>
        <v>58356235.585615739</v>
      </c>
    </row>
    <row r="15" spans="2:12" x14ac:dyDescent="0.25">
      <c r="B15" s="34">
        <v>3</v>
      </c>
      <c r="C15" s="123">
        <f t="shared" si="4"/>
        <v>808408328.53223443</v>
      </c>
      <c r="D15" s="123">
        <f t="shared" si="0"/>
        <v>212207186.23971155</v>
      </c>
      <c r="E15" s="123">
        <f t="shared" si="5"/>
        <v>40873300.945775151</v>
      </c>
      <c r="F15" s="123">
        <f t="shared" si="1"/>
        <v>263809728.68375269</v>
      </c>
      <c r="H15" s="34">
        <v>3</v>
      </c>
      <c r="I15" s="123">
        <f t="shared" si="6"/>
        <v>178824591.13459653</v>
      </c>
      <c r="J15" s="123">
        <f t="shared" si="2"/>
        <v>46941455.172831587</v>
      </c>
      <c r="K15" s="123">
        <f t="shared" si="7"/>
        <v>9041410.2279478312</v>
      </c>
      <c r="L15" s="123">
        <f t="shared" si="3"/>
        <v>58356235.585615739</v>
      </c>
    </row>
    <row r="16" spans="2:12" x14ac:dyDescent="0.25">
      <c r="B16" s="34">
        <v>4</v>
      </c>
      <c r="C16" s="123">
        <f t="shared" si="4"/>
        <v>756805786.0881933</v>
      </c>
      <c r="D16" s="123">
        <f t="shared" si="0"/>
        <v>198661518.84815076</v>
      </c>
      <c r="E16" s="123">
        <f t="shared" si="5"/>
        <v>51602542.444041133</v>
      </c>
      <c r="F16" s="123">
        <f t="shared" si="1"/>
        <v>263809728.68375269</v>
      </c>
      <c r="H16" s="34">
        <v>4</v>
      </c>
      <c r="I16" s="123">
        <f t="shared" si="6"/>
        <v>167409810.72181237</v>
      </c>
      <c r="J16" s="123">
        <f t="shared" si="2"/>
        <v>43945075.314475745</v>
      </c>
      <c r="K16" s="123">
        <f t="shared" si="7"/>
        <v>11414780.412784159</v>
      </c>
      <c r="L16" s="123">
        <f t="shared" si="3"/>
        <v>58356235.585615739</v>
      </c>
    </row>
    <row r="17" spans="2:12" x14ac:dyDescent="0.25">
      <c r="B17" s="34">
        <v>5</v>
      </c>
      <c r="C17" s="123">
        <f t="shared" si="4"/>
        <v>691657576.25259137</v>
      </c>
      <c r="D17" s="123">
        <f t="shared" si="0"/>
        <v>181560113.76630524</v>
      </c>
      <c r="E17" s="123">
        <f t="shared" si="5"/>
        <v>65148209.835601926</v>
      </c>
      <c r="F17" s="123">
        <f t="shared" si="1"/>
        <v>263809728.68375269</v>
      </c>
      <c r="H17" s="34">
        <v>5</v>
      </c>
      <c r="I17" s="123">
        <f t="shared" si="6"/>
        <v>152998650.45067239</v>
      </c>
      <c r="J17" s="123">
        <f t="shared" si="2"/>
        <v>40162145.743301503</v>
      </c>
      <c r="K17" s="123">
        <f t="shared" si="7"/>
        <v>14411160.271139979</v>
      </c>
      <c r="L17" s="123">
        <f t="shared" si="3"/>
        <v>58356235.585615739</v>
      </c>
    </row>
    <row r="18" spans="2:12" x14ac:dyDescent="0.25">
      <c r="B18" s="34">
        <v>6</v>
      </c>
      <c r="C18" s="123">
        <f t="shared" si="4"/>
        <v>609407961.33514392</v>
      </c>
      <c r="D18" s="123">
        <f t="shared" si="0"/>
        <v>159969589.85047528</v>
      </c>
      <c r="E18" s="123">
        <f t="shared" si="5"/>
        <v>82249614.917447448</v>
      </c>
      <c r="F18" s="123">
        <f t="shared" si="1"/>
        <v>263809728.68375269</v>
      </c>
      <c r="H18" s="34">
        <v>6</v>
      </c>
      <c r="I18" s="123">
        <f t="shared" si="6"/>
        <v>134804560.60835814</v>
      </c>
      <c r="J18" s="123">
        <f t="shared" si="2"/>
        <v>35386197.159694016</v>
      </c>
      <c r="K18" s="123">
        <f t="shared" si="7"/>
        <v>18194089.842314243</v>
      </c>
      <c r="L18" s="123">
        <f t="shared" si="3"/>
        <v>58356235.585615739</v>
      </c>
    </row>
    <row r="19" spans="2:12" x14ac:dyDescent="0.25">
      <c r="B19" s="34">
        <v>7</v>
      </c>
      <c r="C19" s="123">
        <f t="shared" si="4"/>
        <v>505567822.50186658</v>
      </c>
      <c r="D19" s="123">
        <f t="shared" si="0"/>
        <v>132711553.40673998</v>
      </c>
      <c r="E19" s="123">
        <f t="shared" si="5"/>
        <v>103840138.83327734</v>
      </c>
      <c r="F19" s="123">
        <f t="shared" si="1"/>
        <v>263809728.68375269</v>
      </c>
      <c r="H19" s="34">
        <v>7</v>
      </c>
      <c r="I19" s="123">
        <f t="shared" si="6"/>
        <v>111834522.18243642</v>
      </c>
      <c r="J19" s="123">
        <f t="shared" si="2"/>
        <v>29356562.072889563</v>
      </c>
      <c r="K19" s="123">
        <f t="shared" si="7"/>
        <v>22970038.425921723</v>
      </c>
      <c r="L19" s="123">
        <f t="shared" si="3"/>
        <v>58356235.585615739</v>
      </c>
    </row>
    <row r="20" spans="2:12" x14ac:dyDescent="0.25">
      <c r="B20" s="34">
        <v>8</v>
      </c>
      <c r="C20" s="123">
        <f t="shared" si="4"/>
        <v>374469647.22485387</v>
      </c>
      <c r="D20" s="123">
        <f t="shared" si="0"/>
        <v>98298282.396524146</v>
      </c>
      <c r="E20" s="123">
        <f t="shared" si="5"/>
        <v>131098175.27701271</v>
      </c>
      <c r="F20" s="123">
        <f t="shared" si="1"/>
        <v>263809728.68375269</v>
      </c>
      <c r="H20" s="34">
        <v>8</v>
      </c>
      <c r="I20" s="123">
        <f t="shared" si="6"/>
        <v>82834848.669710234</v>
      </c>
      <c r="J20" s="123">
        <f t="shared" si="2"/>
        <v>21744147.775798935</v>
      </c>
      <c r="K20" s="123">
        <f t="shared" si="7"/>
        <v>28999673.512726188</v>
      </c>
      <c r="L20" s="123">
        <f t="shared" si="3"/>
        <v>58356235.585615739</v>
      </c>
    </row>
    <row r="21" spans="2:12" x14ac:dyDescent="0.25">
      <c r="B21" s="34">
        <v>9</v>
      </c>
      <c r="C21" s="123">
        <f t="shared" si="4"/>
        <v>208958200.93762532</v>
      </c>
      <c r="D21" s="123">
        <f t="shared" si="0"/>
        <v>54851527.746126652</v>
      </c>
      <c r="E21" s="123">
        <f t="shared" si="5"/>
        <v>165511446.28722855</v>
      </c>
      <c r="F21" s="123">
        <f t="shared" si="1"/>
        <v>263809728.68375269</v>
      </c>
      <c r="H21" s="34">
        <v>9</v>
      </c>
      <c r="I21" s="123">
        <f t="shared" si="6"/>
        <v>46222760.859893426</v>
      </c>
      <c r="J21" s="123">
        <f t="shared" si="2"/>
        <v>12133474.725722024</v>
      </c>
      <c r="K21" s="123">
        <f t="shared" si="7"/>
        <v>36612087.809816808</v>
      </c>
      <c r="L21" s="123">
        <f t="shared" si="3"/>
        <v>58356235.585615739</v>
      </c>
    </row>
    <row r="22" spans="2:12" x14ac:dyDescent="0.25">
      <c r="B22" s="34">
        <v>10</v>
      </c>
      <c r="C22" s="124">
        <f t="shared" si="4"/>
        <v>-7.152557373046875E-7</v>
      </c>
      <c r="D22" s="124">
        <f t="shared" si="0"/>
        <v>-1.8775463104248049E-7</v>
      </c>
      <c r="E22" s="123">
        <f t="shared" si="5"/>
        <v>208958200.93762603</v>
      </c>
      <c r="F22" s="123">
        <f t="shared" si="1"/>
        <v>263809728.68375269</v>
      </c>
      <c r="H22" s="34">
        <v>10</v>
      </c>
      <c r="I22" s="123">
        <f t="shared" si="6"/>
        <v>-2.905726432800293E-7</v>
      </c>
      <c r="J22" s="123">
        <f t="shared" si="2"/>
        <v>-7.6275318861007696E-8</v>
      </c>
      <c r="K22" s="123">
        <f t="shared" si="7"/>
        <v>46222760.859893717</v>
      </c>
      <c r="L22" s="123">
        <f t="shared" si="3"/>
        <v>58356235.585615739</v>
      </c>
    </row>
    <row r="23" spans="2:12" x14ac:dyDescent="0.25">
      <c r="B23" s="37" t="s">
        <v>124</v>
      </c>
      <c r="C23" s="37"/>
      <c r="D23" s="37"/>
      <c r="E23" s="37"/>
      <c r="F23" s="125">
        <f>SUM(F12:F22)</f>
        <v>2901907015.5212793</v>
      </c>
      <c r="H23" s="108" t="s">
        <v>124</v>
      </c>
      <c r="I23" s="109"/>
      <c r="J23" s="109"/>
      <c r="K23" s="110"/>
      <c r="L23" s="125">
        <f>SUM(L12:L22)</f>
        <v>641918591.44177318</v>
      </c>
    </row>
  </sheetData>
  <mergeCells count="6">
    <mergeCell ref="B10:F10"/>
    <mergeCell ref="H10:L10"/>
    <mergeCell ref="E2:I3"/>
    <mergeCell ref="B2:C2"/>
    <mergeCell ref="B23:E23"/>
    <mergeCell ref="H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C0B9-57DB-4B2E-95E7-8959E9F46CF4}">
  <dimension ref="B2:M42"/>
  <sheetViews>
    <sheetView zoomScale="76" zoomScaleNormal="76" workbookViewId="0">
      <selection activeCell="B39" sqref="B39:M40"/>
    </sheetView>
  </sheetViews>
  <sheetFormatPr baseColWidth="10" defaultRowHeight="15" x14ac:dyDescent="0.25"/>
  <cols>
    <col min="2" max="2" width="37.28515625" customWidth="1"/>
    <col min="3" max="3" width="20.5703125" customWidth="1"/>
    <col min="4" max="4" width="19.140625" customWidth="1"/>
    <col min="5" max="5" width="20.85546875" customWidth="1"/>
    <col min="6" max="6" width="20.140625" customWidth="1"/>
    <col min="7" max="7" width="19.5703125" customWidth="1"/>
    <col min="8" max="8" width="21.42578125" customWidth="1"/>
    <col min="9" max="9" width="19.7109375" customWidth="1"/>
    <col min="10" max="10" width="21" customWidth="1"/>
    <col min="11" max="11" width="21.85546875" customWidth="1"/>
    <col min="12" max="12" width="28.42578125" customWidth="1"/>
    <col min="13" max="13" width="31.140625" customWidth="1"/>
  </cols>
  <sheetData>
    <row r="2" spans="2:13" x14ac:dyDescent="0.25">
      <c r="B2" s="74" t="s">
        <v>157</v>
      </c>
      <c r="C2" s="29">
        <v>0.2</v>
      </c>
      <c r="E2" s="67" t="s">
        <v>160</v>
      </c>
      <c r="F2" s="67"/>
      <c r="G2" s="67"/>
      <c r="H2" s="67"/>
    </row>
    <row r="4" spans="2:13" x14ac:dyDescent="0.25">
      <c r="B4" s="131" t="s">
        <v>106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</row>
    <row r="5" spans="2:13" x14ac:dyDescent="0.25">
      <c r="B5" s="75" t="s">
        <v>131</v>
      </c>
      <c r="C5" s="76" t="s">
        <v>159</v>
      </c>
      <c r="D5" s="76" t="s">
        <v>132</v>
      </c>
      <c r="E5" s="76" t="s">
        <v>133</v>
      </c>
      <c r="F5" s="76" t="s">
        <v>134</v>
      </c>
      <c r="G5" s="76" t="s">
        <v>135</v>
      </c>
      <c r="H5" s="76" t="s">
        <v>136</v>
      </c>
      <c r="I5" s="76" t="s">
        <v>137</v>
      </c>
      <c r="J5" s="76" t="s">
        <v>138</v>
      </c>
      <c r="K5" s="76" t="s">
        <v>139</v>
      </c>
      <c r="L5" s="76" t="s">
        <v>140</v>
      </c>
      <c r="M5" s="76" t="s">
        <v>141</v>
      </c>
    </row>
    <row r="6" spans="2:13" x14ac:dyDescent="0.25">
      <c r="B6" s="75" t="s">
        <v>142</v>
      </c>
      <c r="C6" s="77">
        <f>'Ingreso y Egresos'!L11</f>
        <v>1149300000</v>
      </c>
      <c r="D6" s="77">
        <f>'Ingreso y Egresos'!L12</f>
        <v>1298708999.9999998</v>
      </c>
      <c r="E6" s="77">
        <f>'Ingreso y Egresos'!L13</f>
        <v>1467541169.9999998</v>
      </c>
      <c r="F6" s="77">
        <f>'Ingreso y Egresos'!L14</f>
        <v>1658321522.0999994</v>
      </c>
      <c r="G6" s="77">
        <f>'Ingreso y Egresos'!L15</f>
        <v>1873903319.9729991</v>
      </c>
      <c r="H6" s="77">
        <f>'Ingreso y Egresos'!L16</f>
        <v>2117510751.5694888</v>
      </c>
      <c r="I6" s="77">
        <f>'Ingreso y Egresos'!L17</f>
        <v>2392787149.2735219</v>
      </c>
      <c r="J6" s="77">
        <f>'Ingreso y Egresos'!L18</f>
        <v>2703849478.6790795</v>
      </c>
      <c r="K6" s="77">
        <f>'Ingreso y Egresos'!L19</f>
        <v>3055349910.9073596</v>
      </c>
      <c r="L6" s="77">
        <f>'Ingreso y Egresos'!L20</f>
        <v>3452545399.325316</v>
      </c>
      <c r="M6" s="77">
        <f>'Ingreso y Egresos'!L21</f>
        <v>3901376301.2376065</v>
      </c>
    </row>
    <row r="7" spans="2:13" x14ac:dyDescent="0.25">
      <c r="B7" s="2" t="s">
        <v>143</v>
      </c>
      <c r="C7" s="78">
        <f>-'Ingreso y Egresos'!$M11+'Ingreso y Egresos'!$E$72</f>
        <v>-1053599999.9999999</v>
      </c>
      <c r="D7" s="78">
        <f>-'Ingreso y Egresos'!$M12+'Ingreso y Egresos'!$E$72</f>
        <v>-1198154310.6261299</v>
      </c>
      <c r="E7" s="78">
        <f>-'Ingreso y Egresos'!$M13+'Ingreso y Egresos'!$E$72</f>
        <v>-1361500681.6336567</v>
      </c>
      <c r="F7" s="78">
        <f>-'Ingreso y Egresos'!$M14+'Ingreso y Egresos'!$E$72</f>
        <v>-1546082080.8721619</v>
      </c>
      <c r="G7" s="78">
        <f>-'Ingreso y Egresos'!$M15+'Ingreso y Egresos'!$E$72</f>
        <v>-1754659062.0116727</v>
      </c>
      <c r="H7" s="78">
        <f>-'Ingreso y Egresos'!$M16+'Ingreso y Egresos'!$E$72</f>
        <v>-1990351050.6993198</v>
      </c>
      <c r="I7" s="78">
        <f>-'Ingreso y Egresos'!$M17+'Ingreso y Egresos'!$E$72</f>
        <v>-2256682997.9163609</v>
      </c>
      <c r="J7" s="78">
        <f>-'Ingreso y Egresos'!$M18+'Ingreso y Egresos'!$E$72</f>
        <v>-2557638098.2716179</v>
      </c>
      <c r="K7" s="78">
        <f>-'Ingreso y Egresos'!$M19+'Ingreso y Egresos'!$E$72</f>
        <v>-2897717361.673058</v>
      </c>
      <c r="L7" s="78">
        <f>-'Ingreso y Egresos'!$M20+'Ingreso y Egresos'!$E$72</f>
        <v>-3282006929.3166857</v>
      </c>
      <c r="M7" s="78">
        <f>-'Ingreso y Egresos'!$M21+'Ingreso y Egresos'!$E$72</f>
        <v>-3716254140.753984</v>
      </c>
    </row>
    <row r="8" spans="2:13" x14ac:dyDescent="0.25">
      <c r="B8" s="83" t="s">
        <v>144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</row>
    <row r="9" spans="2:13" x14ac:dyDescent="0.25">
      <c r="B9" s="15" t="s">
        <v>145</v>
      </c>
      <c r="C9" s="151">
        <f>-(SUM('Ingreso y Egresos'!$E$12:$E$17)+SUM('Ingreso y Egresos'!$E$38:$E$40))*'Ingreso y Egresos'!$C$6</f>
        <v>-6660000</v>
      </c>
      <c r="D9" s="151">
        <f>-(SUM('Ingreso y Egresos'!$E$12:$E$17)+SUM('Ingreso y Egresos'!$E$38:$E$40))*'Ingreso y Egresos'!$C$6</f>
        <v>-6660000</v>
      </c>
      <c r="E9" s="151">
        <f>-(SUM('Ingreso y Egresos'!$E$12:$E$17)+SUM('Ingreso y Egresos'!$E$38:$E$40))*'Ingreso y Egresos'!$C$6</f>
        <v>-6660000</v>
      </c>
      <c r="F9" s="151">
        <f>-(SUM('Ingreso y Egresos'!$E$12:$E$17)+SUM('Ingreso y Egresos'!$E$38:$E$40))*'Ingreso y Egresos'!$C$6</f>
        <v>-6660000</v>
      </c>
      <c r="G9" s="151">
        <f>-(SUM('Ingreso y Egresos'!$E$12:$E$17)+SUM('Ingreso y Egresos'!$E$38:$E$40))*'Ingreso y Egresos'!$C$6</f>
        <v>-6660000</v>
      </c>
      <c r="H9" s="151">
        <f>-(SUM('Ingreso y Egresos'!$E$12:$E$17)+SUM('Ingreso y Egresos'!$E$38:$E$40))*'Ingreso y Egresos'!$C$6</f>
        <v>-6660000</v>
      </c>
      <c r="I9" s="151">
        <f>-(SUM('Ingreso y Egresos'!$E$12:$E$17)+SUM('Ingreso y Egresos'!$E$38:$E$40))*'Ingreso y Egresos'!$C$6</f>
        <v>-6660000</v>
      </c>
      <c r="J9" s="151">
        <f>-(SUM('Ingreso y Egresos'!$E$12:$E$17)+SUM('Ingreso y Egresos'!$E$38:$E$40))*'Ingreso y Egresos'!$C$6</f>
        <v>-6660000</v>
      </c>
      <c r="K9" s="151">
        <f>-(SUM('Ingreso y Egresos'!$E$12:$E$17)+SUM('Ingreso y Egresos'!$E$38:$E$40))*'Ingreso y Egresos'!$C$6</f>
        <v>-6660000</v>
      </c>
      <c r="L9" s="151">
        <f>-(SUM('Ingreso y Egresos'!$E$12:$E$17)+SUM('Ingreso y Egresos'!$E$38:$E$40))*'Ingreso y Egresos'!$C$6</f>
        <v>-6660000</v>
      </c>
      <c r="M9" s="151">
        <f>-(SUM('Ingreso y Egresos'!$E$12:$E$17)+SUM('Ingreso y Egresos'!$E$38:$E$40))*'Ingreso y Egresos'!$C$6</f>
        <v>-6660000</v>
      </c>
    </row>
    <row r="10" spans="2:13" x14ac:dyDescent="0.25">
      <c r="B10" s="15" t="s">
        <v>146</v>
      </c>
      <c r="C10" s="151">
        <f>-'Estado Deuda'!$K13</f>
        <v>-5672485.5856157541</v>
      </c>
      <c r="D10" s="151">
        <f>-'Estado Deuda'!$K14</f>
        <v>-7161513.0518398881</v>
      </c>
      <c r="E10" s="151">
        <f>-'Estado Deuda'!$K15</f>
        <v>-9041410.2279478312</v>
      </c>
      <c r="F10" s="151">
        <f>-'Estado Deuda'!$K16</f>
        <v>-11414780.412784159</v>
      </c>
      <c r="G10" s="151">
        <f>-'Estado Deuda'!$K17</f>
        <v>-14411160.271139979</v>
      </c>
      <c r="H10" s="151">
        <f>-'Estado Deuda'!$K18</f>
        <v>-18194089.842314243</v>
      </c>
      <c r="I10" s="151">
        <f>-'Estado Deuda'!$K19</f>
        <v>-22970038.425921723</v>
      </c>
      <c r="J10" s="151">
        <f>-'Estado Deuda'!$K20</f>
        <v>-28999673.512726188</v>
      </c>
      <c r="K10" s="151">
        <f>-'Estado Deuda'!$K21</f>
        <v>-36612087.809816808</v>
      </c>
      <c r="L10" s="151">
        <f>-'Estado Deuda'!$K22</f>
        <v>-46222760.859893717</v>
      </c>
      <c r="M10" s="151">
        <f>-'Estado Deuda'!$K23</f>
        <v>0</v>
      </c>
    </row>
    <row r="11" spans="2:13" x14ac:dyDescent="0.25">
      <c r="B11" s="15" t="s">
        <v>147</v>
      </c>
      <c r="C11" s="151">
        <v>0</v>
      </c>
      <c r="D11" s="151">
        <v>0</v>
      </c>
      <c r="E11" s="151">
        <v>0</v>
      </c>
      <c r="F11" s="152">
        <v>0</v>
      </c>
      <c r="G11" s="152">
        <v>0</v>
      </c>
      <c r="H11" s="152">
        <v>0</v>
      </c>
      <c r="I11" s="152">
        <v>0</v>
      </c>
      <c r="J11" s="152">
        <v>0</v>
      </c>
      <c r="K11" s="152">
        <v>0</v>
      </c>
      <c r="L11" s="152">
        <v>0</v>
      </c>
      <c r="M11" s="152">
        <v>0</v>
      </c>
    </row>
    <row r="12" spans="2:13" x14ac:dyDescent="0.25">
      <c r="B12" s="79" t="s">
        <v>148</v>
      </c>
      <c r="C12" s="80">
        <f t="shared" ref="C12:L12" si="0">SUM(C6:C11)</f>
        <v>83367514.414384365</v>
      </c>
      <c r="D12" s="80">
        <f t="shared" si="0"/>
        <v>86733176.322030008</v>
      </c>
      <c r="E12" s="80">
        <f t="shared" si="0"/>
        <v>90339078.13839519</v>
      </c>
      <c r="F12" s="80">
        <f t="shared" si="0"/>
        <v>94164660.815053403</v>
      </c>
      <c r="G12" s="80">
        <f t="shared" si="0"/>
        <v>98173097.690186381</v>
      </c>
      <c r="H12" s="80">
        <f t="shared" si="0"/>
        <v>102305611.02785468</v>
      </c>
      <c r="I12" s="80">
        <f t="shared" si="0"/>
        <v>106474112.93123932</v>
      </c>
      <c r="J12" s="80">
        <f t="shared" si="0"/>
        <v>110551706.89473546</v>
      </c>
      <c r="K12" s="80">
        <f t="shared" si="0"/>
        <v>114360461.42448476</v>
      </c>
      <c r="L12" s="80">
        <f t="shared" si="0"/>
        <v>117655709.14873657</v>
      </c>
      <c r="M12" s="80">
        <f t="shared" ref="M12" si="1">SUM(M6:M11)</f>
        <v>178462160.48362255</v>
      </c>
    </row>
    <row r="13" spans="2:13" x14ac:dyDescent="0.25">
      <c r="B13" s="2" t="s">
        <v>149</v>
      </c>
      <c r="C13" s="78"/>
      <c r="D13" s="78"/>
      <c r="E13" s="78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83" t="s">
        <v>150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</row>
    <row r="15" spans="2:13" x14ac:dyDescent="0.25">
      <c r="B15" s="2" t="s">
        <v>151</v>
      </c>
      <c r="C15" s="78">
        <f>-'Estado Deuda'!$J12</f>
        <v>-52683750</v>
      </c>
      <c r="D15" s="78">
        <f>-'Estado Deuda'!$J13</f>
        <v>-51194722.533775866</v>
      </c>
      <c r="E15" s="78">
        <f>-'Estado Deuda'!$J14</f>
        <v>-49314825.357667893</v>
      </c>
      <c r="F15" s="78">
        <f>-'Estado Deuda'!$J15</f>
        <v>-46941455.172831587</v>
      </c>
      <c r="G15" s="78">
        <f>-'Estado Deuda'!$J16</f>
        <v>-43945075.314475745</v>
      </c>
      <c r="H15" s="78">
        <f>-'Estado Deuda'!$J17</f>
        <v>-40162145.743301503</v>
      </c>
      <c r="I15" s="78">
        <f>-'Estado Deuda'!$J18</f>
        <v>-35386197.159694016</v>
      </c>
      <c r="J15" s="78">
        <f>-'Estado Deuda'!$J19</f>
        <v>-29356562.072889563</v>
      </c>
      <c r="K15" s="78">
        <f>-'Estado Deuda'!$J20</f>
        <v>-21744147.775798935</v>
      </c>
      <c r="L15" s="78">
        <f>-'Estado Deuda'!$J21</f>
        <v>-12133474.725722024</v>
      </c>
      <c r="M15" s="78">
        <f>-'Estado Deuda'!$J22</f>
        <v>7.6275318861007696E-8</v>
      </c>
    </row>
    <row r="16" spans="2:13" x14ac:dyDescent="0.25">
      <c r="B16" s="79" t="s">
        <v>152</v>
      </c>
      <c r="C16" s="80">
        <f t="shared" ref="C16:L16" si="2">SUM(C12:C15)</f>
        <v>30683764.414384365</v>
      </c>
      <c r="D16" s="80">
        <f t="shared" si="2"/>
        <v>35538453.788254142</v>
      </c>
      <c r="E16" s="80">
        <f t="shared" si="2"/>
        <v>41024252.780727297</v>
      </c>
      <c r="F16" s="80">
        <f t="shared" si="2"/>
        <v>47223205.642221816</v>
      </c>
      <c r="G16" s="80">
        <f t="shared" si="2"/>
        <v>54228022.375710636</v>
      </c>
      <c r="H16" s="80">
        <f t="shared" si="2"/>
        <v>62143465.284553178</v>
      </c>
      <c r="I16" s="80">
        <f t="shared" si="2"/>
        <v>71087915.771545306</v>
      </c>
      <c r="J16" s="80">
        <f t="shared" si="2"/>
        <v>81195144.821845889</v>
      </c>
      <c r="K16" s="80">
        <f t="shared" si="2"/>
        <v>92616313.648685828</v>
      </c>
      <c r="L16" s="80">
        <f t="shared" si="2"/>
        <v>105522234.42301454</v>
      </c>
      <c r="M16" s="80">
        <f t="shared" ref="M16" si="3">SUM(M12:M15)</f>
        <v>178462160.48362264</v>
      </c>
    </row>
    <row r="17" spans="2:13" x14ac:dyDescent="0.25">
      <c r="B17" s="2" t="s">
        <v>153</v>
      </c>
      <c r="C17" s="78">
        <f>C16*'Ingreso y Egresos'!$C$5</f>
        <v>10739317.545034528</v>
      </c>
      <c r="D17" s="78">
        <f>D16*'Ingreso y Egresos'!$C$5</f>
        <v>12438458.825888949</v>
      </c>
      <c r="E17" s="78">
        <f>E16*'Ingreso y Egresos'!$C$5</f>
        <v>14358488.473254554</v>
      </c>
      <c r="F17" s="78">
        <f>F16*'Ingreso y Egresos'!$C$5</f>
        <v>16528121.974777635</v>
      </c>
      <c r="G17" s="78">
        <f>G16*'Ingreso y Egresos'!$C$5</f>
        <v>18979807.83149872</v>
      </c>
      <c r="H17" s="78">
        <f>H16*'Ingreso y Egresos'!$C$5</f>
        <v>21750212.84959361</v>
      </c>
      <c r="I17" s="78">
        <f>I16*'Ingreso y Egresos'!$C$5</f>
        <v>24880770.520040855</v>
      </c>
      <c r="J17" s="78">
        <f>J16*'Ingreso y Egresos'!$C$5</f>
        <v>28418300.687646061</v>
      </c>
      <c r="K17" s="78">
        <f>K16*'Ingreso y Egresos'!$C$5</f>
        <v>32415709.777040038</v>
      </c>
      <c r="L17" s="78">
        <f>L16*'Ingreso y Egresos'!$C$5</f>
        <v>36932782.048055083</v>
      </c>
      <c r="M17" s="78">
        <f>M16*'Ingreso y Egresos'!$C$5</f>
        <v>62461756.169267923</v>
      </c>
    </row>
    <row r="18" spans="2:13" x14ac:dyDescent="0.25">
      <c r="B18" s="79" t="s">
        <v>154</v>
      </c>
      <c r="C18" s="80">
        <f t="shared" ref="C18:L18" si="4">+C16-C17</f>
        <v>19944446.869349837</v>
      </c>
      <c r="D18" s="80">
        <f t="shared" si="4"/>
        <v>23099994.962365195</v>
      </c>
      <c r="E18" s="80">
        <f t="shared" si="4"/>
        <v>26665764.307472743</v>
      </c>
      <c r="F18" s="80">
        <f t="shared" si="4"/>
        <v>30695083.667444181</v>
      </c>
      <c r="G18" s="80">
        <f t="shared" si="4"/>
        <v>35248214.544211917</v>
      </c>
      <c r="H18" s="80">
        <f t="shared" si="4"/>
        <v>40393252.434959568</v>
      </c>
      <c r="I18" s="80">
        <f t="shared" si="4"/>
        <v>46207145.251504451</v>
      </c>
      <c r="J18" s="80">
        <f t="shared" si="4"/>
        <v>52776844.134199828</v>
      </c>
      <c r="K18" s="80">
        <f t="shared" si="4"/>
        <v>60200603.871645793</v>
      </c>
      <c r="L18" s="80">
        <f t="shared" si="4"/>
        <v>68589452.374959454</v>
      </c>
      <c r="M18" s="80">
        <f t="shared" ref="M18" si="5">+M16-M17</f>
        <v>116000404.31435472</v>
      </c>
    </row>
    <row r="19" spans="2:13" x14ac:dyDescent="0.25">
      <c r="B19" s="15" t="s">
        <v>155</v>
      </c>
      <c r="C19" s="151">
        <f>C18*0.1</f>
        <v>1994444.6869349838</v>
      </c>
      <c r="D19" s="151">
        <f t="shared" ref="D19:M19" si="6">D18*0.1</f>
        <v>2309999.4962365194</v>
      </c>
      <c r="E19" s="151">
        <f t="shared" si="6"/>
        <v>2666576.4307472743</v>
      </c>
      <c r="F19" s="151">
        <f t="shared" si="6"/>
        <v>3069508.3667444182</v>
      </c>
      <c r="G19" s="151">
        <f t="shared" si="6"/>
        <v>3524821.4544211919</v>
      </c>
      <c r="H19" s="151">
        <f t="shared" si="6"/>
        <v>4039325.243495957</v>
      </c>
      <c r="I19" s="151">
        <f t="shared" si="6"/>
        <v>4620714.5251504453</v>
      </c>
      <c r="J19" s="151">
        <f t="shared" si="6"/>
        <v>5277684.4134199833</v>
      </c>
      <c r="K19" s="151">
        <f t="shared" si="6"/>
        <v>6020060.3871645797</v>
      </c>
      <c r="L19" s="151">
        <f t="shared" si="6"/>
        <v>6858945.2374959458</v>
      </c>
      <c r="M19" s="151">
        <f t="shared" si="6"/>
        <v>11600040.431435473</v>
      </c>
    </row>
    <row r="20" spans="2:13" x14ac:dyDescent="0.25">
      <c r="B20" s="15" t="s">
        <v>156</v>
      </c>
      <c r="C20" s="151">
        <f t="shared" ref="C20:L20" si="7">+C18-C19</f>
        <v>17950002.182414852</v>
      </c>
      <c r="D20" s="151">
        <f t="shared" si="7"/>
        <v>20789995.466128677</v>
      </c>
      <c r="E20" s="151">
        <f t="shared" si="7"/>
        <v>23999187.876725469</v>
      </c>
      <c r="F20" s="151">
        <f t="shared" si="7"/>
        <v>27625575.300699763</v>
      </c>
      <c r="G20" s="151">
        <f t="shared" si="7"/>
        <v>31723393.089790724</v>
      </c>
      <c r="H20" s="151">
        <f t="shared" si="7"/>
        <v>36353927.191463612</v>
      </c>
      <c r="I20" s="151">
        <f t="shared" si="7"/>
        <v>41586430.726354003</v>
      </c>
      <c r="J20" s="151">
        <f t="shared" si="7"/>
        <v>47499159.720779844</v>
      </c>
      <c r="K20" s="151">
        <f t="shared" si="7"/>
        <v>54180543.484481215</v>
      </c>
      <c r="L20" s="151">
        <f t="shared" si="7"/>
        <v>61730507.13746351</v>
      </c>
      <c r="M20" s="151">
        <f t="shared" ref="M20" si="8">+M18-M19</f>
        <v>104400363.88291925</v>
      </c>
    </row>
    <row r="21" spans="2:13" x14ac:dyDescent="0.25">
      <c r="B21" s="15" t="s">
        <v>157</v>
      </c>
      <c r="C21" s="151">
        <f>C20*$C$2</f>
        <v>3590000.4364829706</v>
      </c>
      <c r="D21" s="151">
        <f t="shared" ref="D21:M21" si="9">D20*$C$2</f>
        <v>4157999.0932257357</v>
      </c>
      <c r="E21" s="151">
        <f t="shared" si="9"/>
        <v>4799837.5753450943</v>
      </c>
      <c r="F21" s="151">
        <f t="shared" si="9"/>
        <v>5525115.0601399532</v>
      </c>
      <c r="G21" s="151">
        <f t="shared" si="9"/>
        <v>6344678.6179581452</v>
      </c>
      <c r="H21" s="151">
        <f t="shared" si="9"/>
        <v>7270785.4382927231</v>
      </c>
      <c r="I21" s="151">
        <f t="shared" si="9"/>
        <v>8317286.1452708011</v>
      </c>
      <c r="J21" s="151">
        <f t="shared" si="9"/>
        <v>9499831.9441559687</v>
      </c>
      <c r="K21" s="151">
        <f t="shared" si="9"/>
        <v>10836108.696896244</v>
      </c>
      <c r="L21" s="151">
        <f t="shared" si="9"/>
        <v>12346101.427492702</v>
      </c>
      <c r="M21" s="151">
        <f t="shared" si="9"/>
        <v>20880072.77658385</v>
      </c>
    </row>
    <row r="22" spans="2:13" x14ac:dyDescent="0.25">
      <c r="B22" s="81" t="s">
        <v>158</v>
      </c>
      <c r="C22" s="82">
        <f t="shared" ref="C22:L22" si="10">+C20-C21</f>
        <v>14360001.745931882</v>
      </c>
      <c r="D22" s="82">
        <f t="shared" si="10"/>
        <v>16631996.372902941</v>
      </c>
      <c r="E22" s="82">
        <f t="shared" si="10"/>
        <v>19199350.301380374</v>
      </c>
      <c r="F22" s="82">
        <f t="shared" si="10"/>
        <v>22100460.240559809</v>
      </c>
      <c r="G22" s="82">
        <f t="shared" si="10"/>
        <v>25378714.471832581</v>
      </c>
      <c r="H22" s="82">
        <f t="shared" si="10"/>
        <v>29083141.753170889</v>
      </c>
      <c r="I22" s="82">
        <f t="shared" si="10"/>
        <v>33269144.581083201</v>
      </c>
      <c r="J22" s="82">
        <f t="shared" si="10"/>
        <v>37999327.776623875</v>
      </c>
      <c r="K22" s="82">
        <f t="shared" si="10"/>
        <v>43344434.787584975</v>
      </c>
      <c r="L22" s="82">
        <f t="shared" si="10"/>
        <v>49384405.70997081</v>
      </c>
      <c r="M22" s="82">
        <f t="shared" ref="M22" si="11">+M20-M21</f>
        <v>83520291.106335402</v>
      </c>
    </row>
    <row r="24" spans="2:13" x14ac:dyDescent="0.25">
      <c r="B24" s="132" t="s">
        <v>107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</row>
    <row r="25" spans="2:13" x14ac:dyDescent="0.25">
      <c r="B25" s="75" t="s">
        <v>131</v>
      </c>
      <c r="C25" s="76" t="s">
        <v>159</v>
      </c>
      <c r="D25" s="76" t="s">
        <v>132</v>
      </c>
      <c r="E25" s="76" t="s">
        <v>133</v>
      </c>
      <c r="F25" s="76" t="s">
        <v>134</v>
      </c>
      <c r="G25" s="76" t="s">
        <v>135</v>
      </c>
      <c r="H25" s="76" t="s">
        <v>136</v>
      </c>
      <c r="I25" s="76" t="s">
        <v>137</v>
      </c>
      <c r="J25" s="76" t="s">
        <v>138</v>
      </c>
      <c r="K25" s="76" t="s">
        <v>139</v>
      </c>
      <c r="L25" s="76" t="s">
        <v>140</v>
      </c>
      <c r="M25" s="76" t="s">
        <v>141</v>
      </c>
    </row>
    <row r="26" spans="2:13" x14ac:dyDescent="0.25">
      <c r="B26" s="75" t="s">
        <v>142</v>
      </c>
      <c r="C26" s="77">
        <f>'Ingreso y Egresos'!$O11</f>
        <v>2855700000</v>
      </c>
      <c r="D26" s="77">
        <f>'Ingreso y Egresos'!$O12</f>
        <v>3226940999.9999995</v>
      </c>
      <c r="E26" s="77">
        <f>'Ingreso y Egresos'!$O13</f>
        <v>3646443329.999999</v>
      </c>
      <c r="F26" s="77">
        <f>'Ingreso y Egresos'!$O14</f>
        <v>4120480962.8999982</v>
      </c>
      <c r="G26" s="77">
        <f>'Ingreso y Egresos'!$O15</f>
        <v>4656143488.0769978</v>
      </c>
      <c r="H26" s="77">
        <f>'Ingreso y Egresos'!$O16</f>
        <v>5261442141.5270071</v>
      </c>
      <c r="I26" s="77">
        <f>'Ingreso y Egresos'!$O17</f>
        <v>5945429619.9255161</v>
      </c>
      <c r="J26" s="77">
        <f>'Ingreso y Egresos'!$O18</f>
        <v>6718335470.5158329</v>
      </c>
      <c r="K26" s="77">
        <f>'Ingreso y Egresos'!$O19</f>
        <v>7591719081.6828918</v>
      </c>
      <c r="L26" s="77">
        <f>'Ingreso y Egresos'!$O20</f>
        <v>8578642562.3016663</v>
      </c>
      <c r="M26" s="77">
        <f>'Ingreso y Egresos'!$O21</f>
        <v>9693866095.4008808</v>
      </c>
    </row>
    <row r="27" spans="2:13" x14ac:dyDescent="0.25">
      <c r="B27" s="2" t="s">
        <v>143</v>
      </c>
      <c r="C27" s="78">
        <f>-'Ingreso y Egresos'!$P11+'Ingreso y Egresos'!$G$72</f>
        <v>-2369400000</v>
      </c>
      <c r="D27" s="78">
        <f>-'Ingreso y Egresos'!$P12+'Ingreso y Egresos'!$G$72</f>
        <v>-2711717264.7288876</v>
      </c>
      <c r="E27" s="78">
        <f>-'Ingreso y Egresos'!$P13+'Ingreso y Egresos'!$G$72</f>
        <v>-3098535773.8725305</v>
      </c>
      <c r="F27" s="78">
        <f>-'Ingreso y Egresos'!$P14+'Ingreso y Egresos'!$G$72</f>
        <v>-3535640689.2048464</v>
      </c>
      <c r="G27" s="78">
        <f>-'Ingreso y Egresos'!$P15+'Ingreso y Egresos'!$G$72</f>
        <v>-4029569243.530364</v>
      </c>
      <c r="H27" s="78">
        <f>-'Ingreso y Egresos'!$P16+'Ingreso y Egresos'!$G$72</f>
        <v>-4587708509.9181976</v>
      </c>
      <c r="I27" s="78">
        <f>-'Ingreso y Egresos'!$P17+'Ingreso y Egresos'!$G$72</f>
        <v>-5218405880.936451</v>
      </c>
      <c r="J27" s="78">
        <f>-'Ingreso y Egresos'!$P18+'Ingreso y Egresos'!$G$72</f>
        <v>-5931093910.1870766</v>
      </c>
      <c r="K27" s="78">
        <f>-'Ingreso y Egresos'!$P19+'Ingreso y Egresos'!$G$72</f>
        <v>-6736431383.240284</v>
      </c>
      <c r="L27" s="78">
        <f>-'Ingreso y Egresos'!$P20+'Ingreso y Egresos'!$G$72</f>
        <v>-7646462727.7904081</v>
      </c>
      <c r="M27" s="78">
        <f>-'Ingreso y Egresos'!$P21+'Ingreso y Egresos'!$G$72</f>
        <v>-8674798147.1320496</v>
      </c>
    </row>
    <row r="28" spans="2:13" x14ac:dyDescent="0.25">
      <c r="B28" s="83" t="s">
        <v>144</v>
      </c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</row>
    <row r="29" spans="2:13" x14ac:dyDescent="0.25">
      <c r="B29" s="15" t="s">
        <v>145</v>
      </c>
      <c r="C29" s="151">
        <f>-(SUM('Ingreso y Egresos'!$G$12:$G$35)+SUM('Ingreso y Egresos'!$G$38:$G$40))*'Ingreso y Egresos'!$C$6</f>
        <v>-37490000</v>
      </c>
      <c r="D29" s="151">
        <f>-(SUM('Ingreso y Egresos'!$G$12:$G$35)+SUM('Ingreso y Egresos'!$G$38:$G$40))*'Ingreso y Egresos'!$C$6</f>
        <v>-37490000</v>
      </c>
      <c r="E29" s="151">
        <f>-(SUM('Ingreso y Egresos'!$G$12:$G$35)+SUM('Ingreso y Egresos'!$G$38:$G$40))*'Ingreso y Egresos'!$C$6</f>
        <v>-37490000</v>
      </c>
      <c r="F29" s="151">
        <f>-(SUM('Ingreso y Egresos'!$G$12:$G$35)+SUM('Ingreso y Egresos'!$G$38:$G$40))*'Ingreso y Egresos'!$C$6</f>
        <v>-37490000</v>
      </c>
      <c r="G29" s="151">
        <f>-(SUM('Ingreso y Egresos'!$G$12:$G$35)+SUM('Ingreso y Egresos'!$G$38:$G$40))*'Ingreso y Egresos'!$C$6</f>
        <v>-37490000</v>
      </c>
      <c r="H29" s="151">
        <f>-(SUM('Ingreso y Egresos'!$G$12:$G$35)+SUM('Ingreso y Egresos'!$G$38:$G$40))*'Ingreso y Egresos'!$C$6</f>
        <v>-37490000</v>
      </c>
      <c r="I29" s="151">
        <f>-(SUM('Ingreso y Egresos'!$G$12:$G$35)+SUM('Ingreso y Egresos'!$G$38:$G$40))*'Ingreso y Egresos'!$C$6</f>
        <v>-37490000</v>
      </c>
      <c r="J29" s="151">
        <f>-(SUM('Ingreso y Egresos'!$G$12:$G$35)+SUM('Ingreso y Egresos'!$G$38:$G$40))*'Ingreso y Egresos'!$C$6</f>
        <v>-37490000</v>
      </c>
      <c r="K29" s="151">
        <f>-(SUM('Ingreso y Egresos'!$G$12:$G$35)+SUM('Ingreso y Egresos'!$G$38:$G$40))*'Ingreso y Egresos'!$C$6</f>
        <v>-37490000</v>
      </c>
      <c r="L29" s="151">
        <f>-(SUM('Ingreso y Egresos'!$G$12:$G$35)+SUM('Ingreso y Egresos'!$G$38:$G$40))*'Ingreso y Egresos'!$C$6</f>
        <v>-37490000</v>
      </c>
      <c r="M29" s="151">
        <f>-(SUM('Ingreso y Egresos'!$G$12:$G$35)+SUM('Ingreso y Egresos'!$G$38:$G$40))*'Ingreso y Egresos'!$C$6</f>
        <v>-37490000</v>
      </c>
    </row>
    <row r="30" spans="2:13" x14ac:dyDescent="0.25">
      <c r="B30" s="15" t="s">
        <v>146</v>
      </c>
      <c r="C30" s="151">
        <f>-'Estado Deuda'!$E13</f>
        <v>-25643478.683752656</v>
      </c>
      <c r="D30" s="151">
        <f>-'Estado Deuda'!$E14</f>
        <v>-32374891.838237762</v>
      </c>
      <c r="E30" s="151">
        <f>-'Estado Deuda'!$E15</f>
        <v>-40873300.945775151</v>
      </c>
      <c r="F30" s="151">
        <f>-'Estado Deuda'!$E16</f>
        <v>-51602542.444041133</v>
      </c>
      <c r="G30" s="151">
        <f>-'Estado Deuda'!$E17</f>
        <v>-65148209.835601926</v>
      </c>
      <c r="H30" s="151">
        <f>-'Estado Deuda'!$E18</f>
        <v>-82249614.917447448</v>
      </c>
      <c r="I30" s="151">
        <f>-'Estado Deuda'!$E19</f>
        <v>-103840138.83327734</v>
      </c>
      <c r="J30" s="151">
        <f>-'Estado Deuda'!$E20</f>
        <v>-131098175.27701271</v>
      </c>
      <c r="K30" s="151">
        <f>-'Estado Deuda'!$E21</f>
        <v>-165511446.28722855</v>
      </c>
      <c r="L30" s="151">
        <f>-'Estado Deuda'!$E22</f>
        <v>-208958200.93762603</v>
      </c>
      <c r="M30" s="151">
        <f>-'Estado Deuda'!$E23</f>
        <v>0</v>
      </c>
    </row>
    <row r="31" spans="2:13" x14ac:dyDescent="0.25">
      <c r="B31" s="15" t="s">
        <v>147</v>
      </c>
      <c r="C31" s="151">
        <v>0</v>
      </c>
      <c r="D31" s="151">
        <v>0</v>
      </c>
      <c r="E31" s="151">
        <v>0</v>
      </c>
      <c r="F31" s="152">
        <v>0</v>
      </c>
      <c r="G31" s="152">
        <v>0</v>
      </c>
      <c r="H31" s="152">
        <v>0</v>
      </c>
      <c r="I31" s="152">
        <v>0</v>
      </c>
      <c r="J31" s="152">
        <v>0</v>
      </c>
      <c r="K31" s="152">
        <v>0</v>
      </c>
      <c r="L31" s="152">
        <v>0</v>
      </c>
      <c r="M31" s="152">
        <v>0</v>
      </c>
    </row>
    <row r="32" spans="2:13" x14ac:dyDescent="0.25">
      <c r="B32" s="79" t="s">
        <v>148</v>
      </c>
      <c r="C32" s="80">
        <f t="shared" ref="C32:M32" si="12">SUM(C26:C31)</f>
        <v>423166521.31624734</v>
      </c>
      <c r="D32" s="80">
        <f t="shared" si="12"/>
        <v>445358843.4328742</v>
      </c>
      <c r="E32" s="80">
        <f t="shared" si="12"/>
        <v>469544255.18169343</v>
      </c>
      <c r="F32" s="80">
        <f t="shared" si="12"/>
        <v>495747731.25111067</v>
      </c>
      <c r="G32" s="80">
        <f t="shared" si="12"/>
        <v>523936034.71103179</v>
      </c>
      <c r="H32" s="80">
        <f t="shared" si="12"/>
        <v>553994016.69136202</v>
      </c>
      <c r="I32" s="80">
        <f t="shared" si="12"/>
        <v>585693600.15578783</v>
      </c>
      <c r="J32" s="80">
        <f t="shared" si="12"/>
        <v>618653385.05174363</v>
      </c>
      <c r="K32" s="80">
        <f t="shared" si="12"/>
        <v>652286252.1553793</v>
      </c>
      <c r="L32" s="80">
        <f t="shared" si="12"/>
        <v>685731633.57363212</v>
      </c>
      <c r="M32" s="80">
        <f t="shared" si="12"/>
        <v>981577948.26883125</v>
      </c>
    </row>
    <row r="33" spans="2:13" x14ac:dyDescent="0.25">
      <c r="B33" s="2" t="s">
        <v>149</v>
      </c>
      <c r="C33" s="78"/>
      <c r="D33" s="78"/>
      <c r="E33" s="78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83" t="s">
        <v>150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</row>
    <row r="35" spans="2:13" x14ac:dyDescent="0.25">
      <c r="B35" s="2" t="s">
        <v>151</v>
      </c>
      <c r="C35" s="78">
        <f>-'Estado Deuda'!$D12</f>
        <v>-238166250</v>
      </c>
      <c r="D35" s="78">
        <f>-'Estado Deuda'!$D13</f>
        <v>-231434836.84551492</v>
      </c>
      <c r="E35" s="78">
        <f>-'Estado Deuda'!$D14</f>
        <v>-222936427.73797753</v>
      </c>
      <c r="F35" s="78">
        <f>-'Estado Deuda'!$D15</f>
        <v>-212207186.23971155</v>
      </c>
      <c r="G35" s="78">
        <f>-'Estado Deuda'!$D16</f>
        <v>-198661518.84815076</v>
      </c>
      <c r="H35" s="78">
        <f>-'Estado Deuda'!$D17</f>
        <v>-181560113.76630524</v>
      </c>
      <c r="I35" s="78">
        <f>-'Estado Deuda'!$D18</f>
        <v>-159969589.85047528</v>
      </c>
      <c r="J35" s="78">
        <f>-'Estado Deuda'!$D19</f>
        <v>-132711553.40673998</v>
      </c>
      <c r="K35" s="78">
        <f>-'Estado Deuda'!$D20</f>
        <v>-98298282.396524146</v>
      </c>
      <c r="L35" s="78">
        <f>-'Estado Deuda'!$D21</f>
        <v>-54851527.746126652</v>
      </c>
      <c r="M35" s="78">
        <f>-'Estado Deuda'!$D22</f>
        <v>1.8775463104248049E-7</v>
      </c>
    </row>
    <row r="36" spans="2:13" x14ac:dyDescent="0.25">
      <c r="B36" s="79" t="s">
        <v>152</v>
      </c>
      <c r="C36" s="80">
        <f t="shared" ref="C36:M36" si="13">SUM(C32:C35)</f>
        <v>185000271.31624734</v>
      </c>
      <c r="D36" s="80">
        <f t="shared" si="13"/>
        <v>213924006.58735928</v>
      </c>
      <c r="E36" s="80">
        <f t="shared" si="13"/>
        <v>246607827.4437159</v>
      </c>
      <c r="F36" s="80">
        <f t="shared" si="13"/>
        <v>283540545.01139915</v>
      </c>
      <c r="G36" s="80">
        <f t="shared" si="13"/>
        <v>325274515.86288106</v>
      </c>
      <c r="H36" s="80">
        <f t="shared" si="13"/>
        <v>372433902.92505682</v>
      </c>
      <c r="I36" s="80">
        <f t="shared" si="13"/>
        <v>425724010.30531251</v>
      </c>
      <c r="J36" s="80">
        <f t="shared" si="13"/>
        <v>485941831.64500368</v>
      </c>
      <c r="K36" s="80">
        <f t="shared" si="13"/>
        <v>553987969.7588551</v>
      </c>
      <c r="L36" s="80">
        <f t="shared" si="13"/>
        <v>630880105.82750547</v>
      </c>
      <c r="M36" s="80">
        <f t="shared" si="13"/>
        <v>981577948.26883149</v>
      </c>
    </row>
    <row r="37" spans="2:13" x14ac:dyDescent="0.25">
      <c r="B37" s="2" t="s">
        <v>153</v>
      </c>
      <c r="C37" s="78">
        <f>C36*'Ingreso y Egresos'!$C$5</f>
        <v>64750094.960686564</v>
      </c>
      <c r="D37" s="78">
        <f>D36*'Ingreso y Egresos'!$C$5</f>
        <v>74873402.305575743</v>
      </c>
      <c r="E37" s="78">
        <f>E36*'Ingreso y Egresos'!$C$5</f>
        <v>86312739.605300561</v>
      </c>
      <c r="F37" s="78">
        <f>F36*'Ingreso y Egresos'!$C$5</f>
        <v>99239190.753989697</v>
      </c>
      <c r="G37" s="78">
        <f>G36*'Ingreso y Egresos'!$C$5</f>
        <v>113846080.55200836</v>
      </c>
      <c r="H37" s="78">
        <f>H36*'Ingreso y Egresos'!$C$5</f>
        <v>130351866.02376987</v>
      </c>
      <c r="I37" s="78">
        <f>I36*'Ingreso y Egresos'!$C$5</f>
        <v>149003403.60685936</v>
      </c>
      <c r="J37" s="78">
        <f>J36*'Ingreso y Egresos'!$C$5</f>
        <v>170079641.07575127</v>
      </c>
      <c r="K37" s="78">
        <f>K36*'Ingreso y Egresos'!$C$5</f>
        <v>193895789.41559929</v>
      </c>
      <c r="L37" s="78">
        <f>L36*'Ingreso y Egresos'!$C$5</f>
        <v>220808037.0396269</v>
      </c>
      <c r="M37" s="78">
        <f>M36*'Ingreso y Egresos'!$C$5</f>
        <v>343552281.89409101</v>
      </c>
    </row>
    <row r="38" spans="2:13" x14ac:dyDescent="0.25">
      <c r="B38" s="79" t="s">
        <v>154</v>
      </c>
      <c r="C38" s="80">
        <f t="shared" ref="C38:M38" si="14">+C36-C37</f>
        <v>120250176.35556078</v>
      </c>
      <c r="D38" s="80">
        <f t="shared" si="14"/>
        <v>139050604.28178352</v>
      </c>
      <c r="E38" s="80">
        <f t="shared" si="14"/>
        <v>160295087.83841532</v>
      </c>
      <c r="F38" s="80">
        <f t="shared" si="14"/>
        <v>184301354.25740945</v>
      </c>
      <c r="G38" s="80">
        <f t="shared" si="14"/>
        <v>211428435.3108727</v>
      </c>
      <c r="H38" s="80">
        <f t="shared" si="14"/>
        <v>242082036.90128696</v>
      </c>
      <c r="I38" s="80">
        <f t="shared" si="14"/>
        <v>276720606.69845319</v>
      </c>
      <c r="J38" s="80">
        <f t="shared" si="14"/>
        <v>315862190.56925237</v>
      </c>
      <c r="K38" s="80">
        <f t="shared" si="14"/>
        <v>360092180.34325582</v>
      </c>
      <c r="L38" s="80">
        <f t="shared" si="14"/>
        <v>410072068.78787857</v>
      </c>
      <c r="M38" s="80">
        <f t="shared" si="14"/>
        <v>638025666.37474048</v>
      </c>
    </row>
    <row r="39" spans="2:13" x14ac:dyDescent="0.25">
      <c r="B39" s="15" t="s">
        <v>155</v>
      </c>
      <c r="C39" s="151">
        <f>C38*0.1</f>
        <v>12025017.635556079</v>
      </c>
      <c r="D39" s="151">
        <f t="shared" ref="D39" si="15">D38*0.1</f>
        <v>13905060.428178353</v>
      </c>
      <c r="E39" s="151">
        <f t="shared" ref="E39" si="16">E38*0.1</f>
        <v>16029508.783841534</v>
      </c>
      <c r="F39" s="151">
        <f t="shared" ref="F39" si="17">F38*0.1</f>
        <v>18430135.425740946</v>
      </c>
      <c r="G39" s="151">
        <f t="shared" ref="G39" si="18">G38*0.1</f>
        <v>21142843.531087272</v>
      </c>
      <c r="H39" s="151">
        <f t="shared" ref="H39" si="19">H38*0.1</f>
        <v>24208203.690128699</v>
      </c>
      <c r="I39" s="151">
        <f t="shared" ref="I39" si="20">I38*0.1</f>
        <v>27672060.66984532</v>
      </c>
      <c r="J39" s="151">
        <f t="shared" ref="J39" si="21">J38*0.1</f>
        <v>31586219.056925237</v>
      </c>
      <c r="K39" s="151">
        <f t="shared" ref="K39" si="22">K38*0.1</f>
        <v>36009218.034325585</v>
      </c>
      <c r="L39" s="151">
        <f t="shared" ref="L39" si="23">L38*0.1</f>
        <v>41007206.87878786</v>
      </c>
      <c r="M39" s="151">
        <f t="shared" ref="M39" si="24">M38*0.1</f>
        <v>63802566.637474053</v>
      </c>
    </row>
    <row r="40" spans="2:13" x14ac:dyDescent="0.25">
      <c r="B40" s="15" t="s">
        <v>156</v>
      </c>
      <c r="C40" s="151">
        <f t="shared" ref="C40:M40" si="25">+C38-C39</f>
        <v>108225158.72000471</v>
      </c>
      <c r="D40" s="151">
        <f t="shared" si="25"/>
        <v>125145543.85360517</v>
      </c>
      <c r="E40" s="151">
        <f t="shared" si="25"/>
        <v>144265579.0545738</v>
      </c>
      <c r="F40" s="151">
        <f t="shared" si="25"/>
        <v>165871218.8316685</v>
      </c>
      <c r="G40" s="151">
        <f t="shared" si="25"/>
        <v>190285591.77978542</v>
      </c>
      <c r="H40" s="151">
        <f t="shared" si="25"/>
        <v>217873833.21115828</v>
      </c>
      <c r="I40" s="151">
        <f t="shared" si="25"/>
        <v>249048546.02860788</v>
      </c>
      <c r="J40" s="151">
        <f t="shared" si="25"/>
        <v>284275971.51232713</v>
      </c>
      <c r="K40" s="151">
        <f t="shared" si="25"/>
        <v>324082962.30893022</v>
      </c>
      <c r="L40" s="151">
        <f t="shared" si="25"/>
        <v>369064861.9090907</v>
      </c>
      <c r="M40" s="151">
        <f t="shared" si="25"/>
        <v>574223099.73726642</v>
      </c>
    </row>
    <row r="41" spans="2:13" x14ac:dyDescent="0.25">
      <c r="B41" s="2" t="s">
        <v>157</v>
      </c>
      <c r="C41" s="78">
        <f>C40*$C$2</f>
        <v>21645031.744000942</v>
      </c>
      <c r="D41" s="78">
        <f>D40*$C$2</f>
        <v>25029108.770721033</v>
      </c>
      <c r="E41" s="78">
        <f t="shared" ref="E41" si="26">E40*$C$2</f>
        <v>28853115.810914762</v>
      </c>
      <c r="F41" s="78">
        <f t="shared" ref="F41" si="27">F40*$C$2</f>
        <v>33174243.766333699</v>
      </c>
      <c r="G41" s="78">
        <f t="shared" ref="G41" si="28">G40*$C$2</f>
        <v>38057118.355957083</v>
      </c>
      <c r="H41" s="78">
        <f t="shared" ref="H41" si="29">H40*$C$2</f>
        <v>43574766.642231658</v>
      </c>
      <c r="I41" s="78">
        <f t="shared" ref="I41" si="30">I40*$C$2</f>
        <v>49809709.205721579</v>
      </c>
      <c r="J41" s="78">
        <f t="shared" ref="J41" si="31">J40*$C$2</f>
        <v>56855194.302465431</v>
      </c>
      <c r="K41" s="78">
        <f t="shared" ref="K41" si="32">K40*$C$2</f>
        <v>64816592.461786047</v>
      </c>
      <c r="L41" s="78">
        <f t="shared" ref="L41" si="33">L40*$C$2</f>
        <v>73812972.381818146</v>
      </c>
      <c r="M41" s="78">
        <f t="shared" ref="M41" si="34">M40*$C$2</f>
        <v>114844619.94745329</v>
      </c>
    </row>
    <row r="42" spans="2:13" x14ac:dyDescent="0.25">
      <c r="B42" s="81" t="s">
        <v>158</v>
      </c>
      <c r="C42" s="82">
        <f t="shared" ref="C42:M42" si="35">+C40-C41</f>
        <v>86580126.976003766</v>
      </c>
      <c r="D42" s="82">
        <f t="shared" si="35"/>
        <v>100116435.08288413</v>
      </c>
      <c r="E42" s="82">
        <f t="shared" si="35"/>
        <v>115412463.24365905</v>
      </c>
      <c r="F42" s="82">
        <f t="shared" si="35"/>
        <v>132696975.0653348</v>
      </c>
      <c r="G42" s="82">
        <f t="shared" si="35"/>
        <v>152228473.42382833</v>
      </c>
      <c r="H42" s="82">
        <f t="shared" si="35"/>
        <v>174299066.56892663</v>
      </c>
      <c r="I42" s="82">
        <f t="shared" si="35"/>
        <v>199238836.82288629</v>
      </c>
      <c r="J42" s="82">
        <f t="shared" si="35"/>
        <v>227420777.2098617</v>
      </c>
      <c r="K42" s="82">
        <f t="shared" si="35"/>
        <v>259266369.84714419</v>
      </c>
      <c r="L42" s="82">
        <f t="shared" si="35"/>
        <v>295251889.52727258</v>
      </c>
      <c r="M42" s="82">
        <f t="shared" si="35"/>
        <v>459378479.78981316</v>
      </c>
    </row>
  </sheetData>
  <mergeCells count="7">
    <mergeCell ref="B24:M24"/>
    <mergeCell ref="E2:H2"/>
    <mergeCell ref="C8:M8"/>
    <mergeCell ref="C14:M14"/>
    <mergeCell ref="C28:M28"/>
    <mergeCell ref="C34:M34"/>
    <mergeCell ref="B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CA72-538B-4042-8979-A70FFA5A2FC1}">
  <dimension ref="B2:O16"/>
  <sheetViews>
    <sheetView zoomScale="89" zoomScaleNormal="89" workbookViewId="0">
      <selection activeCell="D23" sqref="D23"/>
    </sheetView>
  </sheetViews>
  <sheetFormatPr baseColWidth="10" defaultRowHeight="15" x14ac:dyDescent="0.25"/>
  <cols>
    <col min="2" max="2" width="33.7109375" bestFit="1" customWidth="1"/>
    <col min="3" max="7" width="18.140625" bestFit="1" customWidth="1"/>
    <col min="8" max="11" width="17.28515625" bestFit="1" customWidth="1"/>
    <col min="12" max="15" width="19.140625" bestFit="1" customWidth="1"/>
  </cols>
  <sheetData>
    <row r="2" spans="2:15" x14ac:dyDescent="0.25">
      <c r="B2" s="94" t="s">
        <v>67</v>
      </c>
      <c r="C2" s="133" t="s">
        <v>162</v>
      </c>
      <c r="D2" s="134">
        <v>0</v>
      </c>
      <c r="E2" s="134">
        <v>1</v>
      </c>
      <c r="F2" s="134">
        <v>2</v>
      </c>
      <c r="G2" s="134">
        <v>3</v>
      </c>
      <c r="H2" s="134">
        <v>4</v>
      </c>
      <c r="I2" s="134">
        <v>5</v>
      </c>
      <c r="J2" s="134">
        <v>6</v>
      </c>
      <c r="K2" s="134">
        <v>7</v>
      </c>
      <c r="L2" s="134">
        <v>8</v>
      </c>
      <c r="M2" s="134">
        <v>9</v>
      </c>
      <c r="N2" s="134">
        <v>10</v>
      </c>
      <c r="O2" s="135" t="s">
        <v>163</v>
      </c>
    </row>
    <row r="3" spans="2:15" x14ac:dyDescent="0.25">
      <c r="B3" s="136" t="s">
        <v>66</v>
      </c>
      <c r="C3" s="36">
        <f>-'Ingreso y Egresos'!E49</f>
        <v>-200700000</v>
      </c>
      <c r="D3" s="36">
        <f>'Estado de Resultados'!C18</f>
        <v>19944446.869349837</v>
      </c>
      <c r="E3" s="36">
        <f>'Estado de Resultados'!D18</f>
        <v>23099994.962365195</v>
      </c>
      <c r="F3" s="36">
        <f>'Estado de Resultados'!E18</f>
        <v>26665764.307472743</v>
      </c>
      <c r="G3" s="36">
        <f>'Estado de Resultados'!F18</f>
        <v>30695083.667444181</v>
      </c>
      <c r="H3" s="36">
        <f>'Estado de Resultados'!G18</f>
        <v>35248214.544211917</v>
      </c>
      <c r="I3" s="36">
        <f>'Estado de Resultados'!H18</f>
        <v>40393252.434959568</v>
      </c>
      <c r="J3" s="36">
        <f>'Estado de Resultados'!I18</f>
        <v>46207145.251504451</v>
      </c>
      <c r="K3" s="36">
        <f>'Estado de Resultados'!J18</f>
        <v>52776844.134199828</v>
      </c>
      <c r="L3" s="36">
        <f>'Estado de Resultados'!K18</f>
        <v>60200603.871645793</v>
      </c>
      <c r="M3" s="36">
        <f>'Estado de Resultados'!L18</f>
        <v>68589452.374959454</v>
      </c>
      <c r="N3" s="36">
        <f>'Estado de Resultados'!M18</f>
        <v>116000404.31435472</v>
      </c>
      <c r="O3" s="36">
        <f>SUM('Estado de Resultados'!C19:M19)+SUM('Estado de Resultados'!C22:M22)</f>
        <v>426253389.52062356</v>
      </c>
    </row>
    <row r="4" spans="2:15" x14ac:dyDescent="0.25">
      <c r="B4" s="137" t="s">
        <v>110</v>
      </c>
      <c r="C4" s="36">
        <f>-'Ingreso y Egresos'!G49</f>
        <v>-907300000</v>
      </c>
      <c r="D4" s="36">
        <f>'Estado de Resultados'!C38</f>
        <v>120250176.35556078</v>
      </c>
      <c r="E4" s="36">
        <f>'Estado de Resultados'!D38</f>
        <v>139050604.28178352</v>
      </c>
      <c r="F4" s="36">
        <f>'Estado de Resultados'!E38</f>
        <v>160295087.83841532</v>
      </c>
      <c r="G4" s="36">
        <f>'Estado de Resultados'!F38</f>
        <v>184301354.25740945</v>
      </c>
      <c r="H4" s="36">
        <f>'Estado de Resultados'!G38</f>
        <v>211428435.3108727</v>
      </c>
      <c r="I4" s="36">
        <f>'Estado de Resultados'!H38</f>
        <v>242082036.90128696</v>
      </c>
      <c r="J4" s="36">
        <f>'Estado de Resultados'!I38</f>
        <v>276720606.69845319</v>
      </c>
      <c r="K4" s="36">
        <f>'Estado de Resultados'!J38</f>
        <v>315862190.56925237</v>
      </c>
      <c r="L4" s="36">
        <f>'Estado de Resultados'!K38</f>
        <v>360092180.34325582</v>
      </c>
      <c r="M4" s="36">
        <f>'Estado de Resultados'!L38</f>
        <v>410072068.78787857</v>
      </c>
      <c r="N4" s="36">
        <f>'Estado de Resultados'!M38</f>
        <v>638025666.37474048</v>
      </c>
      <c r="O4" s="36">
        <f>SUM('Estado de Resultados'!C39:M39)+SUM('Estado de Resultados'!C42:M42)</f>
        <v>2507707934.3295054</v>
      </c>
    </row>
    <row r="5" spans="2:15" x14ac:dyDescent="0.25">
      <c r="E5" s="85"/>
      <c r="I5" s="86"/>
      <c r="J5" s="85"/>
    </row>
    <row r="6" spans="2:15" x14ac:dyDescent="0.25">
      <c r="F6" s="87"/>
      <c r="G6" s="87"/>
      <c r="H6" s="87"/>
      <c r="I6" s="87"/>
      <c r="J6" s="85"/>
      <c r="K6" s="87"/>
    </row>
    <row r="7" spans="2:15" x14ac:dyDescent="0.25">
      <c r="B7" s="46" t="s">
        <v>164</v>
      </c>
      <c r="C7" s="38"/>
      <c r="D7" s="38"/>
      <c r="E7" s="38"/>
      <c r="J7" s="85"/>
    </row>
    <row r="8" spans="2:15" x14ac:dyDescent="0.25">
      <c r="B8" s="2"/>
      <c r="C8" s="34" t="s">
        <v>165</v>
      </c>
      <c r="D8" s="34" t="s">
        <v>166</v>
      </c>
      <c r="E8" s="140" t="s">
        <v>167</v>
      </c>
      <c r="G8" s="88" t="s">
        <v>169</v>
      </c>
      <c r="H8" s="88"/>
      <c r="I8" s="88"/>
      <c r="J8" s="85"/>
    </row>
    <row r="9" spans="2:15" x14ac:dyDescent="0.25">
      <c r="B9" s="136" t="s">
        <v>66</v>
      </c>
      <c r="C9" s="31">
        <f>IRR(C3:N3)</f>
        <v>0.14795564306869924</v>
      </c>
      <c r="D9" s="141">
        <f>NPV(C11,C3:N3)</f>
        <v>18460256.193957631</v>
      </c>
      <c r="E9" s="142">
        <f>G9+H9/I9</f>
        <v>6.5335374665543497</v>
      </c>
      <c r="G9" s="148">
        <f t="array" ref="G9">MATCH(TRUE,INDEX($D$15:$O$15&gt;0,1,0),0)-1</f>
        <v>6</v>
      </c>
      <c r="H9" s="149">
        <f>ABS(INDEX(D15:O15,1,G9))</f>
        <v>24653243.214196548</v>
      </c>
      <c r="I9" s="150">
        <f>INDEX(D3:O3,1,G9+1)</f>
        <v>46207145.251504451</v>
      </c>
      <c r="J9" s="85"/>
    </row>
    <row r="10" spans="2:15" x14ac:dyDescent="0.25">
      <c r="B10" s="137" t="s">
        <v>110</v>
      </c>
      <c r="C10" s="143">
        <f>IRR(C4:N4)</f>
        <v>0.20226281364433785</v>
      </c>
      <c r="D10" s="144">
        <f>NPV($C$11,C4:N4)</f>
        <v>359835110.57449096</v>
      </c>
      <c r="E10" s="145">
        <f>G10+H10/I10</f>
        <v>5.3799304695765686</v>
      </c>
      <c r="G10" s="148">
        <f t="array" ref="G10">MATCH(TRUE,INDEX($D$16:$O$16&gt;0,1,0),0)-1</f>
        <v>5</v>
      </c>
      <c r="H10" s="149">
        <f>ABS(INDEX(D16:O16,1,G10))</f>
        <v>91974341.955958158</v>
      </c>
      <c r="I10" s="150">
        <f>INDEX(D4:O4,1,G10+1)</f>
        <v>242082036.90128696</v>
      </c>
      <c r="J10" s="85"/>
    </row>
    <row r="11" spans="2:15" x14ac:dyDescent="0.25">
      <c r="B11" s="146" t="s">
        <v>168</v>
      </c>
      <c r="C11" s="147">
        <v>0.13</v>
      </c>
      <c r="D11" s="38"/>
      <c r="E11" s="38"/>
      <c r="J11" s="85"/>
    </row>
    <row r="12" spans="2:15" x14ac:dyDescent="0.25">
      <c r="J12" s="85"/>
    </row>
    <row r="14" spans="2:15" x14ac:dyDescent="0.25">
      <c r="B14" s="35" t="s">
        <v>67</v>
      </c>
      <c r="C14" s="130" t="s">
        <v>162</v>
      </c>
      <c r="D14" s="138">
        <v>0</v>
      </c>
      <c r="E14" s="138">
        <v>1</v>
      </c>
      <c r="F14" s="138">
        <v>2</v>
      </c>
      <c r="G14" s="138">
        <v>3</v>
      </c>
      <c r="H14" s="138">
        <v>4</v>
      </c>
      <c r="I14" s="138">
        <v>5</v>
      </c>
      <c r="J14" s="138">
        <v>6</v>
      </c>
      <c r="K14" s="138">
        <v>7</v>
      </c>
      <c r="L14" s="138">
        <v>8</v>
      </c>
      <c r="M14" s="138">
        <v>9</v>
      </c>
      <c r="N14" s="138">
        <v>10</v>
      </c>
      <c r="O14" s="123" t="s">
        <v>163</v>
      </c>
    </row>
    <row r="15" spans="2:15" x14ac:dyDescent="0.25">
      <c r="B15" s="136" t="s">
        <v>66</v>
      </c>
      <c r="C15" s="139">
        <f t="shared" ref="C15:O16" si="0">SUM($C3:C3)</f>
        <v>-200700000</v>
      </c>
      <c r="D15" s="139">
        <f t="shared" si="0"/>
        <v>-180755553.13065016</v>
      </c>
      <c r="E15" s="139">
        <f t="shared" si="0"/>
        <v>-157655558.16828495</v>
      </c>
      <c r="F15" s="139">
        <f t="shared" si="0"/>
        <v>-130989793.86081222</v>
      </c>
      <c r="G15" s="139">
        <f t="shared" si="0"/>
        <v>-100294710.19336803</v>
      </c>
      <c r="H15" s="139">
        <f t="shared" si="0"/>
        <v>-65046495.649156116</v>
      </c>
      <c r="I15" s="139">
        <f t="shared" si="0"/>
        <v>-24653243.214196548</v>
      </c>
      <c r="J15" s="139">
        <f t="shared" si="0"/>
        <v>21553902.037307903</v>
      </c>
      <c r="K15" s="139">
        <f t="shared" si="0"/>
        <v>74330746.171507731</v>
      </c>
      <c r="L15" s="139">
        <f t="shared" si="0"/>
        <v>134531350.04315352</v>
      </c>
      <c r="M15" s="139">
        <f t="shared" si="0"/>
        <v>203120802.41811299</v>
      </c>
      <c r="N15" s="139">
        <f>SUM($C3:N3)</f>
        <v>319121206.73246771</v>
      </c>
      <c r="O15" s="139">
        <f t="shared" si="0"/>
        <v>745374596.25309134</v>
      </c>
    </row>
    <row r="16" spans="2:15" x14ac:dyDescent="0.25">
      <c r="B16" s="137" t="s">
        <v>110</v>
      </c>
      <c r="C16" s="139">
        <f t="shared" si="0"/>
        <v>-907300000</v>
      </c>
      <c r="D16" s="139">
        <f t="shared" si="0"/>
        <v>-787049823.64443922</v>
      </c>
      <c r="E16" s="139">
        <f t="shared" si="0"/>
        <v>-647999219.36265564</v>
      </c>
      <c r="F16" s="139">
        <f t="shared" si="0"/>
        <v>-487704131.52424031</v>
      </c>
      <c r="G16" s="139">
        <f t="shared" si="0"/>
        <v>-303402777.26683086</v>
      </c>
      <c r="H16" s="139">
        <f t="shared" si="0"/>
        <v>-91974341.955958158</v>
      </c>
      <c r="I16" s="139">
        <f t="shared" si="0"/>
        <v>150107694.9453288</v>
      </c>
      <c r="J16" s="139">
        <f t="shared" si="0"/>
        <v>426828301.64378202</v>
      </c>
      <c r="K16" s="139">
        <f t="shared" si="0"/>
        <v>742690492.21303439</v>
      </c>
      <c r="L16" s="139">
        <f t="shared" si="0"/>
        <v>1102782672.5562901</v>
      </c>
      <c r="M16" s="139">
        <f t="shared" si="0"/>
        <v>1512854741.3441687</v>
      </c>
      <c r="N16" s="139">
        <f t="shared" si="0"/>
        <v>2150880407.7189093</v>
      </c>
      <c r="O16" s="139">
        <f t="shared" si="0"/>
        <v>4658588342.0484142</v>
      </c>
    </row>
  </sheetData>
  <mergeCells count="3">
    <mergeCell ref="B7:E7"/>
    <mergeCell ref="C11:E11"/>
    <mergeCell ref="G8: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5793-F305-41F8-83D0-A3CFF9A285EE}">
  <dimension ref="C2:G8"/>
  <sheetViews>
    <sheetView tabSelected="1" workbookViewId="0">
      <selection activeCell="O14" sqref="O14"/>
    </sheetView>
  </sheetViews>
  <sheetFormatPr baseColWidth="10" defaultRowHeight="15" x14ac:dyDescent="0.25"/>
  <cols>
    <col min="4" max="5" width="13.5703125" bestFit="1" customWidth="1"/>
    <col min="6" max="6" width="15.140625" bestFit="1" customWidth="1"/>
    <col min="7" max="7" width="13.5703125" bestFit="1" customWidth="1"/>
  </cols>
  <sheetData>
    <row r="2" spans="3:7" x14ac:dyDescent="0.25">
      <c r="C2" s="154" t="s">
        <v>172</v>
      </c>
      <c r="D2" s="156" t="s">
        <v>106</v>
      </c>
      <c r="E2" s="157"/>
      <c r="F2" s="158" t="s">
        <v>107</v>
      </c>
      <c r="G2" s="159"/>
    </row>
    <row r="3" spans="3:7" x14ac:dyDescent="0.25">
      <c r="C3" s="154" t="s">
        <v>0</v>
      </c>
      <c r="D3" s="160" t="s">
        <v>68</v>
      </c>
      <c r="E3" s="160" t="s">
        <v>170</v>
      </c>
      <c r="F3" s="161" t="s">
        <v>68</v>
      </c>
      <c r="G3" s="161" t="s">
        <v>170</v>
      </c>
    </row>
    <row r="4" spans="3:7" x14ac:dyDescent="0.25">
      <c r="C4" s="154">
        <v>1</v>
      </c>
      <c r="D4" s="153">
        <f>'Ingreso y Egresos'!$D$81*C4*1.1</f>
        <v>23411666.666666668</v>
      </c>
      <c r="E4" s="153">
        <f>'Ingreso y Egresos'!$E$71+'Ingreso y Egresos'!$E$72/12-SUM('Ingreso y Egresos'!$E$57:$E$61)*3/4</f>
        <v>74738019.632134646</v>
      </c>
      <c r="F4" s="153">
        <f>C4*'Ingreso y Egresos'!$F$81*1.1</f>
        <v>58171666.666666672</v>
      </c>
      <c r="G4" s="153">
        <f>'Ingreso y Egresos'!$G$71+'Ingreso y Egresos'!$G$72/12-SUM('Ingreso y Egresos'!$G$57:$G$62)*3/4</f>
        <v>165734144.05697939</v>
      </c>
    </row>
    <row r="5" spans="3:7" x14ac:dyDescent="0.25">
      <c r="C5" s="154">
        <v>2</v>
      </c>
      <c r="D5" s="153">
        <f>'Ingreso y Egresos'!$D$81*C5*1.1</f>
        <v>46823333.333333336</v>
      </c>
      <c r="E5" s="153">
        <f>'Ingreso y Egresos'!$E$71+'Ingreso y Egresos'!$E$72/12-SUM('Ingreso y Egresos'!$E$57:$E$61)/2</f>
        <v>80713019.632134646</v>
      </c>
      <c r="F5" s="153">
        <f>C5*'Ingreso y Egresos'!$F$81*1.1</f>
        <v>116343333.33333334</v>
      </c>
      <c r="G5" s="153">
        <f>'Ingreso y Egresos'!$G$71+'Ingreso y Egresos'!$G$72/12-SUM('Ingreso y Egresos'!$G$57:$G$62)*2/4</f>
        <v>183634144.05697939</v>
      </c>
    </row>
    <row r="6" spans="3:7" x14ac:dyDescent="0.25">
      <c r="C6" s="155">
        <v>3</v>
      </c>
      <c r="D6" s="153">
        <f>'Ingreso y Egresos'!$D$81*C6*1.1</f>
        <v>70235000</v>
      </c>
      <c r="E6" s="153">
        <f>'Ingreso y Egresos'!$E$71+'Ingreso y Egresos'!$E$72/12-SUM('Ingreso y Egresos'!$E$57:$E$61)/4</f>
        <v>86688019.632134646</v>
      </c>
      <c r="F6" s="153">
        <f>C6*'Ingreso y Egresos'!$F$81*1.1</f>
        <v>174515000</v>
      </c>
      <c r="G6" s="153">
        <f>'Ingreso y Egresos'!$G$71+'Ingreso y Egresos'!$G$72/12-SUM('Ingreso y Egresos'!$G$57:$G$62)*1/4</f>
        <v>201534144.05697939</v>
      </c>
    </row>
    <row r="7" spans="3:7" x14ac:dyDescent="0.25">
      <c r="C7" s="155">
        <v>4</v>
      </c>
      <c r="D7" s="153">
        <f>'Ingreso y Egresos'!$D$81*C7*1.1</f>
        <v>93646666.666666672</v>
      </c>
      <c r="E7" s="153">
        <f>'Ingreso y Egresos'!$E$71+'Ingreso y Egresos'!$E$72/12</f>
        <v>92663019.632134646</v>
      </c>
      <c r="F7" s="153">
        <f>C7*'Ingreso y Egresos'!$F$81*1.1</f>
        <v>232686666.66666669</v>
      </c>
      <c r="G7" s="153">
        <f>'Ingreso y Egresos'!$G$71+'Ingreso y Egresos'!$G$72/12</f>
        <v>219434144.05697939</v>
      </c>
    </row>
    <row r="8" spans="3:7" x14ac:dyDescent="0.25">
      <c r="C8" s="155">
        <v>5</v>
      </c>
      <c r="D8" s="153">
        <f>'Ingreso y Egresos'!$D$81*C8*1.1</f>
        <v>117058333.33333333</v>
      </c>
      <c r="E8" s="153">
        <f>'Ingreso y Egresos'!$E$71+'Ingreso y Egresos'!$E$72/12+SUM('Ingreso y Egresos'!$E$57:$E$61)/4</f>
        <v>98638019.632134646</v>
      </c>
      <c r="F8" s="153">
        <f>C8*'Ingreso y Egresos'!$F$81*1.1</f>
        <v>290858333.33333337</v>
      </c>
      <c r="G8" s="153">
        <f>'Ingreso y Egresos'!$G$71+'Ingreso y Egresos'!$G$72/12+SUM('Ingreso y Egresos'!$G$57:$G$62)*1/4</f>
        <v>237334144.05697939</v>
      </c>
    </row>
  </sheetData>
  <mergeCells count="2">
    <mergeCell ref="D2:E2"/>
    <mergeCell ref="F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Ingreso y Egresos</vt:lpstr>
      <vt:lpstr>Estado Deuda</vt:lpstr>
      <vt:lpstr>Estado de Resultados</vt:lpstr>
      <vt:lpstr>Flujos Efectivo y PayBack</vt:lpstr>
      <vt:lpstr>Cantidad Minima de Lotes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2023-05-26T02:16:06Z</dcterms:created>
  <dcterms:modified xsi:type="dcterms:W3CDTF">2023-05-27T17:36:20Z</dcterms:modified>
</cp:coreProperties>
</file>