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b19\Music\website\Documents\4. Evaluación Económica\Excel\"/>
    </mc:Choice>
  </mc:AlternateContent>
  <xr:revisionPtr revIDLastSave="0" documentId="13_ncr:1_{B85EA327-F6A1-4689-B6C6-93538E3F5A0B}" xr6:coauthVersionLast="47" xr6:coauthVersionMax="47" xr10:uidLastSave="{00000000-0000-0000-0000-000000000000}"/>
  <bookViews>
    <workbookView xWindow="-108" yWindow="-108" windowWidth="23256" windowHeight="12456" tabRatio="472" xr2:uid="{86E37AEA-507A-4C4C-95B6-664C68D3C326}"/>
  </bookViews>
  <sheets>
    <sheet name="EVALUACIÓN ECONÓMICA 1" sheetId="3" r:id="rId1"/>
    <sheet name="EVALUACIÓN ECONÓMICA 2" sheetId="1" r:id="rId2"/>
    <sheet name="COSTOS AUTOMATI." sheetId="5" r:id="rId3"/>
    <sheet name="PRODUCTOS" sheetId="6" r:id="rId4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D15" i="1"/>
  <c r="E15" i="1"/>
  <c r="I9" i="1"/>
  <c r="F9" i="1"/>
  <c r="C9" i="1"/>
  <c r="I9" i="3"/>
  <c r="G9" i="3"/>
  <c r="H9" i="3"/>
  <c r="B13" i="3"/>
  <c r="F9" i="3"/>
  <c r="E9" i="3"/>
  <c r="D9" i="3"/>
  <c r="C9" i="3"/>
  <c r="B47" i="5"/>
  <c r="C39" i="5"/>
  <c r="D15" i="5"/>
  <c r="B41" i="1"/>
  <c r="B42" i="3"/>
  <c r="C10" i="1" l="1"/>
  <c r="E10" i="1"/>
  <c r="I10" i="1"/>
  <c r="H10" i="1"/>
  <c r="G10" i="1"/>
  <c r="F10" i="1"/>
  <c r="D10" i="1"/>
  <c r="B38" i="1" l="1"/>
  <c r="B44" i="5" l="1"/>
  <c r="B5" i="1" s="1"/>
  <c r="I10" i="3"/>
  <c r="B28" i="5"/>
  <c r="B27" i="5"/>
  <c r="D27" i="5" s="1"/>
  <c r="B26" i="5"/>
  <c r="E37" i="5"/>
  <c r="E34" i="5"/>
  <c r="E35" i="5"/>
  <c r="E36" i="5"/>
  <c r="E38" i="5"/>
  <c r="E33" i="5"/>
  <c r="G14" i="1" l="1"/>
  <c r="H14" i="1"/>
  <c r="I14" i="1"/>
  <c r="F14" i="1"/>
  <c r="C14" i="1"/>
  <c r="D14" i="1"/>
  <c r="E14" i="1"/>
  <c r="B5" i="3"/>
  <c r="B39" i="3"/>
  <c r="E14" i="3"/>
  <c r="C14" i="3"/>
  <c r="D14" i="3"/>
  <c r="E39" i="5"/>
  <c r="I16" i="1" l="1"/>
  <c r="I18" i="1" s="1"/>
  <c r="I20" i="1" s="1"/>
  <c r="I32" i="1" s="1"/>
  <c r="F14" i="3"/>
  <c r="B40" i="3" s="1"/>
  <c r="B41" i="3" s="1"/>
  <c r="G14" i="3"/>
  <c r="C16" i="1"/>
  <c r="C18" i="1" s="1"/>
  <c r="C20" i="1" s="1"/>
  <c r="E16" i="1"/>
  <c r="E18" i="1" s="1"/>
  <c r="E20" i="1" s="1"/>
  <c r="E32" i="1" s="1"/>
  <c r="B39" i="1"/>
  <c r="B40" i="1" s="1"/>
  <c r="B42" i="1" s="1"/>
  <c r="B43" i="1" s="1"/>
  <c r="B44" i="1" s="1"/>
  <c r="C15" i="1"/>
  <c r="I15" i="1"/>
  <c r="F15" i="1"/>
  <c r="F16" i="1" s="1"/>
  <c r="F18" i="1" s="1"/>
  <c r="F20" i="1" s="1"/>
  <c r="F32" i="1" s="1"/>
  <c r="B4" i="1"/>
  <c r="E15" i="3"/>
  <c r="D15" i="3"/>
  <c r="F15" i="3"/>
  <c r="I15" i="3"/>
  <c r="C15" i="3"/>
  <c r="G15" i="3"/>
  <c r="B4" i="3"/>
  <c r="H15" i="3"/>
  <c r="H14" i="3"/>
  <c r="H16" i="1"/>
  <c r="H18" i="1" s="1"/>
  <c r="H20" i="1" s="1"/>
  <c r="H32" i="1" s="1"/>
  <c r="I14" i="3"/>
  <c r="G16" i="1"/>
  <c r="G18" i="1" s="1"/>
  <c r="G20" i="1" s="1"/>
  <c r="G32" i="1" s="1"/>
  <c r="G16" i="6"/>
  <c r="F16" i="6"/>
  <c r="I15" i="6"/>
  <c r="K15" i="6" s="1"/>
  <c r="E15" i="6" s="1"/>
  <c r="H15" i="6"/>
  <c r="I14" i="6"/>
  <c r="K14" i="6" s="1"/>
  <c r="E14" i="6" s="1"/>
  <c r="H14" i="6"/>
  <c r="I13" i="6"/>
  <c r="K13" i="6" s="1"/>
  <c r="H13" i="6"/>
  <c r="G10" i="6"/>
  <c r="F10" i="6"/>
  <c r="B10" i="6"/>
  <c r="C8" i="6" s="1"/>
  <c r="I9" i="6"/>
  <c r="K9" i="6" s="1"/>
  <c r="E9" i="6" s="1"/>
  <c r="H9" i="6"/>
  <c r="C9" i="6"/>
  <c r="I8" i="6"/>
  <c r="H8" i="6"/>
  <c r="I7" i="6"/>
  <c r="K7" i="6" s="1"/>
  <c r="E7" i="6" s="1"/>
  <c r="H7" i="6"/>
  <c r="C7" i="6"/>
  <c r="C32" i="1" l="1"/>
  <c r="C33" i="1" s="1"/>
  <c r="I16" i="3"/>
  <c r="I19" i="3" s="1"/>
  <c r="I21" i="3" s="1"/>
  <c r="D16" i="1"/>
  <c r="D18" i="1" s="1"/>
  <c r="D20" i="1" s="1"/>
  <c r="D32" i="1" s="1"/>
  <c r="C10" i="6"/>
  <c r="H10" i="6"/>
  <c r="H16" i="6"/>
  <c r="I10" i="6"/>
  <c r="J8" i="6" s="1"/>
  <c r="J7" i="6"/>
  <c r="E10" i="6"/>
  <c r="K16" i="6"/>
  <c r="E13" i="6"/>
  <c r="E16" i="6" s="1"/>
  <c r="I16" i="6"/>
  <c r="J15" i="6" s="1"/>
  <c r="K8" i="6"/>
  <c r="E8" i="6" s="1"/>
  <c r="J14" i="6"/>
  <c r="J9" i="6" l="1"/>
  <c r="J13" i="6"/>
  <c r="J16" i="6" s="1"/>
  <c r="B25" i="1"/>
  <c r="D33" i="1"/>
  <c r="E33" i="1" s="1"/>
  <c r="F33" i="1" s="1"/>
  <c r="G33" i="1" s="1"/>
  <c r="H33" i="1" s="1"/>
  <c r="I33" i="1" s="1"/>
  <c r="J10" i="6"/>
  <c r="K10" i="6"/>
  <c r="H10" i="3" l="1"/>
  <c r="C10" i="3"/>
  <c r="D39" i="5"/>
  <c r="B39" i="5"/>
  <c r="C29" i="5"/>
  <c r="B29" i="5"/>
  <c r="D28" i="5"/>
  <c r="D26" i="5"/>
  <c r="C23" i="5"/>
  <c r="B23" i="5"/>
  <c r="D22" i="5"/>
  <c r="D21" i="5"/>
  <c r="D20" i="5"/>
  <c r="D19" i="5"/>
  <c r="D18" i="5"/>
  <c r="D17" i="5"/>
  <c r="D16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9" i="5" l="1"/>
  <c r="D23" i="5"/>
  <c r="B46" i="5" l="1"/>
  <c r="B27" i="3" l="1"/>
  <c r="B13" i="1"/>
  <c r="B16" i="3"/>
  <c r="H16" i="3"/>
  <c r="G16" i="3"/>
  <c r="F16" i="3"/>
  <c r="I33" i="3"/>
  <c r="G10" i="3"/>
  <c r="F10" i="3"/>
  <c r="E10" i="3"/>
  <c r="D10" i="3"/>
  <c r="B16" i="1" l="1"/>
  <c r="B18" i="1" s="1"/>
  <c r="B20" i="1" s="1"/>
  <c r="B28" i="1" s="1"/>
  <c r="B26" i="1"/>
  <c r="B27" i="1" s="1"/>
  <c r="B19" i="3"/>
  <c r="B21" i="3" s="1"/>
  <c r="E16" i="3"/>
  <c r="E19" i="3" s="1"/>
  <c r="E21" i="3" s="1"/>
  <c r="E33" i="3" s="1"/>
  <c r="D16" i="3"/>
  <c r="D19" i="3" s="1"/>
  <c r="D21" i="3" s="1"/>
  <c r="D33" i="3" s="1"/>
  <c r="C16" i="3"/>
  <c r="C19" i="3" s="1"/>
  <c r="H19" i="3"/>
  <c r="H21" i="3" s="1"/>
  <c r="H33" i="3" s="1"/>
  <c r="G19" i="3"/>
  <c r="G21" i="3" s="1"/>
  <c r="G33" i="3" s="1"/>
  <c r="F19" i="3"/>
  <c r="F21" i="3" s="1"/>
  <c r="F33" i="3" s="1"/>
  <c r="C21" i="3" l="1"/>
  <c r="B26" i="3" s="1"/>
  <c r="B43" i="3"/>
  <c r="B44" i="3" s="1"/>
  <c r="B45" i="3" s="1"/>
  <c r="B28" i="3"/>
  <c r="C33" i="3" l="1"/>
  <c r="C34" i="3" s="1"/>
  <c r="D34" i="3" s="1"/>
  <c r="E34" i="3" s="1"/>
  <c r="F34" i="3" s="1"/>
  <c r="G34" i="3" s="1"/>
  <c r="H34" i="3" s="1"/>
  <c r="I34" i="3" s="1"/>
  <c r="B29" i="3"/>
</calcChain>
</file>

<file path=xl/sharedStrings.xml><?xml version="1.0" encoding="utf-8"?>
<sst xmlns="http://schemas.openxmlformats.org/spreadsheetml/2006/main" count="206" uniqueCount="129">
  <si>
    <t>MES</t>
  </si>
  <si>
    <t>INGRESOS</t>
  </si>
  <si>
    <t>EGRESOS</t>
  </si>
  <si>
    <t>INVERSION</t>
  </si>
  <si>
    <t>FLUJO NETO ECONOMICO</t>
  </si>
  <si>
    <t>PAGO DEUDA</t>
  </si>
  <si>
    <t>FLUJO NETO FINANCIERO</t>
  </si>
  <si>
    <t>VAN</t>
  </si>
  <si>
    <t>TIR</t>
  </si>
  <si>
    <t>VALOR ACTUAL</t>
  </si>
  <si>
    <t>VALOR ACTUA ACUMULADO</t>
  </si>
  <si>
    <t>PAYBACK</t>
  </si>
  <si>
    <t>VENTAS</t>
  </si>
  <si>
    <t>COSTOS</t>
  </si>
  <si>
    <t>UTILIDAD BRUTA</t>
  </si>
  <si>
    <t>GASTOS FINANCIEROS</t>
  </si>
  <si>
    <t>UTILIDAD ANTES DE IMMPUESTOS</t>
  </si>
  <si>
    <t>IMPUESTOS</t>
  </si>
  <si>
    <t>UTILIDAD NETA DEL EJERCICIO</t>
  </si>
  <si>
    <t>Studio 5000</t>
  </si>
  <si>
    <t>Siemenx NX</t>
  </si>
  <si>
    <t>Ignition</t>
  </si>
  <si>
    <t>Máquina</t>
  </si>
  <si>
    <t xml:space="preserve">Costo </t>
  </si>
  <si>
    <t>Cantidad</t>
  </si>
  <si>
    <t>Costo total</t>
  </si>
  <si>
    <t>Link</t>
  </si>
  <si>
    <t>CNC</t>
  </si>
  <si>
    <t>https://es.elephant-cnc.com/pro/465-elecnc-1325-linear-atc-cnc-router-for-beginner/</t>
  </si>
  <si>
    <t>Jaula de CNBC</t>
  </si>
  <si>
    <t>Sensor Proximidad</t>
  </si>
  <si>
    <t>Sensor Infrarrojo</t>
  </si>
  <si>
    <t>Actuador Neumatico</t>
  </si>
  <si>
    <t>Banda transportadora</t>
  </si>
  <si>
    <t>PLC</t>
  </si>
  <si>
    <t>Compresor</t>
  </si>
  <si>
    <t>Unidad Mantenimiento</t>
  </si>
  <si>
    <t>Manguera</t>
  </si>
  <si>
    <t>https://industrialesandes.co/neumatica/372-manguera-neumatica-12mm.html</t>
  </si>
  <si>
    <t>Valvula 3/2</t>
  </si>
  <si>
    <t>Interruptor Termomagneitco</t>
  </si>
  <si>
    <t>Cable</t>
  </si>
  <si>
    <t>Robot ABB</t>
  </si>
  <si>
    <t>Cemento</t>
  </si>
  <si>
    <t>Fusible</t>
  </si>
  <si>
    <t>Indicador luminico</t>
  </si>
  <si>
    <t>Boton Pulsador</t>
  </si>
  <si>
    <t>Interfaz grafica HMI</t>
  </si>
  <si>
    <t>Contactor</t>
  </si>
  <si>
    <t>Rele</t>
  </si>
  <si>
    <t>Total</t>
  </si>
  <si>
    <t>https://co.wiautomation.com/siemens/software/6ES78220AA070YA5</t>
  </si>
  <si>
    <t>Mano obra</t>
  </si>
  <si>
    <t>Ingenieros</t>
  </si>
  <si>
    <t>Lider</t>
  </si>
  <si>
    <t>Trabajo Cemento</t>
  </si>
  <si>
    <t>Tecnicos</t>
  </si>
  <si>
    <t>Arriendos</t>
  </si>
  <si>
    <t>Servicios</t>
  </si>
  <si>
    <t>Horas / semana</t>
  </si>
  <si>
    <t>Horas / mes</t>
  </si>
  <si>
    <t>Produccion Manual</t>
  </si>
  <si>
    <t>Producto</t>
  </si>
  <si>
    <t>Ventas buscadas semanales</t>
  </si>
  <si>
    <t>% Ventas Buscadas</t>
  </si>
  <si>
    <t>Precio Venta</t>
  </si>
  <si>
    <t>Ventas anuales</t>
  </si>
  <si>
    <t xml:space="preserve">Tiempo Produccion (min) </t>
  </si>
  <si>
    <t>Horas Produccion al mes / lote</t>
  </si>
  <si>
    <t>Semanas Produccion / lote</t>
  </si>
  <si>
    <t xml:space="preserve">Número Productos / mes </t>
  </si>
  <si>
    <t>% Productos Mensuales</t>
  </si>
  <si>
    <t>Numero Productos Anuales</t>
  </si>
  <si>
    <t>Comedero</t>
  </si>
  <si>
    <t>Repisa</t>
  </si>
  <si>
    <t>Organizador</t>
  </si>
  <si>
    <t>Producción Automatizada</t>
  </si>
  <si>
    <t>https://es.aliexpress.com/item/1005004681562916.html?spm=a2g0o.productlist.main.21.6d0b1a74u1B2TA&amp;algo_pvid=c5a92d70-bb5a-498f-a1e0-0c2bddffe87b&amp;algo_exp_id=c5a92d70-bb5a-498f-a1e0-0c2bddffe87b-10&amp;pdp_npi=3%40dis%21COP%21327045.32%21166812.25%21%21%21%21%21%402102196716808356289988032d071e%2112000032602897545%21sea%21CO%212612199010&amp;curPageLogUid=S5FuFrc5c9Xp</t>
  </si>
  <si>
    <t>https://es.aliexpress.com/item/1005002225235191.html?spm=a2g0o.productlist.main.41.230c5e80QuAlig&amp;algo_pvid=dd3195d7-dad0-4ec4-be78-2ba3a821ae69&amp;algo_exp_id=dd3195d7-dad0-4ec4-be78-2ba3a821ae69-20&amp;pdp_npi=3%40dis%21COP%2171064.35%2151886.77%21%21%21%21%21%40211bf04a16808358838002108d0710%2112000019382457650%21sea%21CO%212612199010&amp;curPageLogUid=l0f0mtgAZENY</t>
  </si>
  <si>
    <t>https://es.aliexpress.com/item/1005003370280590.html?spm=a2g0o.productlist.main.7.7425170bNkAzjQ&amp;algo_pvid=18560c4b-7a41-4249-8fea-e691f6e62b4c&amp;algo_exp_id=18560c4b-7a41-4249-8fea-e691f6e62b4c-3&amp;pdp_npi=3%40dis%21COP%21126149.58%2163071.4%21%21%21%21%21%40211bc2a016808363709225525d06f3%2112000025462471993%21sea%21CO%212612199010&amp;curPageLogUid=zRoriNVbSwSs</t>
  </si>
  <si>
    <t>TMAR</t>
  </si>
  <si>
    <t>VPN</t>
  </si>
  <si>
    <t>Secretaria</t>
  </si>
  <si>
    <t>Salario Fijo</t>
  </si>
  <si>
    <t>Lo que cuesta</t>
  </si>
  <si>
    <t>https://www.elempleo.com/cross/calculadora-laboral-salario-neto-mesual</t>
  </si>
  <si>
    <t>Limpieza</t>
  </si>
  <si>
    <t>Software anual</t>
  </si>
  <si>
    <t>Dolar</t>
  </si>
  <si>
    <t>Precio</t>
  </si>
  <si>
    <t>Moneda</t>
  </si>
  <si>
    <t>Costo</t>
  </si>
  <si>
    <t>Costo Total</t>
  </si>
  <si>
    <t>Otros Costos</t>
  </si>
  <si>
    <t>Prestamo 1</t>
  </si>
  <si>
    <t>Prestamo 2</t>
  </si>
  <si>
    <t>Pagos Mensuales Cliente</t>
  </si>
  <si>
    <t>Mano obra Neta</t>
  </si>
  <si>
    <t>Costos Fijos Mensuales</t>
  </si>
  <si>
    <t>Pago en cuotas de 70 millones mensuales y el cliente es el dueño de las maquinas.</t>
  </si>
  <si>
    <t>MES2</t>
  </si>
  <si>
    <t>MES3</t>
  </si>
  <si>
    <t>MES4</t>
  </si>
  <si>
    <t>MES5</t>
  </si>
  <si>
    <t>MES6</t>
  </si>
  <si>
    <t>MES7</t>
  </si>
  <si>
    <t>Automatización</t>
  </si>
  <si>
    <t>Total Ingresos</t>
  </si>
  <si>
    <t>MES0</t>
  </si>
  <si>
    <t>MES1</t>
  </si>
  <si>
    <t>Inversión</t>
  </si>
  <si>
    <t>Otros Costos(Arriendos, etc.)</t>
  </si>
  <si>
    <t>Costos Fijos (Nomina)</t>
  </si>
  <si>
    <t>Total Egresos</t>
  </si>
  <si>
    <t>.</t>
  </si>
  <si>
    <t>..</t>
  </si>
  <si>
    <t>…</t>
  </si>
  <si>
    <t>…..</t>
  </si>
  <si>
    <t>_</t>
  </si>
  <si>
    <t>_.</t>
  </si>
  <si>
    <t>….</t>
  </si>
  <si>
    <t>……</t>
  </si>
  <si>
    <t>Escenario 1</t>
  </si>
  <si>
    <t>ESTADO DE PERDIDAS Y GANANCIAS Escenario 1</t>
  </si>
  <si>
    <t>FLUJO NETO FINANCIADO Escenario 1</t>
  </si>
  <si>
    <t>Escenario 2</t>
  </si>
  <si>
    <t>FLUJO NETO FINANCIADO Escenario 2</t>
  </si>
  <si>
    <t>ESTADO DE PERDIDAS Y GANANCIAS Escenario 2</t>
  </si>
  <si>
    <t>3 pagos en los meses 1,4 y 7 de 188 millones mensuales y el cliente es el dueño de las maquinas.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</si>
</sst>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&quot;$&quot;#,##0"/>
    <numFmt numFmtId="167" formatCode="&quot;$&quot;#,##0.00"/>
    <numFmt numFmtId="168" formatCode="_-[$COP]\ * #,##0_-;\-[$COP]\ * #,##0_-;_-[$COP]\ * &quot;-&quot;_-;_-@_-"/>
    <numFmt numFmtId="169" formatCode="_-[$COP]\ * #,##0.00_-;\-[$COP]\ * #,##0.00_-;_-[$COP]\ * &quot;-&quot;??_-;_-@_-"/>
    <numFmt numFmtId="170" formatCode="_-[$COP]\ * #,##0_-;\-[$COP]\ * #,##0_-;_-[$COP]\ 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66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167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68" fontId="1" fillId="0" borderId="0" xfId="0" applyNumberFormat="1" applyFont="1"/>
    <xf numFmtId="168" fontId="0" fillId="0" borderId="0" xfId="0" applyNumberFormat="1"/>
    <xf numFmtId="164" fontId="0" fillId="0" borderId="0" xfId="3" applyFont="1"/>
    <xf numFmtId="3" fontId="0" fillId="4" borderId="1" xfId="0" applyNumberFormat="1" applyFill="1" applyBorder="1"/>
    <xf numFmtId="3" fontId="0" fillId="0" borderId="0" xfId="0" applyNumberFormat="1"/>
    <xf numFmtId="4" fontId="0" fillId="0" borderId="0" xfId="0" applyNumberFormat="1"/>
    <xf numFmtId="3" fontId="3" fillId="0" borderId="1" xfId="0" applyNumberFormat="1" applyFont="1" applyBorder="1"/>
    <xf numFmtId="3" fontId="0" fillId="0" borderId="1" xfId="0" applyNumberFormat="1" applyBorder="1"/>
    <xf numFmtId="3" fontId="1" fillId="4" borderId="1" xfId="0" applyNumberFormat="1" applyFont="1" applyFill="1" applyBorder="1"/>
    <xf numFmtId="3" fontId="0" fillId="4" borderId="2" xfId="0" applyNumberFormat="1" applyFill="1" applyBorder="1"/>
    <xf numFmtId="9" fontId="0" fillId="0" borderId="2" xfId="0" applyNumberFormat="1" applyBorder="1"/>
    <xf numFmtId="4" fontId="0" fillId="0" borderId="1" xfId="0" applyNumberFormat="1" applyBorder="1"/>
    <xf numFmtId="9" fontId="0" fillId="0" borderId="1" xfId="0" applyNumberFormat="1" applyBorder="1"/>
    <xf numFmtId="0" fontId="3" fillId="0" borderId="0" xfId="0" applyFont="1" applyAlignment="1">
      <alignment horizontal="left"/>
    </xf>
    <xf numFmtId="168" fontId="0" fillId="0" borderId="0" xfId="2" applyNumberFormat="1" applyFont="1" applyBorder="1" applyAlignment="1">
      <alignment horizontal="center" vertical="center"/>
    </xf>
    <xf numFmtId="168" fontId="4" fillId="0" borderId="0" xfId="2" applyNumberFormat="1" applyFont="1" applyBorder="1" applyAlignment="1">
      <alignment horizontal="center" vertical="center"/>
    </xf>
    <xf numFmtId="0" fontId="0" fillId="6" borderId="1" xfId="0" applyFill="1" applyBorder="1"/>
    <xf numFmtId="168" fontId="0" fillId="6" borderId="1" xfId="0" applyNumberFormat="1" applyFill="1" applyBorder="1"/>
    <xf numFmtId="169" fontId="0" fillId="6" borderId="1" xfId="0" applyNumberFormat="1" applyFill="1" applyBorder="1"/>
    <xf numFmtId="0" fontId="5" fillId="7" borderId="1" xfId="0" applyFont="1" applyFill="1" applyBorder="1" applyAlignment="1">
      <alignment vertical="center" wrapText="1"/>
    </xf>
    <xf numFmtId="168" fontId="0" fillId="8" borderId="1" xfId="0" applyNumberFormat="1" applyFill="1" applyBorder="1" applyAlignment="1">
      <alignment horizontal="center" vertical="center"/>
    </xf>
    <xf numFmtId="0" fontId="5" fillId="8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8" borderId="3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7" fontId="5" fillId="8" borderId="1" xfId="0" applyNumberFormat="1" applyFont="1" applyFill="1" applyBorder="1" applyAlignment="1">
      <alignment vertical="center"/>
    </xf>
    <xf numFmtId="0" fontId="5" fillId="8" borderId="7" xfId="0" applyFont="1" applyFill="1" applyBorder="1" applyAlignment="1">
      <alignment vertical="center" wrapText="1"/>
    </xf>
    <xf numFmtId="167" fontId="5" fillId="8" borderId="8" xfId="0" applyNumberFormat="1" applyFont="1" applyFill="1" applyBorder="1" applyAlignment="1">
      <alignment vertical="center"/>
    </xf>
    <xf numFmtId="0" fontId="5" fillId="0" borderId="0" xfId="0" applyFont="1" applyAlignment="1">
      <alignment vertical="center" wrapText="1"/>
    </xf>
    <xf numFmtId="167" fontId="5" fillId="0" borderId="5" xfId="0" applyNumberFormat="1" applyFont="1" applyBorder="1" applyAlignment="1">
      <alignment vertical="center"/>
    </xf>
    <xf numFmtId="167" fontId="5" fillId="0" borderId="6" xfId="0" applyNumberFormat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/>
    </xf>
    <xf numFmtId="168" fontId="5" fillId="8" borderId="1" xfId="0" applyNumberFormat="1" applyFont="1" applyFill="1" applyBorder="1" applyAlignment="1">
      <alignment vertical="center"/>
    </xf>
    <xf numFmtId="168" fontId="5" fillId="8" borderId="2" xfId="0" applyNumberFormat="1" applyFont="1" applyFill="1" applyBorder="1" applyAlignment="1">
      <alignment vertical="center"/>
    </xf>
    <xf numFmtId="168" fontId="5" fillId="8" borderId="8" xfId="0" applyNumberFormat="1" applyFont="1" applyFill="1" applyBorder="1" applyAlignment="1">
      <alignment vertical="center"/>
    </xf>
    <xf numFmtId="168" fontId="5" fillId="8" borderId="9" xfId="0" applyNumberFormat="1" applyFont="1" applyFill="1" applyBorder="1" applyAlignment="1">
      <alignment vertical="center"/>
    </xf>
    <xf numFmtId="168" fontId="5" fillId="0" borderId="1" xfId="0" applyNumberFormat="1" applyFont="1" applyBorder="1" applyAlignment="1">
      <alignment vertical="center"/>
    </xf>
    <xf numFmtId="168" fontId="5" fillId="0" borderId="2" xfId="0" applyNumberFormat="1" applyFont="1" applyBorder="1" applyAlignment="1">
      <alignment vertical="center"/>
    </xf>
    <xf numFmtId="168" fontId="5" fillId="0" borderId="8" xfId="0" applyNumberFormat="1" applyFont="1" applyBorder="1" applyAlignment="1">
      <alignment vertical="center"/>
    </xf>
    <xf numFmtId="168" fontId="5" fillId="0" borderId="9" xfId="0" applyNumberFormat="1" applyFont="1" applyBorder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70" fontId="0" fillId="0" borderId="1" xfId="0" applyNumberFormat="1" applyBorder="1" applyAlignment="1">
      <alignment vertical="center"/>
    </xf>
    <xf numFmtId="170" fontId="0" fillId="5" borderId="1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5" borderId="8" xfId="0" applyFont="1" applyFill="1" applyBorder="1" applyAlignment="1">
      <alignment vertical="center" wrapText="1"/>
    </xf>
    <xf numFmtId="170" fontId="0" fillId="5" borderId="8" xfId="0" applyNumberFormat="1" applyFill="1" applyBorder="1" applyAlignment="1">
      <alignment vertical="center"/>
    </xf>
    <xf numFmtId="10" fontId="0" fillId="2" borderId="1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</cellXfs>
  <cellStyles count="4">
    <cellStyle name="Moneda" xfId="2" builtinId="4"/>
    <cellStyle name="Moneda [0]" xfId="3" builtinId="7"/>
    <cellStyle name="Normal" xfId="0" builtinId="0"/>
    <cellStyle name="Porcentaje" xfId="1" builtinId="5"/>
  </cellStyles>
  <dxfs count="152">
    <dxf>
      <numFmt numFmtId="168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8" formatCode="_-[$COP]\ * #,##0_-;\-[$COP]\ * #,##0_-;_-[$COP]\ * &quot;-&quot;_-;_-@_-"/>
    </dxf>
    <dxf>
      <numFmt numFmtId="168" formatCode="_-[$COP]\ * #,##0_-;\-[$COP]\ * #,##0_-;_-[$COP]\ * &quot;-&quot;_-;_-@_-"/>
    </dxf>
    <dxf>
      <numFmt numFmtId="168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8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8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numFmt numFmtId="168" formatCode="_-[$COP]\ * #,##0_-;\-[$COP]\ * #,##0_-;_-[$COP]\ * &quot;-&quot;_-;_-@_-"/>
    </dxf>
    <dxf>
      <numFmt numFmtId="168" formatCode="_-[$COP]\ * #,##0_-;\-[$COP]\ * #,##0_-;_-[$COP]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7" formatCode="&quot;$&quot;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7" formatCode="&quot;$&quot;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7" formatCode="&quot;$&quot;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7" formatCode="&quot;$&quot;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8" formatCode="_-[$COP]\ * #,##0_-;\-[$COP]\ * #,##0_-;_-[$COP]\ * &quot;-&quot;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7" formatCode="&quot;$&quot;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7" formatCode="&quot;$&quot;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379"/>
      <color rgb="FFFF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84FD8C-1758-D74F-9A48-04CB507ACCDF}" name="Table11" displayName="Table11" ref="A7:I10" totalsRowShown="0" headerRowDxfId="151" dataDxfId="149" headerRowBorderDxfId="150" tableBorderDxfId="148" totalsRowBorderDxfId="147">
  <autoFilter ref="A7:I10" xr:uid="{F483BBA3-B951-7948-A3BE-FA218367CABA}"/>
  <tableColumns count="9">
    <tableColumn id="1" xr3:uid="{95ED28CF-37BE-4441-ADCF-4D65C841ABEC}" name="INGRESOS" dataDxfId="146"/>
    <tableColumn id="2" xr3:uid="{210AE0BD-76F5-F04C-971D-21759CD8B4F8}" name="MES0" dataDxfId="145"/>
    <tableColumn id="3" xr3:uid="{116743C7-01D4-0546-9F6D-DF028F67BDA8}" name="MES1" dataDxfId="144"/>
    <tableColumn id="4" xr3:uid="{9DA9BAAE-8F91-024B-8D32-5FB1934F875E}" name="MES2" dataDxfId="143"/>
    <tableColumn id="5" xr3:uid="{2A389393-4019-894C-9407-60BACDBA326E}" name="MES3" dataDxfId="142"/>
    <tableColumn id="6" xr3:uid="{3111D962-5E7F-164C-B7B0-49F03796BD7F}" name="MES4" dataDxfId="141"/>
    <tableColumn id="7" xr3:uid="{404341F0-95FD-4C4C-BC1A-F37C4995A7FF}" name="MES5" dataDxfId="140"/>
    <tableColumn id="8" xr3:uid="{9E6DFEB4-0055-4A40-85A4-070172DF8E4C}" name="MES6" dataDxfId="139"/>
    <tableColumn id="9" xr3:uid="{8CDE73C2-B088-584A-B1EF-D8E79F3C43B3}" name="MES7" dataDxfId="1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721415-8623-9646-AFE2-EA85FD64A8E7}" name="Table3" displayName="Table3" ref="G1:H2" totalsRowShown="0">
  <autoFilter ref="G1:H2" xr:uid="{807BB821-AEC0-0642-808E-8C8E1BDDBBBE}"/>
  <tableColumns count="2">
    <tableColumn id="1" xr3:uid="{1438EFE6-8623-CB4D-8BD2-CB045A46F0EB}" name="Moneda"/>
    <tableColumn id="2" xr3:uid="{ED2052EE-ABEA-4743-8306-9703F25CA8C2}" name="Precio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DAC2BB-347D-524D-BA23-91D7F9992A11}" name="Table4" displayName="Table4" ref="A25:E29" totalsRowShown="0">
  <autoFilter ref="A25:E29" xr:uid="{6C8E68B1-FDFA-814A-8821-988D8428C4D8}"/>
  <tableColumns count="5">
    <tableColumn id="1" xr3:uid="{B3F44B46-5BCC-3440-A2F1-C80D4C715ED4}" name="Software anual" dataDxfId="9"/>
    <tableColumn id="2" xr3:uid="{259C6620-B74B-8040-AB90-B81772858F17}" name="Costo"/>
    <tableColumn id="3" xr3:uid="{90F97D56-54BA-7841-A72B-F7B2CFC162F9}" name="Cantidad" dataDxfId="8"/>
    <tableColumn id="4" xr3:uid="{84093A19-253C-9540-AE02-D4C7BEFAB81E}" name="Costo Total" dataDxfId="7"/>
    <tableColumn id="5" xr3:uid="{AA133456-DF8F-BA49-8325-4C6B581336B5}" name="Link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37F313-1EAA-8442-B4E5-A00D5F3276F4}" name="Table5" displayName="Table5" ref="A32:F39" totalsRowShown="0" headerRowDxfId="6">
  <autoFilter ref="A32:F39" xr:uid="{93835068-F998-7246-856C-D4C66621BAB3}"/>
  <tableColumns count="6">
    <tableColumn id="1" xr3:uid="{56512AA4-42AD-E447-A9B9-619171954E8B}" name="Mano obra" dataDxfId="5"/>
    <tableColumn id="2" xr3:uid="{A40F7AFE-FE22-4943-95D4-A4F3606313EA}" name="Salario Fijo" dataDxfId="4"/>
    <tableColumn id="3" xr3:uid="{C768BF40-69B5-2C48-9340-6D0483041015}" name="Lo que cuesta" dataDxfId="3"/>
    <tableColumn id="4" xr3:uid="{DD4462D8-803F-414A-9DFF-25B869680608}" name="Cantidad"/>
    <tableColumn id="5" xr3:uid="{D617B5E3-4EB4-4B4B-9FC1-D5B296C5227D}" name="Costo Total" dataDxfId="2"/>
    <tableColumn id="6" xr3:uid="{6516B0A7-E3B1-2C41-9B40-0B9436B71BDB}" name="Link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844F1D-83BB-C444-A4B8-66DCA84FC8DB}" name="Table6" displayName="Table6" ref="A41:B44" totalsRowShown="0">
  <autoFilter ref="A41:B44" xr:uid="{D5F8C8E8-2215-294D-8831-E3FDE2F915A2}"/>
  <tableColumns count="2">
    <tableColumn id="1" xr3:uid="{747E3EE1-AD45-F646-998F-BA67B31B60CD}" name="Otros Costos" dataDxfId="1"/>
    <tableColumn id="2" xr3:uid="{7F1B98F6-B813-064F-8322-3B254EBDADA6}" name="Cost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C66540-5CB6-FD47-BACF-EE8B2AFFAA21}" name="Table12" displayName="Table12" ref="A12:I16" headerRowDxfId="137" dataDxfId="135" totalsRowDxfId="133" headerRowBorderDxfId="136" tableBorderDxfId="134" totalsRowBorderDxfId="132">
  <autoFilter ref="A12:I16" xr:uid="{4AE8F3EE-65D3-A542-BA00-D18EDC9FAC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B3D04C3-46AF-BC40-A1AB-D748664538BD}" name="EGRESOS" totalsRowLabel="Total" dataDxfId="131" totalsRowDxfId="130"/>
    <tableColumn id="2" xr3:uid="{61AA4474-60E3-3548-AC1F-D7504528F456}" name="." dataDxfId="129" totalsRowDxfId="128"/>
    <tableColumn id="3" xr3:uid="{AF949E3C-9F0A-7748-BF32-284FCB41A380}" name="_" dataDxfId="127" totalsRowDxfId="126"/>
    <tableColumn id="4" xr3:uid="{041DD32C-8797-1641-AF8F-C8F378345B6C}" name=".." dataDxfId="125" totalsRowDxfId="124"/>
    <tableColumn id="5" xr3:uid="{1F5FE343-C67B-784E-A4AD-FED1FA921097}" name="…" dataDxfId="123" totalsRowDxfId="122"/>
    <tableColumn id="6" xr3:uid="{DA1E78E3-2723-024B-AE71-E40527706E21}" name="_." dataDxfId="121" totalsRowDxfId="120"/>
    <tableColumn id="7" xr3:uid="{68ADA1A4-C3F0-1B4F-B2B6-A077EE3BA825}" name="…." dataDxfId="119" totalsRowDxfId="118"/>
    <tableColumn id="8" xr3:uid="{14F93E24-6F1A-B64E-BAD0-69AF09FB1809}" name="….." dataDxfId="117" totalsRowDxfId="116"/>
    <tableColumn id="9" xr3:uid="{CEE61BA1-CDA8-9E4E-BEDC-D0D2E23E70F5}" name="……" totalsRowFunction="sum" dataDxfId="115" totalsRowDxfId="114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B6A43A-9D96-824D-888F-B1DC636F5C98}" name="Table13" displayName="Table13" ref="A19:I21" headerRowCount="0" totalsRowShown="0" headerRowDxfId="113" dataDxfId="112">
  <tableColumns count="9">
    <tableColumn id="1" xr3:uid="{72A20060-BF58-7A4B-9C06-5413ACF5AE18}" name="Column1" headerRowDxfId="111" dataDxfId="110"/>
    <tableColumn id="2" xr3:uid="{9059EC39-AB7E-464A-B492-31E435F74210}" name="Column2" headerRowDxfId="109" dataDxfId="108"/>
    <tableColumn id="3" xr3:uid="{4A60D067-6EE7-5E42-A47F-2676DDB4F91C}" name="Column3" headerRowDxfId="107" dataDxfId="106"/>
    <tableColumn id="4" xr3:uid="{F087BCF2-466F-0A45-B78F-99973AC4C983}" name="Column4" headerRowDxfId="105" dataDxfId="104"/>
    <tableColumn id="5" xr3:uid="{3023A026-85BF-B142-9C33-2275E305A8E2}" name="Column5" headerRowDxfId="103" dataDxfId="102"/>
    <tableColumn id="6" xr3:uid="{E9ACA198-3033-5541-AC12-8A98FF53EE08}" name="Column6" headerRowDxfId="101" dataDxfId="100"/>
    <tableColumn id="7" xr3:uid="{805647E8-5BEE-A04F-B0C9-305ACF59C3A1}" name="Column7" headerRowDxfId="99" dataDxfId="98"/>
    <tableColumn id="8" xr3:uid="{4F975410-B5D7-0C48-8BDE-EBF4EAE07405}" name="Column8" headerRowDxfId="97" dataDxfId="96"/>
    <tableColumn id="9" xr3:uid="{A43F82B2-28BF-E845-BB44-9B581157D5FD}" name="Column9" headerRowDxfId="95" dataDxfId="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1DB8BC-03AB-BC46-A991-91C85A6638A0}" name="Table14" displayName="Table14" ref="A31:I35" headerRowCount="0" totalsRowShown="0" headerRowDxfId="93">
  <tableColumns count="9">
    <tableColumn id="1" xr3:uid="{3CBC6DCC-E592-3E46-BC59-B44B8B75B84F}" name="Column1" headerRowDxfId="92"/>
    <tableColumn id="2" xr3:uid="{498F074C-A28B-C94E-8A6B-9D7CA0C2211C}" name="Column2" headerRowDxfId="91" dataDxfId="90"/>
    <tableColumn id="3" xr3:uid="{359705B2-E7D3-F348-BE0D-3D14462C6051}" name="Column3" headerRowDxfId="89"/>
    <tableColumn id="4" xr3:uid="{F06AD62E-8927-7643-A2D5-4A9CA9455CB8}" name="Column4" headerRowDxfId="88"/>
    <tableColumn id="5" xr3:uid="{AE353087-CF24-0C40-BC93-52AB4C6A07D8}" name="Column5" headerRowDxfId="87"/>
    <tableColumn id="6" xr3:uid="{D2D99789-F8CD-A048-A973-A335BCA3943D}" name="Column6" headerRowDxfId="86"/>
    <tableColumn id="7" xr3:uid="{86DEFCB6-27B9-3940-BFD7-8E87D683B2D9}" name="Column7" headerRowDxfId="85"/>
    <tableColumn id="8" xr3:uid="{5E05A062-C071-FA44-B311-2DCF7C82AA12}" name="Column8" headerRowDxfId="84"/>
    <tableColumn id="9" xr3:uid="{3A5D1F57-F84D-7C43-8600-9FDBE24FA2FF}" name="Column9" headerRowDxfId="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008A45-38FD-8749-9D26-E41513AC9B5D}" name="Table1116" displayName="Table1116" ref="A7:I10" totalsRowShown="0" headerRowDxfId="82" dataDxfId="80" headerRowBorderDxfId="81" tableBorderDxfId="79" totalsRowBorderDxfId="78">
  <autoFilter ref="A7:I10" xr:uid="{1878ABE1-446D-464A-9F47-73324088B8B4}"/>
  <tableColumns count="9">
    <tableColumn id="1" xr3:uid="{F47AFDA1-A6EF-984D-A151-AEDC61152812}" name="INGRESOS" dataDxfId="77"/>
    <tableColumn id="2" xr3:uid="{C8C7752D-F214-FB42-A86F-17072F82CA42}" name="MES0" dataDxfId="76"/>
    <tableColumn id="3" xr3:uid="{AE6B3A13-F7D7-624F-B476-7A76D8DAED30}" name="MES1" dataDxfId="75"/>
    <tableColumn id="4" xr3:uid="{ABBC3E20-F2F8-9444-896F-B56BD4E81212}" name="MES2" dataDxfId="74"/>
    <tableColumn id="5" xr3:uid="{6F79B726-AAAB-0A49-89E6-CA0C768554A8}" name="MES3" dataDxfId="73"/>
    <tableColumn id="6" xr3:uid="{5E6FCD31-FCA5-784E-B621-821E8E571927}" name="MES4" dataDxfId="72"/>
    <tableColumn id="7" xr3:uid="{69DBABE6-AE1C-4441-BCD7-203495EBE140}" name="MES5" dataDxfId="71"/>
    <tableColumn id="8" xr3:uid="{15510A6F-4C49-EB4A-87E7-A1958368BA55}" name="MES6" dataDxfId="70"/>
    <tableColumn id="9" xr3:uid="{4E908D87-BFA3-8842-81D9-1361AE268395}" name="MES7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854D6A-65CF-1C47-8FAD-31DD1B1B5BC0}" name="Table1217" displayName="Table1217" ref="A12:I16" headerRowDxfId="68" dataDxfId="66" totalsRowDxfId="64" headerRowBorderDxfId="67" tableBorderDxfId="65" totalsRowBorderDxfId="63">
  <autoFilter ref="A12:I16" xr:uid="{7FC1A86B-632D-904F-8186-3B69005387FF}"/>
  <tableColumns count="9">
    <tableColumn id="1" xr3:uid="{44BAEE9E-12DA-0F44-BB99-A96E688AD274}" name="EGRESOS" totalsRowLabel="Total" dataDxfId="62" totalsRowDxfId="61"/>
    <tableColumn id="2" xr3:uid="{47F888A4-CA53-2846-BE2A-E7CE6314F50E}" name="." dataDxfId="60" totalsRowDxfId="59"/>
    <tableColumn id="3" xr3:uid="{7CC40E1D-9918-224F-8CD4-879FDFA5CA9A}" name="_" dataDxfId="58" totalsRowDxfId="57"/>
    <tableColumn id="4" xr3:uid="{45BFB2A7-A30A-264C-8674-BBA1222167DF}" name=".." dataDxfId="56" totalsRowDxfId="55"/>
    <tableColumn id="5" xr3:uid="{833D0932-1635-DD46-A841-83187EE19838}" name="…" dataDxfId="54" totalsRowDxfId="53"/>
    <tableColumn id="6" xr3:uid="{997DC67D-4099-D244-9327-3F6B3F5DB1BB}" name="_." dataDxfId="52" totalsRowDxfId="51"/>
    <tableColumn id="7" xr3:uid="{AD17E41E-971E-8949-840F-B463D3BEB962}" name="…." dataDxfId="50" totalsRowDxfId="49"/>
    <tableColumn id="8" xr3:uid="{CD69BB76-50D3-1146-80FA-B128A46B443B}" name="….." dataDxfId="48" totalsRowDxfId="47"/>
    <tableColumn id="9" xr3:uid="{03D5D257-8475-D94F-9FEE-9BF7D7FB8FF4}" name="……" totalsRowFunction="sum" dataDxfId="46" totalsRowDxfId="45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A3F9F31-B4BE-A94F-819D-3C792EC2FA24}" name="Table1318" displayName="Table1318" ref="A18:I20" headerRowCount="0" totalsRowShown="0" headerRowDxfId="44" dataDxfId="43">
  <tableColumns count="9">
    <tableColumn id="1" xr3:uid="{A66FBAFD-A382-1E4D-B368-429E0A40C505}" name="Column1" headerRowDxfId="42" dataDxfId="41"/>
    <tableColumn id="2" xr3:uid="{DF3ED282-CECB-BB43-BCDC-1000C0AC4FF8}" name="Column2" headerRowDxfId="40" dataDxfId="39"/>
    <tableColumn id="3" xr3:uid="{81A45AA6-A84E-B542-8CF3-264A7CCEF5D1}" name="Column3" headerRowDxfId="38" dataDxfId="37"/>
    <tableColumn id="4" xr3:uid="{ADE6A887-23CD-F548-8408-26CC50569A44}" name="Column4" headerRowDxfId="36" dataDxfId="35"/>
    <tableColumn id="5" xr3:uid="{44B11334-4C58-D64D-9CE1-08D7010696C5}" name="Column5" headerRowDxfId="34" dataDxfId="33"/>
    <tableColumn id="6" xr3:uid="{78455202-24FA-0145-AC72-00548442C479}" name="Column6" headerRowDxfId="32" dataDxfId="31"/>
    <tableColumn id="7" xr3:uid="{2DC27663-42E9-C144-ABC3-7FAB8ABCEA9B}" name="Column7" headerRowDxfId="30" dataDxfId="29"/>
    <tableColumn id="8" xr3:uid="{A669FDF5-1E95-104E-8F28-E531E4A2BF99}" name="Column8" headerRowDxfId="28" dataDxfId="27"/>
    <tableColumn id="9" xr3:uid="{8C5BF3E1-F3C2-DD45-88C0-F5D6C0F8A2ED}" name="Column9" headerRowDxfId="26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920725D-343F-3E4D-A59D-1BA56EC39F5B}" name="Table1419" displayName="Table1419" ref="A30:I34" headerRowCount="0" totalsRowShown="0" headerRowDxfId="24">
  <tableColumns count="9">
    <tableColumn id="1" xr3:uid="{53CDA84C-216A-764C-8586-F31F9DADAFF0}" name="Column1" headerRowDxfId="23"/>
    <tableColumn id="2" xr3:uid="{5F0121BB-0C7E-364A-9E0D-B8AC568F234B}" name="Column2" headerRowDxfId="22" dataDxfId="21"/>
    <tableColumn id="3" xr3:uid="{E5DFC408-F8EF-8646-93C0-FE33988400DB}" name="Column3" headerRowDxfId="20"/>
    <tableColumn id="4" xr3:uid="{7DC64778-B118-BE46-9C74-E6365D474C09}" name="Column4" headerRowDxfId="19"/>
    <tableColumn id="5" xr3:uid="{B670427F-ADE4-9147-A0E8-40D962C1F318}" name="Column5" headerRowDxfId="18"/>
    <tableColumn id="6" xr3:uid="{9B39911E-05BC-D04E-B36E-2065FBFE181A}" name="Column6" headerRowDxfId="17"/>
    <tableColumn id="7" xr3:uid="{06C1D8A4-FCDA-0E4B-993E-8F786339CB2B}" name="Column7" headerRowDxfId="16"/>
    <tableColumn id="8" xr3:uid="{5B033705-19DC-B246-90FE-4268FB46F959}" name="Column8" headerRowDxfId="15"/>
    <tableColumn id="9" xr3:uid="{83B83C0D-14E0-1742-88E4-0C82D71B2473}" name="Column9" headerRow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1E62A0-853F-5548-BFEA-F45083EB35DC}" name="Table2" displayName="Table2" ref="A1:E23" totalsRowShown="0" headerRowDxfId="13">
  <autoFilter ref="A1:E23" xr:uid="{56436DCF-F3A4-4E48-BD6B-A0E9EA171F4D}"/>
  <tableColumns count="5">
    <tableColumn id="1" xr3:uid="{499DC650-21DD-3540-B4F0-208F57155EF4}" name="Máquina" dataDxfId="12"/>
    <tableColumn id="2" xr3:uid="{9F65A5EF-73E2-2749-9518-D7095DA26D82}" name="Costo " dataDxfId="11"/>
    <tableColumn id="3" xr3:uid="{77E5714A-7A29-9045-A73B-0873765ADE22}" name="Cantidad"/>
    <tableColumn id="4" xr3:uid="{573178F4-4257-AC44-B95C-84E6180CAF4F}" name="Costo total" dataDxfId="10"/>
    <tableColumn id="5" xr3:uid="{61FDAA4A-748A-4741-A6D6-2225762FADEB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36B6-C95E-4F80-8316-6AF95C4E391A}">
  <dimension ref="A1:N45"/>
  <sheetViews>
    <sheetView tabSelected="1" zoomScaleNormal="100" workbookViewId="0">
      <selection activeCell="C6" sqref="C6"/>
    </sheetView>
  </sheetViews>
  <sheetFormatPr baseColWidth="10" defaultRowHeight="13.2" x14ac:dyDescent="0.25"/>
  <cols>
    <col min="1" max="1" width="18.44140625" style="2" customWidth="1"/>
    <col min="2" max="2" width="20.44140625" style="1" bestFit="1" customWidth="1"/>
    <col min="3" max="4" width="19.21875" style="1" bestFit="1" customWidth="1"/>
    <col min="5" max="5" width="28.109375" style="1" customWidth="1"/>
    <col min="6" max="9" width="19.21875" style="1" bestFit="1" customWidth="1"/>
    <col min="10" max="13" width="22.44140625" style="1" bestFit="1" customWidth="1"/>
    <col min="14" max="14" width="22" style="1" customWidth="1"/>
    <col min="15" max="256" width="11.44140625" style="1"/>
    <col min="257" max="257" width="18.44140625" style="1" customWidth="1"/>
    <col min="258" max="258" width="17.44140625" style="1" bestFit="1" customWidth="1"/>
    <col min="259" max="259" width="22.109375" style="1" bestFit="1" customWidth="1"/>
    <col min="260" max="270" width="16.44140625" style="1" bestFit="1" customWidth="1"/>
    <col min="271" max="512" width="11.44140625" style="1"/>
    <col min="513" max="513" width="18.44140625" style="1" customWidth="1"/>
    <col min="514" max="514" width="17.44140625" style="1" bestFit="1" customWidth="1"/>
    <col min="515" max="515" width="22.109375" style="1" bestFit="1" customWidth="1"/>
    <col min="516" max="526" width="16.44140625" style="1" bestFit="1" customWidth="1"/>
    <col min="527" max="768" width="11.44140625" style="1"/>
    <col min="769" max="769" width="18.44140625" style="1" customWidth="1"/>
    <col min="770" max="770" width="17.44140625" style="1" bestFit="1" customWidth="1"/>
    <col min="771" max="771" width="22.109375" style="1" bestFit="1" customWidth="1"/>
    <col min="772" max="782" width="16.44140625" style="1" bestFit="1" customWidth="1"/>
    <col min="783" max="1024" width="11.44140625" style="1"/>
    <col min="1025" max="1025" width="18.44140625" style="1" customWidth="1"/>
    <col min="1026" max="1026" width="17.44140625" style="1" bestFit="1" customWidth="1"/>
    <col min="1027" max="1027" width="22.109375" style="1" bestFit="1" customWidth="1"/>
    <col min="1028" max="1038" width="16.44140625" style="1" bestFit="1" customWidth="1"/>
    <col min="1039" max="1280" width="11.44140625" style="1"/>
    <col min="1281" max="1281" width="18.44140625" style="1" customWidth="1"/>
    <col min="1282" max="1282" width="17.44140625" style="1" bestFit="1" customWidth="1"/>
    <col min="1283" max="1283" width="22.109375" style="1" bestFit="1" customWidth="1"/>
    <col min="1284" max="1294" width="16.44140625" style="1" bestFit="1" customWidth="1"/>
    <col min="1295" max="1536" width="11.44140625" style="1"/>
    <col min="1537" max="1537" width="18.44140625" style="1" customWidth="1"/>
    <col min="1538" max="1538" width="17.44140625" style="1" bestFit="1" customWidth="1"/>
    <col min="1539" max="1539" width="22.109375" style="1" bestFit="1" customWidth="1"/>
    <col min="1540" max="1550" width="16.44140625" style="1" bestFit="1" customWidth="1"/>
    <col min="1551" max="1792" width="11.44140625" style="1"/>
    <col min="1793" max="1793" width="18.44140625" style="1" customWidth="1"/>
    <col min="1794" max="1794" width="17.44140625" style="1" bestFit="1" customWidth="1"/>
    <col min="1795" max="1795" width="22.109375" style="1" bestFit="1" customWidth="1"/>
    <col min="1796" max="1806" width="16.44140625" style="1" bestFit="1" customWidth="1"/>
    <col min="1807" max="2048" width="11.44140625" style="1"/>
    <col min="2049" max="2049" width="18.44140625" style="1" customWidth="1"/>
    <col min="2050" max="2050" width="17.44140625" style="1" bestFit="1" customWidth="1"/>
    <col min="2051" max="2051" width="22.109375" style="1" bestFit="1" customWidth="1"/>
    <col min="2052" max="2062" width="16.44140625" style="1" bestFit="1" customWidth="1"/>
    <col min="2063" max="2304" width="11.44140625" style="1"/>
    <col min="2305" max="2305" width="18.44140625" style="1" customWidth="1"/>
    <col min="2306" max="2306" width="17.44140625" style="1" bestFit="1" customWidth="1"/>
    <col min="2307" max="2307" width="22.109375" style="1" bestFit="1" customWidth="1"/>
    <col min="2308" max="2318" width="16.44140625" style="1" bestFit="1" customWidth="1"/>
    <col min="2319" max="2560" width="11.44140625" style="1"/>
    <col min="2561" max="2561" width="18.44140625" style="1" customWidth="1"/>
    <col min="2562" max="2562" width="17.44140625" style="1" bestFit="1" customWidth="1"/>
    <col min="2563" max="2563" width="22.109375" style="1" bestFit="1" customWidth="1"/>
    <col min="2564" max="2574" width="16.44140625" style="1" bestFit="1" customWidth="1"/>
    <col min="2575" max="2816" width="11.44140625" style="1"/>
    <col min="2817" max="2817" width="18.44140625" style="1" customWidth="1"/>
    <col min="2818" max="2818" width="17.44140625" style="1" bestFit="1" customWidth="1"/>
    <col min="2819" max="2819" width="22.109375" style="1" bestFit="1" customWidth="1"/>
    <col min="2820" max="2830" width="16.44140625" style="1" bestFit="1" customWidth="1"/>
    <col min="2831" max="3072" width="11.44140625" style="1"/>
    <col min="3073" max="3073" width="18.44140625" style="1" customWidth="1"/>
    <col min="3074" max="3074" width="17.44140625" style="1" bestFit="1" customWidth="1"/>
    <col min="3075" max="3075" width="22.109375" style="1" bestFit="1" customWidth="1"/>
    <col min="3076" max="3086" width="16.44140625" style="1" bestFit="1" customWidth="1"/>
    <col min="3087" max="3328" width="11.44140625" style="1"/>
    <col min="3329" max="3329" width="18.44140625" style="1" customWidth="1"/>
    <col min="3330" max="3330" width="17.44140625" style="1" bestFit="1" customWidth="1"/>
    <col min="3331" max="3331" width="22.109375" style="1" bestFit="1" customWidth="1"/>
    <col min="3332" max="3342" width="16.44140625" style="1" bestFit="1" customWidth="1"/>
    <col min="3343" max="3584" width="11.44140625" style="1"/>
    <col min="3585" max="3585" width="18.44140625" style="1" customWidth="1"/>
    <col min="3586" max="3586" width="17.44140625" style="1" bestFit="1" customWidth="1"/>
    <col min="3587" max="3587" width="22.109375" style="1" bestFit="1" customWidth="1"/>
    <col min="3588" max="3598" width="16.44140625" style="1" bestFit="1" customWidth="1"/>
    <col min="3599" max="3840" width="11.44140625" style="1"/>
    <col min="3841" max="3841" width="18.44140625" style="1" customWidth="1"/>
    <col min="3842" max="3842" width="17.44140625" style="1" bestFit="1" customWidth="1"/>
    <col min="3843" max="3843" width="22.109375" style="1" bestFit="1" customWidth="1"/>
    <col min="3844" max="3854" width="16.44140625" style="1" bestFit="1" customWidth="1"/>
    <col min="3855" max="4096" width="11.44140625" style="1"/>
    <col min="4097" max="4097" width="18.44140625" style="1" customWidth="1"/>
    <col min="4098" max="4098" width="17.44140625" style="1" bestFit="1" customWidth="1"/>
    <col min="4099" max="4099" width="22.109375" style="1" bestFit="1" customWidth="1"/>
    <col min="4100" max="4110" width="16.44140625" style="1" bestFit="1" customWidth="1"/>
    <col min="4111" max="4352" width="11.44140625" style="1"/>
    <col min="4353" max="4353" width="18.44140625" style="1" customWidth="1"/>
    <col min="4354" max="4354" width="17.44140625" style="1" bestFit="1" customWidth="1"/>
    <col min="4355" max="4355" width="22.109375" style="1" bestFit="1" customWidth="1"/>
    <col min="4356" max="4366" width="16.44140625" style="1" bestFit="1" customWidth="1"/>
    <col min="4367" max="4608" width="11.44140625" style="1"/>
    <col min="4609" max="4609" width="18.44140625" style="1" customWidth="1"/>
    <col min="4610" max="4610" width="17.44140625" style="1" bestFit="1" customWidth="1"/>
    <col min="4611" max="4611" width="22.109375" style="1" bestFit="1" customWidth="1"/>
    <col min="4612" max="4622" width="16.44140625" style="1" bestFit="1" customWidth="1"/>
    <col min="4623" max="4864" width="11.44140625" style="1"/>
    <col min="4865" max="4865" width="18.44140625" style="1" customWidth="1"/>
    <col min="4866" max="4866" width="17.44140625" style="1" bestFit="1" customWidth="1"/>
    <col min="4867" max="4867" width="22.109375" style="1" bestFit="1" customWidth="1"/>
    <col min="4868" max="4878" width="16.44140625" style="1" bestFit="1" customWidth="1"/>
    <col min="4879" max="5120" width="11.44140625" style="1"/>
    <col min="5121" max="5121" width="18.44140625" style="1" customWidth="1"/>
    <col min="5122" max="5122" width="17.44140625" style="1" bestFit="1" customWidth="1"/>
    <col min="5123" max="5123" width="22.109375" style="1" bestFit="1" customWidth="1"/>
    <col min="5124" max="5134" width="16.44140625" style="1" bestFit="1" customWidth="1"/>
    <col min="5135" max="5376" width="11.44140625" style="1"/>
    <col min="5377" max="5377" width="18.44140625" style="1" customWidth="1"/>
    <col min="5378" max="5378" width="17.44140625" style="1" bestFit="1" customWidth="1"/>
    <col min="5379" max="5379" width="22.109375" style="1" bestFit="1" customWidth="1"/>
    <col min="5380" max="5390" width="16.44140625" style="1" bestFit="1" customWidth="1"/>
    <col min="5391" max="5632" width="11.44140625" style="1"/>
    <col min="5633" max="5633" width="18.44140625" style="1" customWidth="1"/>
    <col min="5634" max="5634" width="17.44140625" style="1" bestFit="1" customWidth="1"/>
    <col min="5635" max="5635" width="22.109375" style="1" bestFit="1" customWidth="1"/>
    <col min="5636" max="5646" width="16.44140625" style="1" bestFit="1" customWidth="1"/>
    <col min="5647" max="5888" width="11.44140625" style="1"/>
    <col min="5889" max="5889" width="18.44140625" style="1" customWidth="1"/>
    <col min="5890" max="5890" width="17.44140625" style="1" bestFit="1" customWidth="1"/>
    <col min="5891" max="5891" width="22.109375" style="1" bestFit="1" customWidth="1"/>
    <col min="5892" max="5902" width="16.44140625" style="1" bestFit="1" customWidth="1"/>
    <col min="5903" max="6144" width="11.44140625" style="1"/>
    <col min="6145" max="6145" width="18.44140625" style="1" customWidth="1"/>
    <col min="6146" max="6146" width="17.44140625" style="1" bestFit="1" customWidth="1"/>
    <col min="6147" max="6147" width="22.109375" style="1" bestFit="1" customWidth="1"/>
    <col min="6148" max="6158" width="16.44140625" style="1" bestFit="1" customWidth="1"/>
    <col min="6159" max="6400" width="11.44140625" style="1"/>
    <col min="6401" max="6401" width="18.44140625" style="1" customWidth="1"/>
    <col min="6402" max="6402" width="17.44140625" style="1" bestFit="1" customWidth="1"/>
    <col min="6403" max="6403" width="22.109375" style="1" bestFit="1" customWidth="1"/>
    <col min="6404" max="6414" width="16.44140625" style="1" bestFit="1" customWidth="1"/>
    <col min="6415" max="6656" width="11.44140625" style="1"/>
    <col min="6657" max="6657" width="18.44140625" style="1" customWidth="1"/>
    <col min="6658" max="6658" width="17.44140625" style="1" bestFit="1" customWidth="1"/>
    <col min="6659" max="6659" width="22.109375" style="1" bestFit="1" customWidth="1"/>
    <col min="6660" max="6670" width="16.44140625" style="1" bestFit="1" customWidth="1"/>
    <col min="6671" max="6912" width="11.44140625" style="1"/>
    <col min="6913" max="6913" width="18.44140625" style="1" customWidth="1"/>
    <col min="6914" max="6914" width="17.44140625" style="1" bestFit="1" customWidth="1"/>
    <col min="6915" max="6915" width="22.109375" style="1" bestFit="1" customWidth="1"/>
    <col min="6916" max="6926" width="16.44140625" style="1" bestFit="1" customWidth="1"/>
    <col min="6927" max="7168" width="11.44140625" style="1"/>
    <col min="7169" max="7169" width="18.44140625" style="1" customWidth="1"/>
    <col min="7170" max="7170" width="17.44140625" style="1" bestFit="1" customWidth="1"/>
    <col min="7171" max="7171" width="22.109375" style="1" bestFit="1" customWidth="1"/>
    <col min="7172" max="7182" width="16.44140625" style="1" bestFit="1" customWidth="1"/>
    <col min="7183" max="7424" width="11.44140625" style="1"/>
    <col min="7425" max="7425" width="18.44140625" style="1" customWidth="1"/>
    <col min="7426" max="7426" width="17.44140625" style="1" bestFit="1" customWidth="1"/>
    <col min="7427" max="7427" width="22.109375" style="1" bestFit="1" customWidth="1"/>
    <col min="7428" max="7438" width="16.44140625" style="1" bestFit="1" customWidth="1"/>
    <col min="7439" max="7680" width="11.44140625" style="1"/>
    <col min="7681" max="7681" width="18.44140625" style="1" customWidth="1"/>
    <col min="7682" max="7682" width="17.44140625" style="1" bestFit="1" customWidth="1"/>
    <col min="7683" max="7683" width="22.109375" style="1" bestFit="1" customWidth="1"/>
    <col min="7684" max="7694" width="16.44140625" style="1" bestFit="1" customWidth="1"/>
    <col min="7695" max="7936" width="11.44140625" style="1"/>
    <col min="7937" max="7937" width="18.44140625" style="1" customWidth="1"/>
    <col min="7938" max="7938" width="17.44140625" style="1" bestFit="1" customWidth="1"/>
    <col min="7939" max="7939" width="22.109375" style="1" bestFit="1" customWidth="1"/>
    <col min="7940" max="7950" width="16.44140625" style="1" bestFit="1" customWidth="1"/>
    <col min="7951" max="8192" width="11.44140625" style="1"/>
    <col min="8193" max="8193" width="18.44140625" style="1" customWidth="1"/>
    <col min="8194" max="8194" width="17.44140625" style="1" bestFit="1" customWidth="1"/>
    <col min="8195" max="8195" width="22.109375" style="1" bestFit="1" customWidth="1"/>
    <col min="8196" max="8206" width="16.44140625" style="1" bestFit="1" customWidth="1"/>
    <col min="8207" max="8448" width="11.44140625" style="1"/>
    <col min="8449" max="8449" width="18.44140625" style="1" customWidth="1"/>
    <col min="8450" max="8450" width="17.44140625" style="1" bestFit="1" customWidth="1"/>
    <col min="8451" max="8451" width="22.109375" style="1" bestFit="1" customWidth="1"/>
    <col min="8452" max="8462" width="16.44140625" style="1" bestFit="1" customWidth="1"/>
    <col min="8463" max="8704" width="11.44140625" style="1"/>
    <col min="8705" max="8705" width="18.44140625" style="1" customWidth="1"/>
    <col min="8706" max="8706" width="17.44140625" style="1" bestFit="1" customWidth="1"/>
    <col min="8707" max="8707" width="22.109375" style="1" bestFit="1" customWidth="1"/>
    <col min="8708" max="8718" width="16.44140625" style="1" bestFit="1" customWidth="1"/>
    <col min="8719" max="8960" width="11.44140625" style="1"/>
    <col min="8961" max="8961" width="18.44140625" style="1" customWidth="1"/>
    <col min="8962" max="8962" width="17.44140625" style="1" bestFit="1" customWidth="1"/>
    <col min="8963" max="8963" width="22.109375" style="1" bestFit="1" customWidth="1"/>
    <col min="8964" max="8974" width="16.44140625" style="1" bestFit="1" customWidth="1"/>
    <col min="8975" max="9216" width="11.44140625" style="1"/>
    <col min="9217" max="9217" width="18.44140625" style="1" customWidth="1"/>
    <col min="9218" max="9218" width="17.44140625" style="1" bestFit="1" customWidth="1"/>
    <col min="9219" max="9219" width="22.109375" style="1" bestFit="1" customWidth="1"/>
    <col min="9220" max="9230" width="16.44140625" style="1" bestFit="1" customWidth="1"/>
    <col min="9231" max="9472" width="11.44140625" style="1"/>
    <col min="9473" max="9473" width="18.44140625" style="1" customWidth="1"/>
    <col min="9474" max="9474" width="17.44140625" style="1" bestFit="1" customWidth="1"/>
    <col min="9475" max="9475" width="22.109375" style="1" bestFit="1" customWidth="1"/>
    <col min="9476" max="9486" width="16.44140625" style="1" bestFit="1" customWidth="1"/>
    <col min="9487" max="9728" width="11.44140625" style="1"/>
    <col min="9729" max="9729" width="18.44140625" style="1" customWidth="1"/>
    <col min="9730" max="9730" width="17.44140625" style="1" bestFit="1" customWidth="1"/>
    <col min="9731" max="9731" width="22.109375" style="1" bestFit="1" customWidth="1"/>
    <col min="9732" max="9742" width="16.44140625" style="1" bestFit="1" customWidth="1"/>
    <col min="9743" max="9984" width="11.44140625" style="1"/>
    <col min="9985" max="9985" width="18.44140625" style="1" customWidth="1"/>
    <col min="9986" max="9986" width="17.44140625" style="1" bestFit="1" customWidth="1"/>
    <col min="9987" max="9987" width="22.109375" style="1" bestFit="1" customWidth="1"/>
    <col min="9988" max="9998" width="16.44140625" style="1" bestFit="1" customWidth="1"/>
    <col min="9999" max="10240" width="11.44140625" style="1"/>
    <col min="10241" max="10241" width="18.44140625" style="1" customWidth="1"/>
    <col min="10242" max="10242" width="17.44140625" style="1" bestFit="1" customWidth="1"/>
    <col min="10243" max="10243" width="22.109375" style="1" bestFit="1" customWidth="1"/>
    <col min="10244" max="10254" width="16.44140625" style="1" bestFit="1" customWidth="1"/>
    <col min="10255" max="10496" width="11.44140625" style="1"/>
    <col min="10497" max="10497" width="18.44140625" style="1" customWidth="1"/>
    <col min="10498" max="10498" width="17.44140625" style="1" bestFit="1" customWidth="1"/>
    <col min="10499" max="10499" width="22.109375" style="1" bestFit="1" customWidth="1"/>
    <col min="10500" max="10510" width="16.44140625" style="1" bestFit="1" customWidth="1"/>
    <col min="10511" max="10752" width="11.44140625" style="1"/>
    <col min="10753" max="10753" width="18.44140625" style="1" customWidth="1"/>
    <col min="10754" max="10754" width="17.44140625" style="1" bestFit="1" customWidth="1"/>
    <col min="10755" max="10755" width="22.109375" style="1" bestFit="1" customWidth="1"/>
    <col min="10756" max="10766" width="16.44140625" style="1" bestFit="1" customWidth="1"/>
    <col min="10767" max="11008" width="11.44140625" style="1"/>
    <col min="11009" max="11009" width="18.44140625" style="1" customWidth="1"/>
    <col min="11010" max="11010" width="17.44140625" style="1" bestFit="1" customWidth="1"/>
    <col min="11011" max="11011" width="22.109375" style="1" bestFit="1" customWidth="1"/>
    <col min="11012" max="11022" width="16.44140625" style="1" bestFit="1" customWidth="1"/>
    <col min="11023" max="11264" width="11.44140625" style="1"/>
    <col min="11265" max="11265" width="18.44140625" style="1" customWidth="1"/>
    <col min="11266" max="11266" width="17.44140625" style="1" bestFit="1" customWidth="1"/>
    <col min="11267" max="11267" width="22.109375" style="1" bestFit="1" customWidth="1"/>
    <col min="11268" max="11278" width="16.44140625" style="1" bestFit="1" customWidth="1"/>
    <col min="11279" max="11520" width="11.44140625" style="1"/>
    <col min="11521" max="11521" width="18.44140625" style="1" customWidth="1"/>
    <col min="11522" max="11522" width="17.44140625" style="1" bestFit="1" customWidth="1"/>
    <col min="11523" max="11523" width="22.109375" style="1" bestFit="1" customWidth="1"/>
    <col min="11524" max="11534" width="16.44140625" style="1" bestFit="1" customWidth="1"/>
    <col min="11535" max="11776" width="11.44140625" style="1"/>
    <col min="11777" max="11777" width="18.44140625" style="1" customWidth="1"/>
    <col min="11778" max="11778" width="17.44140625" style="1" bestFit="1" customWidth="1"/>
    <col min="11779" max="11779" width="22.109375" style="1" bestFit="1" customWidth="1"/>
    <col min="11780" max="11790" width="16.44140625" style="1" bestFit="1" customWidth="1"/>
    <col min="11791" max="12032" width="11.44140625" style="1"/>
    <col min="12033" max="12033" width="18.44140625" style="1" customWidth="1"/>
    <col min="12034" max="12034" width="17.44140625" style="1" bestFit="1" customWidth="1"/>
    <col min="12035" max="12035" width="22.109375" style="1" bestFit="1" customWidth="1"/>
    <col min="12036" max="12046" width="16.44140625" style="1" bestFit="1" customWidth="1"/>
    <col min="12047" max="12288" width="11.44140625" style="1"/>
    <col min="12289" max="12289" width="18.44140625" style="1" customWidth="1"/>
    <col min="12290" max="12290" width="17.44140625" style="1" bestFit="1" customWidth="1"/>
    <col min="12291" max="12291" width="22.109375" style="1" bestFit="1" customWidth="1"/>
    <col min="12292" max="12302" width="16.44140625" style="1" bestFit="1" customWidth="1"/>
    <col min="12303" max="12544" width="11.44140625" style="1"/>
    <col min="12545" max="12545" width="18.44140625" style="1" customWidth="1"/>
    <col min="12546" max="12546" width="17.44140625" style="1" bestFit="1" customWidth="1"/>
    <col min="12547" max="12547" width="22.109375" style="1" bestFit="1" customWidth="1"/>
    <col min="12548" max="12558" width="16.44140625" style="1" bestFit="1" customWidth="1"/>
    <col min="12559" max="12800" width="11.44140625" style="1"/>
    <col min="12801" max="12801" width="18.44140625" style="1" customWidth="1"/>
    <col min="12802" max="12802" width="17.44140625" style="1" bestFit="1" customWidth="1"/>
    <col min="12803" max="12803" width="22.109375" style="1" bestFit="1" customWidth="1"/>
    <col min="12804" max="12814" width="16.44140625" style="1" bestFit="1" customWidth="1"/>
    <col min="12815" max="13056" width="11.44140625" style="1"/>
    <col min="13057" max="13057" width="18.44140625" style="1" customWidth="1"/>
    <col min="13058" max="13058" width="17.44140625" style="1" bestFit="1" customWidth="1"/>
    <col min="13059" max="13059" width="22.109375" style="1" bestFit="1" customWidth="1"/>
    <col min="13060" max="13070" width="16.44140625" style="1" bestFit="1" customWidth="1"/>
    <col min="13071" max="13312" width="11.44140625" style="1"/>
    <col min="13313" max="13313" width="18.44140625" style="1" customWidth="1"/>
    <col min="13314" max="13314" width="17.44140625" style="1" bestFit="1" customWidth="1"/>
    <col min="13315" max="13315" width="22.109375" style="1" bestFit="1" customWidth="1"/>
    <col min="13316" max="13326" width="16.44140625" style="1" bestFit="1" customWidth="1"/>
    <col min="13327" max="13568" width="11.44140625" style="1"/>
    <col min="13569" max="13569" width="18.44140625" style="1" customWidth="1"/>
    <col min="13570" max="13570" width="17.44140625" style="1" bestFit="1" customWidth="1"/>
    <col min="13571" max="13571" width="22.109375" style="1" bestFit="1" customWidth="1"/>
    <col min="13572" max="13582" width="16.44140625" style="1" bestFit="1" customWidth="1"/>
    <col min="13583" max="13824" width="11.44140625" style="1"/>
    <col min="13825" max="13825" width="18.44140625" style="1" customWidth="1"/>
    <col min="13826" max="13826" width="17.44140625" style="1" bestFit="1" customWidth="1"/>
    <col min="13827" max="13827" width="22.109375" style="1" bestFit="1" customWidth="1"/>
    <col min="13828" max="13838" width="16.44140625" style="1" bestFit="1" customWidth="1"/>
    <col min="13839" max="14080" width="11.44140625" style="1"/>
    <col min="14081" max="14081" width="18.44140625" style="1" customWidth="1"/>
    <col min="14082" max="14082" width="17.44140625" style="1" bestFit="1" customWidth="1"/>
    <col min="14083" max="14083" width="22.109375" style="1" bestFit="1" customWidth="1"/>
    <col min="14084" max="14094" width="16.44140625" style="1" bestFit="1" customWidth="1"/>
    <col min="14095" max="14336" width="11.44140625" style="1"/>
    <col min="14337" max="14337" width="18.44140625" style="1" customWidth="1"/>
    <col min="14338" max="14338" width="17.44140625" style="1" bestFit="1" customWidth="1"/>
    <col min="14339" max="14339" width="22.109375" style="1" bestFit="1" customWidth="1"/>
    <col min="14340" max="14350" width="16.44140625" style="1" bestFit="1" customWidth="1"/>
    <col min="14351" max="14592" width="11.44140625" style="1"/>
    <col min="14593" max="14593" width="18.44140625" style="1" customWidth="1"/>
    <col min="14594" max="14594" width="17.44140625" style="1" bestFit="1" customWidth="1"/>
    <col min="14595" max="14595" width="22.109375" style="1" bestFit="1" customWidth="1"/>
    <col min="14596" max="14606" width="16.44140625" style="1" bestFit="1" customWidth="1"/>
    <col min="14607" max="14848" width="11.44140625" style="1"/>
    <col min="14849" max="14849" width="18.44140625" style="1" customWidth="1"/>
    <col min="14850" max="14850" width="17.44140625" style="1" bestFit="1" customWidth="1"/>
    <col min="14851" max="14851" width="22.109375" style="1" bestFit="1" customWidth="1"/>
    <col min="14852" max="14862" width="16.44140625" style="1" bestFit="1" customWidth="1"/>
    <col min="14863" max="15104" width="11.44140625" style="1"/>
    <col min="15105" max="15105" width="18.44140625" style="1" customWidth="1"/>
    <col min="15106" max="15106" width="17.44140625" style="1" bestFit="1" customWidth="1"/>
    <col min="15107" max="15107" width="22.109375" style="1" bestFit="1" customWidth="1"/>
    <col min="15108" max="15118" width="16.44140625" style="1" bestFit="1" customWidth="1"/>
    <col min="15119" max="15360" width="11.44140625" style="1"/>
    <col min="15361" max="15361" width="18.44140625" style="1" customWidth="1"/>
    <col min="15362" max="15362" width="17.44140625" style="1" bestFit="1" customWidth="1"/>
    <col min="15363" max="15363" width="22.109375" style="1" bestFit="1" customWidth="1"/>
    <col min="15364" max="15374" width="16.44140625" style="1" bestFit="1" customWidth="1"/>
    <col min="15375" max="15616" width="11.44140625" style="1"/>
    <col min="15617" max="15617" width="18.44140625" style="1" customWidth="1"/>
    <col min="15618" max="15618" width="17.44140625" style="1" bestFit="1" customWidth="1"/>
    <col min="15619" max="15619" width="22.109375" style="1" bestFit="1" customWidth="1"/>
    <col min="15620" max="15630" width="16.44140625" style="1" bestFit="1" customWidth="1"/>
    <col min="15631" max="15872" width="11.44140625" style="1"/>
    <col min="15873" max="15873" width="18.44140625" style="1" customWidth="1"/>
    <col min="15874" max="15874" width="17.44140625" style="1" bestFit="1" customWidth="1"/>
    <col min="15875" max="15875" width="22.109375" style="1" bestFit="1" customWidth="1"/>
    <col min="15876" max="15886" width="16.44140625" style="1" bestFit="1" customWidth="1"/>
    <col min="15887" max="16128" width="11.44140625" style="1"/>
    <col min="16129" max="16129" width="18.44140625" style="1" customWidth="1"/>
    <col min="16130" max="16130" width="17.44140625" style="1" bestFit="1" customWidth="1"/>
    <col min="16131" max="16131" width="22.109375" style="1" bestFit="1" customWidth="1"/>
    <col min="16132" max="16142" width="16.44140625" style="1" bestFit="1" customWidth="1"/>
    <col min="16143" max="16384" width="11.44140625" style="1"/>
  </cols>
  <sheetData>
    <row r="1" spans="1:14" ht="15.6" x14ac:dyDescent="0.25">
      <c r="A1" s="52" t="s">
        <v>122</v>
      </c>
      <c r="B1" s="72" t="s">
        <v>99</v>
      </c>
      <c r="C1" s="72"/>
      <c r="D1" s="72"/>
      <c r="E1" s="72"/>
    </row>
    <row r="3" spans="1:14" ht="30" x14ac:dyDescent="0.25">
      <c r="A3" s="35" t="s">
        <v>96</v>
      </c>
      <c r="B3" s="36">
        <v>83200000</v>
      </c>
    </row>
    <row r="4" spans="1:14" ht="15" x14ac:dyDescent="0.25">
      <c r="A4" s="35" t="s">
        <v>97</v>
      </c>
      <c r="B4" s="36">
        <f>'COSTOS AUTOMATI.'!E39</f>
        <v>26608400</v>
      </c>
    </row>
    <row r="5" spans="1:14" ht="30" x14ac:dyDescent="0.25">
      <c r="A5" s="35" t="s">
        <v>98</v>
      </c>
      <c r="B5" s="36">
        <f>'COSTOS AUTOMATI.'!B44</f>
        <v>5000000</v>
      </c>
    </row>
    <row r="6" spans="1:14" x14ac:dyDescent="0.25">
      <c r="B6" s="3"/>
    </row>
    <row r="7" spans="1:14" s="4" customFormat="1" ht="15.6" x14ac:dyDescent="0.25">
      <c r="A7" s="38" t="s">
        <v>1</v>
      </c>
      <c r="B7" s="39" t="s">
        <v>108</v>
      </c>
      <c r="C7" s="39" t="s">
        <v>109</v>
      </c>
      <c r="D7" s="39" t="s">
        <v>100</v>
      </c>
      <c r="E7" s="39" t="s">
        <v>101</v>
      </c>
      <c r="F7" s="39" t="s">
        <v>102</v>
      </c>
      <c r="G7" s="39" t="s">
        <v>103</v>
      </c>
      <c r="H7" s="39" t="s">
        <v>104</v>
      </c>
      <c r="I7" s="39" t="s">
        <v>105</v>
      </c>
    </row>
    <row r="8" spans="1:14" s="4" customFormat="1" ht="15.6" x14ac:dyDescent="0.25">
      <c r="A8" s="40"/>
      <c r="B8" s="41">
        <v>0</v>
      </c>
      <c r="C8" s="41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2">
        <v>7</v>
      </c>
    </row>
    <row r="9" spans="1:14" ht="15" x14ac:dyDescent="0.25">
      <c r="A9" s="37" t="s">
        <v>106</v>
      </c>
      <c r="B9" s="43"/>
      <c r="C9" s="53">
        <f>$B$3</f>
        <v>83200000</v>
      </c>
      <c r="D9" s="53">
        <f>$B$3</f>
        <v>83200000</v>
      </c>
      <c r="E9" s="53">
        <f>$B$3</f>
        <v>83200000</v>
      </c>
      <c r="F9" s="53">
        <f>$B$3</f>
        <v>83200000</v>
      </c>
      <c r="G9" s="53">
        <f>$B$3</f>
        <v>83200000</v>
      </c>
      <c r="H9" s="53">
        <f>$B$3</f>
        <v>83200000</v>
      </c>
      <c r="I9" s="54">
        <f>$B$3</f>
        <v>83200000</v>
      </c>
      <c r="J9" s="4"/>
      <c r="K9" s="4"/>
      <c r="L9" s="4"/>
      <c r="M9" s="4"/>
      <c r="N9" s="4"/>
    </row>
    <row r="10" spans="1:14" ht="15" x14ac:dyDescent="0.25">
      <c r="A10" s="44" t="s">
        <v>107</v>
      </c>
      <c r="B10" s="45"/>
      <c r="C10" s="55">
        <f t="shared" ref="C10:I10" si="0">SUM(C9:C9)</f>
        <v>83200000</v>
      </c>
      <c r="D10" s="55">
        <f t="shared" si="0"/>
        <v>83200000</v>
      </c>
      <c r="E10" s="55">
        <f t="shared" si="0"/>
        <v>83200000</v>
      </c>
      <c r="F10" s="55">
        <f t="shared" si="0"/>
        <v>83200000</v>
      </c>
      <c r="G10" s="55">
        <f t="shared" si="0"/>
        <v>83200000</v>
      </c>
      <c r="H10" s="55">
        <f t="shared" si="0"/>
        <v>83200000</v>
      </c>
      <c r="I10" s="56">
        <f t="shared" si="0"/>
        <v>83200000</v>
      </c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5.6" x14ac:dyDescent="0.25">
      <c r="A12" s="51" t="s">
        <v>2</v>
      </c>
      <c r="B12" s="47" t="s">
        <v>114</v>
      </c>
      <c r="C12" s="47" t="s">
        <v>118</v>
      </c>
      <c r="D12" s="47" t="s">
        <v>115</v>
      </c>
      <c r="E12" s="47" t="s">
        <v>116</v>
      </c>
      <c r="F12" s="47" t="s">
        <v>119</v>
      </c>
      <c r="G12" s="47" t="s">
        <v>120</v>
      </c>
      <c r="H12" s="47" t="s">
        <v>117</v>
      </c>
      <c r="I12" s="48" t="s">
        <v>121</v>
      </c>
      <c r="J12" s="4"/>
      <c r="K12" s="4"/>
      <c r="L12" s="4"/>
      <c r="M12" s="4"/>
      <c r="N12" s="4"/>
    </row>
    <row r="13" spans="1:14" ht="15" x14ac:dyDescent="0.25">
      <c r="A13" s="49" t="s">
        <v>110</v>
      </c>
      <c r="B13" s="57">
        <f>'COSTOS AUTOMATI.'!B47</f>
        <v>122930698.19999999</v>
      </c>
      <c r="C13" s="57"/>
      <c r="D13" s="57"/>
      <c r="E13" s="57"/>
      <c r="F13" s="57"/>
      <c r="G13" s="57"/>
      <c r="H13" s="57"/>
      <c r="I13" s="58"/>
      <c r="J13" s="4"/>
      <c r="K13" s="4"/>
      <c r="L13" s="4"/>
      <c r="M13" s="4"/>
      <c r="N13" s="4"/>
    </row>
    <row r="14" spans="1:14" ht="45" x14ac:dyDescent="0.25">
      <c r="A14" s="49" t="s">
        <v>111</v>
      </c>
      <c r="B14" s="57"/>
      <c r="C14" s="57">
        <f>$B$5</f>
        <v>5000000</v>
      </c>
      <c r="D14" s="57">
        <f t="shared" ref="D14:I14" si="1">$B$5</f>
        <v>5000000</v>
      </c>
      <c r="E14" s="57">
        <f t="shared" si="1"/>
        <v>5000000</v>
      </c>
      <c r="F14" s="57">
        <f t="shared" si="1"/>
        <v>5000000</v>
      </c>
      <c r="G14" s="57">
        <f t="shared" si="1"/>
        <v>5000000</v>
      </c>
      <c r="H14" s="57">
        <f>$B$5</f>
        <v>5000000</v>
      </c>
      <c r="I14" s="57">
        <f t="shared" si="1"/>
        <v>5000000</v>
      </c>
      <c r="J14" s="4"/>
      <c r="K14" s="4"/>
      <c r="L14" s="4"/>
      <c r="M14" s="4"/>
      <c r="N14" s="4"/>
    </row>
    <row r="15" spans="1:14" ht="30" x14ac:dyDescent="0.25">
      <c r="A15" s="49" t="s">
        <v>112</v>
      </c>
      <c r="B15" s="57"/>
      <c r="C15" s="57">
        <f>'COSTOS AUTOMATI.'!E39</f>
        <v>26608400</v>
      </c>
      <c r="D15" s="57">
        <f>'COSTOS AUTOMATI.'!$E$39-'COSTOS AUTOMATI.'!$E$35</f>
        <v>23608400</v>
      </c>
      <c r="E15" s="57">
        <f>'COSTOS AUTOMATI.'!$E$39-'COSTOS AUTOMATI.'!$E$35</f>
        <v>23608400</v>
      </c>
      <c r="F15" s="57">
        <f>'COSTOS AUTOMATI.'!$E$39-'COSTOS AUTOMATI.'!$E$35</f>
        <v>23608400</v>
      </c>
      <c r="G15" s="57">
        <f>'COSTOS AUTOMATI.'!$E$39-'COSTOS AUTOMATI.'!$E$35</f>
        <v>23608400</v>
      </c>
      <c r="H15" s="57">
        <f>'COSTOS AUTOMATI.'!$E$39-'COSTOS AUTOMATI.'!$E$35</f>
        <v>23608400</v>
      </c>
      <c r="I15" s="57">
        <f>'COSTOS AUTOMATI.'!$E$39-'COSTOS AUTOMATI.'!$E$35</f>
        <v>23608400</v>
      </c>
      <c r="J15" s="4"/>
      <c r="K15" s="4"/>
      <c r="L15" s="4"/>
      <c r="M15" s="4"/>
      <c r="N15" s="4"/>
    </row>
    <row r="16" spans="1:14" ht="15" x14ac:dyDescent="0.25">
      <c r="A16" s="50" t="s">
        <v>113</v>
      </c>
      <c r="B16" s="59">
        <f t="shared" ref="B16:I16" si="2">SUM(B13:B15)</f>
        <v>122930698.19999999</v>
      </c>
      <c r="C16" s="59">
        <f t="shared" si="2"/>
        <v>31608400</v>
      </c>
      <c r="D16" s="59">
        <f t="shared" si="2"/>
        <v>28608400</v>
      </c>
      <c r="E16" s="59">
        <f t="shared" si="2"/>
        <v>28608400</v>
      </c>
      <c r="F16" s="59">
        <f t="shared" si="2"/>
        <v>28608400</v>
      </c>
      <c r="G16" s="59">
        <f t="shared" si="2"/>
        <v>28608400</v>
      </c>
      <c r="H16" s="59">
        <f t="shared" si="2"/>
        <v>28608400</v>
      </c>
      <c r="I16" s="60">
        <f t="shared" si="2"/>
        <v>28608400</v>
      </c>
      <c r="J16" s="4"/>
      <c r="K16" s="4"/>
      <c r="L16" s="4"/>
      <c r="M16" s="4"/>
      <c r="N16" s="4"/>
    </row>
    <row r="17" spans="1:14" x14ac:dyDescent="0.25">
      <c r="A17" s="4"/>
      <c r="B17" s="61"/>
      <c r="C17" s="61"/>
      <c r="D17" s="61"/>
      <c r="E17" s="61"/>
      <c r="F17" s="61"/>
      <c r="G17" s="61"/>
      <c r="H17" s="61"/>
      <c r="I17" s="61"/>
      <c r="J17" s="4"/>
      <c r="K17" s="4"/>
      <c r="L17" s="4"/>
      <c r="M17" s="4"/>
      <c r="N17" s="4"/>
    </row>
    <row r="18" spans="1:14" x14ac:dyDescent="0.25">
      <c r="A18"/>
      <c r="B18"/>
      <c r="C18"/>
      <c r="D18"/>
      <c r="E18"/>
      <c r="F18"/>
      <c r="G18"/>
      <c r="H18"/>
      <c r="I18"/>
      <c r="J18" s="4"/>
      <c r="K18" s="4"/>
      <c r="L18" s="4"/>
      <c r="M18" s="4"/>
      <c r="N18" s="4"/>
    </row>
    <row r="19" spans="1:14" ht="30" x14ac:dyDescent="0.25">
      <c r="A19" s="46" t="s">
        <v>4</v>
      </c>
      <c r="B19" s="62">
        <f t="shared" ref="B19:I19" si="3">B10-B16</f>
        <v>-122930698.19999999</v>
      </c>
      <c r="C19" s="62">
        <f t="shared" si="3"/>
        <v>51591600</v>
      </c>
      <c r="D19" s="62">
        <f t="shared" si="3"/>
        <v>54591600</v>
      </c>
      <c r="E19" s="62">
        <f t="shared" si="3"/>
        <v>54591600</v>
      </c>
      <c r="F19" s="62">
        <f t="shared" si="3"/>
        <v>54591600</v>
      </c>
      <c r="G19" s="62">
        <f t="shared" si="3"/>
        <v>54591600</v>
      </c>
      <c r="H19" s="62">
        <f t="shared" si="3"/>
        <v>54591600</v>
      </c>
      <c r="I19" s="62">
        <f t="shared" si="3"/>
        <v>54591600</v>
      </c>
      <c r="J19" s="4"/>
      <c r="K19" s="4"/>
      <c r="L19" s="4"/>
      <c r="M19" s="4"/>
      <c r="N19" s="4"/>
    </row>
    <row r="20" spans="1:14" ht="15" x14ac:dyDescent="0.25">
      <c r="A20" s="46" t="s">
        <v>5</v>
      </c>
      <c r="B20" s="62"/>
      <c r="C20" s="62">
        <v>19794662</v>
      </c>
      <c r="D20" s="62">
        <v>19794662</v>
      </c>
      <c r="E20" s="62">
        <v>19794662</v>
      </c>
      <c r="F20" s="62">
        <v>19794662</v>
      </c>
      <c r="G20" s="62">
        <v>19794662</v>
      </c>
      <c r="H20" s="62">
        <v>19794662</v>
      </c>
      <c r="I20" s="62">
        <v>19794662</v>
      </c>
      <c r="J20" s="4"/>
      <c r="K20" s="4"/>
      <c r="L20" s="4"/>
      <c r="M20" s="4"/>
      <c r="N20" s="4"/>
    </row>
    <row r="21" spans="1:14" ht="30" x14ac:dyDescent="0.25">
      <c r="A21" s="46" t="s">
        <v>6</v>
      </c>
      <c r="B21" s="62">
        <f>B19-B20</f>
        <v>-122930698.19999999</v>
      </c>
      <c r="C21" s="62">
        <f>C19-C20</f>
        <v>31796938</v>
      </c>
      <c r="D21" s="62">
        <f t="shared" ref="D21:I21" si="4">D19-D20</f>
        <v>34796938</v>
      </c>
      <c r="E21" s="62">
        <f t="shared" si="4"/>
        <v>34796938</v>
      </c>
      <c r="F21" s="62">
        <f t="shared" si="4"/>
        <v>34796938</v>
      </c>
      <c r="G21" s="62">
        <f t="shared" si="4"/>
        <v>34796938</v>
      </c>
      <c r="H21" s="62">
        <f t="shared" si="4"/>
        <v>34796938</v>
      </c>
      <c r="I21" s="62">
        <f t="shared" si="4"/>
        <v>34796938</v>
      </c>
      <c r="J21" s="4"/>
      <c r="K21" s="4"/>
      <c r="L21" s="4"/>
      <c r="M21" s="4"/>
      <c r="N21" s="4"/>
    </row>
    <row r="23" spans="1:14" x14ac:dyDescent="0.25">
      <c r="A23" s="11" t="s">
        <v>80</v>
      </c>
      <c r="B23" s="12">
        <v>0.16</v>
      </c>
    </row>
    <row r="25" spans="1:14" x14ac:dyDescent="0.25">
      <c r="A25" s="75" t="s">
        <v>124</v>
      </c>
      <c r="B25" s="76"/>
    </row>
    <row r="26" spans="1:14" x14ac:dyDescent="0.25">
      <c r="A26" s="9" t="s">
        <v>81</v>
      </c>
      <c r="B26" s="10">
        <f>NPV(B23,C21:N21)</f>
        <v>137943504.26593605</v>
      </c>
    </row>
    <row r="27" spans="1:14" x14ac:dyDescent="0.25">
      <c r="A27" s="7" t="s">
        <v>3</v>
      </c>
      <c r="B27" s="8">
        <f>$B$13</f>
        <v>122930698.19999999</v>
      </c>
    </row>
    <row r="28" spans="1:14" x14ac:dyDescent="0.25">
      <c r="A28" s="7" t="s">
        <v>7</v>
      </c>
      <c r="B28" s="63">
        <f>B26-B27</f>
        <v>15012806.065936059</v>
      </c>
    </row>
    <row r="29" spans="1:14" x14ac:dyDescent="0.25">
      <c r="A29" s="9" t="s">
        <v>8</v>
      </c>
      <c r="B29" s="71">
        <f>IRR(B21:N21)</f>
        <v>0.19999431844868787</v>
      </c>
    </row>
    <row r="31" spans="1:14" x14ac:dyDescent="0.25"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J31" s="4"/>
      <c r="K31" s="4"/>
      <c r="L31" s="4"/>
      <c r="M31" s="4"/>
      <c r="N31" s="4"/>
    </row>
    <row r="32" spans="1:14" x14ac:dyDescent="0.25"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3"/>
      <c r="K32" s="3"/>
      <c r="L32" s="3"/>
      <c r="M32" s="3"/>
      <c r="N32" s="3"/>
    </row>
    <row r="33" spans="1:14" x14ac:dyDescent="0.25">
      <c r="A33" s="5" t="s">
        <v>9</v>
      </c>
      <c r="C33" s="3">
        <f t="shared" ref="C33:I33" si="5">C21/POWER(1+$B$23,C32)</f>
        <v>27411153.448275864</v>
      </c>
      <c r="D33" s="3">
        <f t="shared" si="5"/>
        <v>25859793.400713436</v>
      </c>
      <c r="E33" s="3">
        <f t="shared" si="5"/>
        <v>22292925.345442619</v>
      </c>
      <c r="F33" s="3">
        <f t="shared" si="5"/>
        <v>19218039.090898812</v>
      </c>
      <c r="G33" s="3">
        <f t="shared" si="5"/>
        <v>16567275.078361046</v>
      </c>
      <c r="H33" s="3">
        <f t="shared" si="5"/>
        <v>14282133.688242281</v>
      </c>
      <c r="I33" s="3">
        <f t="shared" si="5"/>
        <v>12312184.214001967</v>
      </c>
      <c r="J33" s="3"/>
      <c r="K33" s="3"/>
      <c r="L33" s="3"/>
      <c r="M33" s="3"/>
      <c r="N33" s="3"/>
    </row>
    <row r="34" spans="1:14" ht="26.4" x14ac:dyDescent="0.25">
      <c r="A34" s="5" t="s">
        <v>10</v>
      </c>
      <c r="C34" s="13">
        <f>C33</f>
        <v>27411153.448275864</v>
      </c>
      <c r="D34" s="13">
        <f t="shared" ref="D34:I34" si="6">C34+D33</f>
        <v>53270946.8489893</v>
      </c>
      <c r="E34" s="13">
        <f t="shared" si="6"/>
        <v>75563872.194431916</v>
      </c>
      <c r="F34" s="13">
        <f t="shared" si="6"/>
        <v>94781911.285330728</v>
      </c>
      <c r="G34" s="13">
        <f t="shared" si="6"/>
        <v>111349186.36369178</v>
      </c>
      <c r="H34" s="13">
        <f t="shared" si="6"/>
        <v>125631320.05193406</v>
      </c>
      <c r="I34" s="3">
        <f t="shared" si="6"/>
        <v>137943504.26593602</v>
      </c>
    </row>
    <row r="35" spans="1:14" x14ac:dyDescent="0.25">
      <c r="A35" s="6" t="s">
        <v>11</v>
      </c>
      <c r="B35" s="14">
        <v>6</v>
      </c>
    </row>
    <row r="38" spans="1:14" ht="42" customHeight="1" x14ac:dyDescent="0.25">
      <c r="A38" s="73" t="s">
        <v>123</v>
      </c>
      <c r="B38" s="74"/>
    </row>
    <row r="39" spans="1:14" x14ac:dyDescent="0.25">
      <c r="A39" s="64" t="s">
        <v>12</v>
      </c>
      <c r="B39" s="66">
        <f>SUM(C9:N9)</f>
        <v>582400000</v>
      </c>
    </row>
    <row r="40" spans="1:14" x14ac:dyDescent="0.25">
      <c r="A40" s="64" t="s">
        <v>13</v>
      </c>
      <c r="B40" s="66">
        <f>SUM(C14:N15)</f>
        <v>203258800</v>
      </c>
    </row>
    <row r="41" spans="1:14" x14ac:dyDescent="0.25">
      <c r="A41" s="64" t="s">
        <v>14</v>
      </c>
      <c r="B41" s="66">
        <f>B39-B40</f>
        <v>379141200</v>
      </c>
    </row>
    <row r="42" spans="1:14" ht="26.4" x14ac:dyDescent="0.25">
      <c r="A42" s="64" t="s">
        <v>15</v>
      </c>
      <c r="B42" s="66">
        <f>SUM(C20:N20)</f>
        <v>138562634</v>
      </c>
    </row>
    <row r="43" spans="1:14" ht="26.4" x14ac:dyDescent="0.25">
      <c r="A43" s="64" t="s">
        <v>16</v>
      </c>
      <c r="B43" s="66">
        <f>B41-B42</f>
        <v>240578566</v>
      </c>
    </row>
    <row r="44" spans="1:14" x14ac:dyDescent="0.25">
      <c r="A44" s="64" t="s">
        <v>17</v>
      </c>
      <c r="B44" s="66">
        <f>B43*0.19</f>
        <v>45709927.539999999</v>
      </c>
    </row>
    <row r="45" spans="1:14" ht="26.4" x14ac:dyDescent="0.25">
      <c r="A45" s="65" t="s">
        <v>18</v>
      </c>
      <c r="B45" s="67">
        <f>B43-B44</f>
        <v>194868638.46000001</v>
      </c>
    </row>
  </sheetData>
  <mergeCells count="3">
    <mergeCell ref="B1:E1"/>
    <mergeCell ref="A38:B38"/>
    <mergeCell ref="A25:B25"/>
  </mergeCells>
  <pageMargins left="0.25" right="0.25" top="0.75" bottom="0.75" header="0.3" footer="0.3"/>
  <pageSetup orientation="landscape" r:id="rId1"/>
  <headerFooter alignWithMargins="0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62A6-9B3D-4145-BA8C-6A18ADB4ECAB}">
  <dimension ref="A1:N52"/>
  <sheetViews>
    <sheetView zoomScale="90" zoomScaleNormal="90" workbookViewId="0">
      <selection activeCell="G16" sqref="G16"/>
    </sheetView>
  </sheetViews>
  <sheetFormatPr baseColWidth="10" defaultRowHeight="13.2" x14ac:dyDescent="0.25"/>
  <cols>
    <col min="1" max="1" width="18" style="2" bestFit="1" customWidth="1"/>
    <col min="2" max="2" width="27" style="1" customWidth="1"/>
    <col min="3" max="3" width="20.44140625" style="1" bestFit="1" customWidth="1"/>
    <col min="4" max="5" width="19.21875" style="1" bestFit="1" customWidth="1"/>
    <col min="6" max="6" width="20.44140625" style="1" bestFit="1" customWidth="1"/>
    <col min="7" max="8" width="19.21875" style="1" bestFit="1" customWidth="1"/>
    <col min="9" max="9" width="20.5546875" style="1" customWidth="1"/>
    <col min="10" max="13" width="16.44140625" style="1" bestFit="1" customWidth="1"/>
    <col min="14" max="14" width="22" style="1" customWidth="1"/>
    <col min="15" max="256" width="11.44140625" style="1"/>
    <col min="257" max="257" width="18.44140625" style="1" customWidth="1"/>
    <col min="258" max="258" width="17.44140625" style="1" bestFit="1" customWidth="1"/>
    <col min="259" max="259" width="22.109375" style="1" bestFit="1" customWidth="1"/>
    <col min="260" max="270" width="16.44140625" style="1" bestFit="1" customWidth="1"/>
    <col min="271" max="512" width="11.44140625" style="1"/>
    <col min="513" max="513" width="18.44140625" style="1" customWidth="1"/>
    <col min="514" max="514" width="17.44140625" style="1" bestFit="1" customWidth="1"/>
    <col min="515" max="515" width="22.109375" style="1" bestFit="1" customWidth="1"/>
    <col min="516" max="526" width="16.44140625" style="1" bestFit="1" customWidth="1"/>
    <col min="527" max="768" width="11.44140625" style="1"/>
    <col min="769" max="769" width="18.44140625" style="1" customWidth="1"/>
    <col min="770" max="770" width="17.44140625" style="1" bestFit="1" customWidth="1"/>
    <col min="771" max="771" width="22.109375" style="1" bestFit="1" customWidth="1"/>
    <col min="772" max="782" width="16.44140625" style="1" bestFit="1" customWidth="1"/>
    <col min="783" max="1024" width="11.44140625" style="1"/>
    <col min="1025" max="1025" width="18.44140625" style="1" customWidth="1"/>
    <col min="1026" max="1026" width="17.44140625" style="1" bestFit="1" customWidth="1"/>
    <col min="1027" max="1027" width="22.109375" style="1" bestFit="1" customWidth="1"/>
    <col min="1028" max="1038" width="16.44140625" style="1" bestFit="1" customWidth="1"/>
    <col min="1039" max="1280" width="11.44140625" style="1"/>
    <col min="1281" max="1281" width="18.44140625" style="1" customWidth="1"/>
    <col min="1282" max="1282" width="17.44140625" style="1" bestFit="1" customWidth="1"/>
    <col min="1283" max="1283" width="22.109375" style="1" bestFit="1" customWidth="1"/>
    <col min="1284" max="1294" width="16.44140625" style="1" bestFit="1" customWidth="1"/>
    <col min="1295" max="1536" width="11.44140625" style="1"/>
    <col min="1537" max="1537" width="18.44140625" style="1" customWidth="1"/>
    <col min="1538" max="1538" width="17.44140625" style="1" bestFit="1" customWidth="1"/>
    <col min="1539" max="1539" width="22.109375" style="1" bestFit="1" customWidth="1"/>
    <col min="1540" max="1550" width="16.44140625" style="1" bestFit="1" customWidth="1"/>
    <col min="1551" max="1792" width="11.44140625" style="1"/>
    <col min="1793" max="1793" width="18.44140625" style="1" customWidth="1"/>
    <col min="1794" max="1794" width="17.44140625" style="1" bestFit="1" customWidth="1"/>
    <col min="1795" max="1795" width="22.109375" style="1" bestFit="1" customWidth="1"/>
    <col min="1796" max="1806" width="16.44140625" style="1" bestFit="1" customWidth="1"/>
    <col min="1807" max="2048" width="11.44140625" style="1"/>
    <col min="2049" max="2049" width="18.44140625" style="1" customWidth="1"/>
    <col min="2050" max="2050" width="17.44140625" style="1" bestFit="1" customWidth="1"/>
    <col min="2051" max="2051" width="22.109375" style="1" bestFit="1" customWidth="1"/>
    <col min="2052" max="2062" width="16.44140625" style="1" bestFit="1" customWidth="1"/>
    <col min="2063" max="2304" width="11.44140625" style="1"/>
    <col min="2305" max="2305" width="18.44140625" style="1" customWidth="1"/>
    <col min="2306" max="2306" width="17.44140625" style="1" bestFit="1" customWidth="1"/>
    <col min="2307" max="2307" width="22.109375" style="1" bestFit="1" customWidth="1"/>
    <col min="2308" max="2318" width="16.44140625" style="1" bestFit="1" customWidth="1"/>
    <col min="2319" max="2560" width="11.44140625" style="1"/>
    <col min="2561" max="2561" width="18.44140625" style="1" customWidth="1"/>
    <col min="2562" max="2562" width="17.44140625" style="1" bestFit="1" customWidth="1"/>
    <col min="2563" max="2563" width="22.109375" style="1" bestFit="1" customWidth="1"/>
    <col min="2564" max="2574" width="16.44140625" style="1" bestFit="1" customWidth="1"/>
    <col min="2575" max="2816" width="11.44140625" style="1"/>
    <col min="2817" max="2817" width="18.44140625" style="1" customWidth="1"/>
    <col min="2818" max="2818" width="17.44140625" style="1" bestFit="1" customWidth="1"/>
    <col min="2819" max="2819" width="22.109375" style="1" bestFit="1" customWidth="1"/>
    <col min="2820" max="2830" width="16.44140625" style="1" bestFit="1" customWidth="1"/>
    <col min="2831" max="3072" width="11.44140625" style="1"/>
    <col min="3073" max="3073" width="18.44140625" style="1" customWidth="1"/>
    <col min="3074" max="3074" width="17.44140625" style="1" bestFit="1" customWidth="1"/>
    <col min="3075" max="3075" width="22.109375" style="1" bestFit="1" customWidth="1"/>
    <col min="3076" max="3086" width="16.44140625" style="1" bestFit="1" customWidth="1"/>
    <col min="3087" max="3328" width="11.44140625" style="1"/>
    <col min="3329" max="3329" width="18.44140625" style="1" customWidth="1"/>
    <col min="3330" max="3330" width="17.44140625" style="1" bestFit="1" customWidth="1"/>
    <col min="3331" max="3331" width="22.109375" style="1" bestFit="1" customWidth="1"/>
    <col min="3332" max="3342" width="16.44140625" style="1" bestFit="1" customWidth="1"/>
    <col min="3343" max="3584" width="11.44140625" style="1"/>
    <col min="3585" max="3585" width="18.44140625" style="1" customWidth="1"/>
    <col min="3586" max="3586" width="17.44140625" style="1" bestFit="1" customWidth="1"/>
    <col min="3587" max="3587" width="22.109375" style="1" bestFit="1" customWidth="1"/>
    <col min="3588" max="3598" width="16.44140625" style="1" bestFit="1" customWidth="1"/>
    <col min="3599" max="3840" width="11.44140625" style="1"/>
    <col min="3841" max="3841" width="18.44140625" style="1" customWidth="1"/>
    <col min="3842" max="3842" width="17.44140625" style="1" bestFit="1" customWidth="1"/>
    <col min="3843" max="3843" width="22.109375" style="1" bestFit="1" customWidth="1"/>
    <col min="3844" max="3854" width="16.44140625" style="1" bestFit="1" customWidth="1"/>
    <col min="3855" max="4096" width="11.44140625" style="1"/>
    <col min="4097" max="4097" width="18.44140625" style="1" customWidth="1"/>
    <col min="4098" max="4098" width="17.44140625" style="1" bestFit="1" customWidth="1"/>
    <col min="4099" max="4099" width="22.109375" style="1" bestFit="1" customWidth="1"/>
    <col min="4100" max="4110" width="16.44140625" style="1" bestFit="1" customWidth="1"/>
    <col min="4111" max="4352" width="11.44140625" style="1"/>
    <col min="4353" max="4353" width="18.44140625" style="1" customWidth="1"/>
    <col min="4354" max="4354" width="17.44140625" style="1" bestFit="1" customWidth="1"/>
    <col min="4355" max="4355" width="22.109375" style="1" bestFit="1" customWidth="1"/>
    <col min="4356" max="4366" width="16.44140625" style="1" bestFit="1" customWidth="1"/>
    <col min="4367" max="4608" width="11.44140625" style="1"/>
    <col min="4609" max="4609" width="18.44140625" style="1" customWidth="1"/>
    <col min="4610" max="4610" width="17.44140625" style="1" bestFit="1" customWidth="1"/>
    <col min="4611" max="4611" width="22.109375" style="1" bestFit="1" customWidth="1"/>
    <col min="4612" max="4622" width="16.44140625" style="1" bestFit="1" customWidth="1"/>
    <col min="4623" max="4864" width="11.44140625" style="1"/>
    <col min="4865" max="4865" width="18.44140625" style="1" customWidth="1"/>
    <col min="4866" max="4866" width="17.44140625" style="1" bestFit="1" customWidth="1"/>
    <col min="4867" max="4867" width="22.109375" style="1" bestFit="1" customWidth="1"/>
    <col min="4868" max="4878" width="16.44140625" style="1" bestFit="1" customWidth="1"/>
    <col min="4879" max="5120" width="11.44140625" style="1"/>
    <col min="5121" max="5121" width="18.44140625" style="1" customWidth="1"/>
    <col min="5122" max="5122" width="17.44140625" style="1" bestFit="1" customWidth="1"/>
    <col min="5123" max="5123" width="22.109375" style="1" bestFit="1" customWidth="1"/>
    <col min="5124" max="5134" width="16.44140625" style="1" bestFit="1" customWidth="1"/>
    <col min="5135" max="5376" width="11.44140625" style="1"/>
    <col min="5377" max="5377" width="18.44140625" style="1" customWidth="1"/>
    <col min="5378" max="5378" width="17.44140625" style="1" bestFit="1" customWidth="1"/>
    <col min="5379" max="5379" width="22.109375" style="1" bestFit="1" customWidth="1"/>
    <col min="5380" max="5390" width="16.44140625" style="1" bestFit="1" customWidth="1"/>
    <col min="5391" max="5632" width="11.44140625" style="1"/>
    <col min="5633" max="5633" width="18.44140625" style="1" customWidth="1"/>
    <col min="5634" max="5634" width="17.44140625" style="1" bestFit="1" customWidth="1"/>
    <col min="5635" max="5635" width="22.109375" style="1" bestFit="1" customWidth="1"/>
    <col min="5636" max="5646" width="16.44140625" style="1" bestFit="1" customWidth="1"/>
    <col min="5647" max="5888" width="11.44140625" style="1"/>
    <col min="5889" max="5889" width="18.44140625" style="1" customWidth="1"/>
    <col min="5890" max="5890" width="17.44140625" style="1" bestFit="1" customWidth="1"/>
    <col min="5891" max="5891" width="22.109375" style="1" bestFit="1" customWidth="1"/>
    <col min="5892" max="5902" width="16.44140625" style="1" bestFit="1" customWidth="1"/>
    <col min="5903" max="6144" width="11.44140625" style="1"/>
    <col min="6145" max="6145" width="18.44140625" style="1" customWidth="1"/>
    <col min="6146" max="6146" width="17.44140625" style="1" bestFit="1" customWidth="1"/>
    <col min="6147" max="6147" width="22.109375" style="1" bestFit="1" customWidth="1"/>
    <col min="6148" max="6158" width="16.44140625" style="1" bestFit="1" customWidth="1"/>
    <col min="6159" max="6400" width="11.44140625" style="1"/>
    <col min="6401" max="6401" width="18.44140625" style="1" customWidth="1"/>
    <col min="6402" max="6402" width="17.44140625" style="1" bestFit="1" customWidth="1"/>
    <col min="6403" max="6403" width="22.109375" style="1" bestFit="1" customWidth="1"/>
    <col min="6404" max="6414" width="16.44140625" style="1" bestFit="1" customWidth="1"/>
    <col min="6415" max="6656" width="11.44140625" style="1"/>
    <col min="6657" max="6657" width="18.44140625" style="1" customWidth="1"/>
    <col min="6658" max="6658" width="17.44140625" style="1" bestFit="1" customWidth="1"/>
    <col min="6659" max="6659" width="22.109375" style="1" bestFit="1" customWidth="1"/>
    <col min="6660" max="6670" width="16.44140625" style="1" bestFit="1" customWidth="1"/>
    <col min="6671" max="6912" width="11.44140625" style="1"/>
    <col min="6913" max="6913" width="18.44140625" style="1" customWidth="1"/>
    <col min="6914" max="6914" width="17.44140625" style="1" bestFit="1" customWidth="1"/>
    <col min="6915" max="6915" width="22.109375" style="1" bestFit="1" customWidth="1"/>
    <col min="6916" max="6926" width="16.44140625" style="1" bestFit="1" customWidth="1"/>
    <col min="6927" max="7168" width="11.44140625" style="1"/>
    <col min="7169" max="7169" width="18.44140625" style="1" customWidth="1"/>
    <col min="7170" max="7170" width="17.44140625" style="1" bestFit="1" customWidth="1"/>
    <col min="7171" max="7171" width="22.109375" style="1" bestFit="1" customWidth="1"/>
    <col min="7172" max="7182" width="16.44140625" style="1" bestFit="1" customWidth="1"/>
    <col min="7183" max="7424" width="11.44140625" style="1"/>
    <col min="7425" max="7425" width="18.44140625" style="1" customWidth="1"/>
    <col min="7426" max="7426" width="17.44140625" style="1" bestFit="1" customWidth="1"/>
    <col min="7427" max="7427" width="22.109375" style="1" bestFit="1" customWidth="1"/>
    <col min="7428" max="7438" width="16.44140625" style="1" bestFit="1" customWidth="1"/>
    <col min="7439" max="7680" width="11.44140625" style="1"/>
    <col min="7681" max="7681" width="18.44140625" style="1" customWidth="1"/>
    <col min="7682" max="7682" width="17.44140625" style="1" bestFit="1" customWidth="1"/>
    <col min="7683" max="7683" width="22.109375" style="1" bestFit="1" customWidth="1"/>
    <col min="7684" max="7694" width="16.44140625" style="1" bestFit="1" customWidth="1"/>
    <col min="7695" max="7936" width="11.44140625" style="1"/>
    <col min="7937" max="7937" width="18.44140625" style="1" customWidth="1"/>
    <col min="7938" max="7938" width="17.44140625" style="1" bestFit="1" customWidth="1"/>
    <col min="7939" max="7939" width="22.109375" style="1" bestFit="1" customWidth="1"/>
    <col min="7940" max="7950" width="16.44140625" style="1" bestFit="1" customWidth="1"/>
    <col min="7951" max="8192" width="11.44140625" style="1"/>
    <col min="8193" max="8193" width="18.44140625" style="1" customWidth="1"/>
    <col min="8194" max="8194" width="17.44140625" style="1" bestFit="1" customWidth="1"/>
    <col min="8195" max="8195" width="22.109375" style="1" bestFit="1" customWidth="1"/>
    <col min="8196" max="8206" width="16.44140625" style="1" bestFit="1" customWidth="1"/>
    <col min="8207" max="8448" width="11.44140625" style="1"/>
    <col min="8449" max="8449" width="18.44140625" style="1" customWidth="1"/>
    <col min="8450" max="8450" width="17.44140625" style="1" bestFit="1" customWidth="1"/>
    <col min="8451" max="8451" width="22.109375" style="1" bestFit="1" customWidth="1"/>
    <col min="8452" max="8462" width="16.44140625" style="1" bestFit="1" customWidth="1"/>
    <col min="8463" max="8704" width="11.44140625" style="1"/>
    <col min="8705" max="8705" width="18.44140625" style="1" customWidth="1"/>
    <col min="8706" max="8706" width="17.44140625" style="1" bestFit="1" customWidth="1"/>
    <col min="8707" max="8707" width="22.109375" style="1" bestFit="1" customWidth="1"/>
    <col min="8708" max="8718" width="16.44140625" style="1" bestFit="1" customWidth="1"/>
    <col min="8719" max="8960" width="11.44140625" style="1"/>
    <col min="8961" max="8961" width="18.44140625" style="1" customWidth="1"/>
    <col min="8962" max="8962" width="17.44140625" style="1" bestFit="1" customWidth="1"/>
    <col min="8963" max="8963" width="22.109375" style="1" bestFit="1" customWidth="1"/>
    <col min="8964" max="8974" width="16.44140625" style="1" bestFit="1" customWidth="1"/>
    <col min="8975" max="9216" width="11.44140625" style="1"/>
    <col min="9217" max="9217" width="18.44140625" style="1" customWidth="1"/>
    <col min="9218" max="9218" width="17.44140625" style="1" bestFit="1" customWidth="1"/>
    <col min="9219" max="9219" width="22.109375" style="1" bestFit="1" customWidth="1"/>
    <col min="9220" max="9230" width="16.44140625" style="1" bestFit="1" customWidth="1"/>
    <col min="9231" max="9472" width="11.44140625" style="1"/>
    <col min="9473" max="9473" width="18.44140625" style="1" customWidth="1"/>
    <col min="9474" max="9474" width="17.44140625" style="1" bestFit="1" customWidth="1"/>
    <col min="9475" max="9475" width="22.109375" style="1" bestFit="1" customWidth="1"/>
    <col min="9476" max="9486" width="16.44140625" style="1" bestFit="1" customWidth="1"/>
    <col min="9487" max="9728" width="11.44140625" style="1"/>
    <col min="9729" max="9729" width="18.44140625" style="1" customWidth="1"/>
    <col min="9730" max="9730" width="17.44140625" style="1" bestFit="1" customWidth="1"/>
    <col min="9731" max="9731" width="22.109375" style="1" bestFit="1" customWidth="1"/>
    <col min="9732" max="9742" width="16.44140625" style="1" bestFit="1" customWidth="1"/>
    <col min="9743" max="9984" width="11.44140625" style="1"/>
    <col min="9985" max="9985" width="18.44140625" style="1" customWidth="1"/>
    <col min="9986" max="9986" width="17.44140625" style="1" bestFit="1" customWidth="1"/>
    <col min="9987" max="9987" width="22.109375" style="1" bestFit="1" customWidth="1"/>
    <col min="9988" max="9998" width="16.44140625" style="1" bestFit="1" customWidth="1"/>
    <col min="9999" max="10240" width="11.44140625" style="1"/>
    <col min="10241" max="10241" width="18.44140625" style="1" customWidth="1"/>
    <col min="10242" max="10242" width="17.44140625" style="1" bestFit="1" customWidth="1"/>
    <col min="10243" max="10243" width="22.109375" style="1" bestFit="1" customWidth="1"/>
    <col min="10244" max="10254" width="16.44140625" style="1" bestFit="1" customWidth="1"/>
    <col min="10255" max="10496" width="11.44140625" style="1"/>
    <col min="10497" max="10497" width="18.44140625" style="1" customWidth="1"/>
    <col min="10498" max="10498" width="17.44140625" style="1" bestFit="1" customWidth="1"/>
    <col min="10499" max="10499" width="22.109375" style="1" bestFit="1" customWidth="1"/>
    <col min="10500" max="10510" width="16.44140625" style="1" bestFit="1" customWidth="1"/>
    <col min="10511" max="10752" width="11.44140625" style="1"/>
    <col min="10753" max="10753" width="18.44140625" style="1" customWidth="1"/>
    <col min="10754" max="10754" width="17.44140625" style="1" bestFit="1" customWidth="1"/>
    <col min="10755" max="10755" width="22.109375" style="1" bestFit="1" customWidth="1"/>
    <col min="10756" max="10766" width="16.44140625" style="1" bestFit="1" customWidth="1"/>
    <col min="10767" max="11008" width="11.44140625" style="1"/>
    <col min="11009" max="11009" width="18.44140625" style="1" customWidth="1"/>
    <col min="11010" max="11010" width="17.44140625" style="1" bestFit="1" customWidth="1"/>
    <col min="11011" max="11011" width="22.109375" style="1" bestFit="1" customWidth="1"/>
    <col min="11012" max="11022" width="16.44140625" style="1" bestFit="1" customWidth="1"/>
    <col min="11023" max="11264" width="11.44140625" style="1"/>
    <col min="11265" max="11265" width="18.44140625" style="1" customWidth="1"/>
    <col min="11266" max="11266" width="17.44140625" style="1" bestFit="1" customWidth="1"/>
    <col min="11267" max="11267" width="22.109375" style="1" bestFit="1" customWidth="1"/>
    <col min="11268" max="11278" width="16.44140625" style="1" bestFit="1" customWidth="1"/>
    <col min="11279" max="11520" width="11.44140625" style="1"/>
    <col min="11521" max="11521" width="18.44140625" style="1" customWidth="1"/>
    <col min="11522" max="11522" width="17.44140625" style="1" bestFit="1" customWidth="1"/>
    <col min="11523" max="11523" width="22.109375" style="1" bestFit="1" customWidth="1"/>
    <col min="11524" max="11534" width="16.44140625" style="1" bestFit="1" customWidth="1"/>
    <col min="11535" max="11776" width="11.44140625" style="1"/>
    <col min="11777" max="11777" width="18.44140625" style="1" customWidth="1"/>
    <col min="11778" max="11778" width="17.44140625" style="1" bestFit="1" customWidth="1"/>
    <col min="11779" max="11779" width="22.109375" style="1" bestFit="1" customWidth="1"/>
    <col min="11780" max="11790" width="16.44140625" style="1" bestFit="1" customWidth="1"/>
    <col min="11791" max="12032" width="11.44140625" style="1"/>
    <col min="12033" max="12033" width="18.44140625" style="1" customWidth="1"/>
    <col min="12034" max="12034" width="17.44140625" style="1" bestFit="1" customWidth="1"/>
    <col min="12035" max="12035" width="22.109375" style="1" bestFit="1" customWidth="1"/>
    <col min="12036" max="12046" width="16.44140625" style="1" bestFit="1" customWidth="1"/>
    <col min="12047" max="12288" width="11.44140625" style="1"/>
    <col min="12289" max="12289" width="18.44140625" style="1" customWidth="1"/>
    <col min="12290" max="12290" width="17.44140625" style="1" bestFit="1" customWidth="1"/>
    <col min="12291" max="12291" width="22.109375" style="1" bestFit="1" customWidth="1"/>
    <col min="12292" max="12302" width="16.44140625" style="1" bestFit="1" customWidth="1"/>
    <col min="12303" max="12544" width="11.44140625" style="1"/>
    <col min="12545" max="12545" width="18.44140625" style="1" customWidth="1"/>
    <col min="12546" max="12546" width="17.44140625" style="1" bestFit="1" customWidth="1"/>
    <col min="12547" max="12547" width="22.109375" style="1" bestFit="1" customWidth="1"/>
    <col min="12548" max="12558" width="16.44140625" style="1" bestFit="1" customWidth="1"/>
    <col min="12559" max="12800" width="11.44140625" style="1"/>
    <col min="12801" max="12801" width="18.44140625" style="1" customWidth="1"/>
    <col min="12802" max="12802" width="17.44140625" style="1" bestFit="1" customWidth="1"/>
    <col min="12803" max="12803" width="22.109375" style="1" bestFit="1" customWidth="1"/>
    <col min="12804" max="12814" width="16.44140625" style="1" bestFit="1" customWidth="1"/>
    <col min="12815" max="13056" width="11.44140625" style="1"/>
    <col min="13057" max="13057" width="18.44140625" style="1" customWidth="1"/>
    <col min="13058" max="13058" width="17.44140625" style="1" bestFit="1" customWidth="1"/>
    <col min="13059" max="13059" width="22.109375" style="1" bestFit="1" customWidth="1"/>
    <col min="13060" max="13070" width="16.44140625" style="1" bestFit="1" customWidth="1"/>
    <col min="13071" max="13312" width="11.44140625" style="1"/>
    <col min="13313" max="13313" width="18.44140625" style="1" customWidth="1"/>
    <col min="13314" max="13314" width="17.44140625" style="1" bestFit="1" customWidth="1"/>
    <col min="13315" max="13315" width="22.109375" style="1" bestFit="1" customWidth="1"/>
    <col min="13316" max="13326" width="16.44140625" style="1" bestFit="1" customWidth="1"/>
    <col min="13327" max="13568" width="11.44140625" style="1"/>
    <col min="13569" max="13569" width="18.44140625" style="1" customWidth="1"/>
    <col min="13570" max="13570" width="17.44140625" style="1" bestFit="1" customWidth="1"/>
    <col min="13571" max="13571" width="22.109375" style="1" bestFit="1" customWidth="1"/>
    <col min="13572" max="13582" width="16.44140625" style="1" bestFit="1" customWidth="1"/>
    <col min="13583" max="13824" width="11.44140625" style="1"/>
    <col min="13825" max="13825" width="18.44140625" style="1" customWidth="1"/>
    <col min="13826" max="13826" width="17.44140625" style="1" bestFit="1" customWidth="1"/>
    <col min="13827" max="13827" width="22.109375" style="1" bestFit="1" customWidth="1"/>
    <col min="13828" max="13838" width="16.44140625" style="1" bestFit="1" customWidth="1"/>
    <col min="13839" max="14080" width="11.44140625" style="1"/>
    <col min="14081" max="14081" width="18.44140625" style="1" customWidth="1"/>
    <col min="14082" max="14082" width="17.44140625" style="1" bestFit="1" customWidth="1"/>
    <col min="14083" max="14083" width="22.109375" style="1" bestFit="1" customWidth="1"/>
    <col min="14084" max="14094" width="16.44140625" style="1" bestFit="1" customWidth="1"/>
    <col min="14095" max="14336" width="11.44140625" style="1"/>
    <col min="14337" max="14337" width="18.44140625" style="1" customWidth="1"/>
    <col min="14338" max="14338" width="17.44140625" style="1" bestFit="1" customWidth="1"/>
    <col min="14339" max="14339" width="22.109375" style="1" bestFit="1" customWidth="1"/>
    <col min="14340" max="14350" width="16.44140625" style="1" bestFit="1" customWidth="1"/>
    <col min="14351" max="14592" width="11.44140625" style="1"/>
    <col min="14593" max="14593" width="18.44140625" style="1" customWidth="1"/>
    <col min="14594" max="14594" width="17.44140625" style="1" bestFit="1" customWidth="1"/>
    <col min="14595" max="14595" width="22.109375" style="1" bestFit="1" customWidth="1"/>
    <col min="14596" max="14606" width="16.44140625" style="1" bestFit="1" customWidth="1"/>
    <col min="14607" max="14848" width="11.44140625" style="1"/>
    <col min="14849" max="14849" width="18.44140625" style="1" customWidth="1"/>
    <col min="14850" max="14850" width="17.44140625" style="1" bestFit="1" customWidth="1"/>
    <col min="14851" max="14851" width="22.109375" style="1" bestFit="1" customWidth="1"/>
    <col min="14852" max="14862" width="16.44140625" style="1" bestFit="1" customWidth="1"/>
    <col min="14863" max="15104" width="11.44140625" style="1"/>
    <col min="15105" max="15105" width="18.44140625" style="1" customWidth="1"/>
    <col min="15106" max="15106" width="17.44140625" style="1" bestFit="1" customWidth="1"/>
    <col min="15107" max="15107" width="22.109375" style="1" bestFit="1" customWidth="1"/>
    <col min="15108" max="15118" width="16.44140625" style="1" bestFit="1" customWidth="1"/>
    <col min="15119" max="15360" width="11.44140625" style="1"/>
    <col min="15361" max="15361" width="18.44140625" style="1" customWidth="1"/>
    <col min="15362" max="15362" width="17.44140625" style="1" bestFit="1" customWidth="1"/>
    <col min="15363" max="15363" width="22.109375" style="1" bestFit="1" customWidth="1"/>
    <col min="15364" max="15374" width="16.44140625" style="1" bestFit="1" customWidth="1"/>
    <col min="15375" max="15616" width="11.44140625" style="1"/>
    <col min="15617" max="15617" width="18.44140625" style="1" customWidth="1"/>
    <col min="15618" max="15618" width="17.44140625" style="1" bestFit="1" customWidth="1"/>
    <col min="15619" max="15619" width="22.109375" style="1" bestFit="1" customWidth="1"/>
    <col min="15620" max="15630" width="16.44140625" style="1" bestFit="1" customWidth="1"/>
    <col min="15631" max="15872" width="11.44140625" style="1"/>
    <col min="15873" max="15873" width="18.44140625" style="1" customWidth="1"/>
    <col min="15874" max="15874" width="17.44140625" style="1" bestFit="1" customWidth="1"/>
    <col min="15875" max="15875" width="22.109375" style="1" bestFit="1" customWidth="1"/>
    <col min="15876" max="15886" width="16.44140625" style="1" bestFit="1" customWidth="1"/>
    <col min="15887" max="16128" width="11.44140625" style="1"/>
    <col min="16129" max="16129" width="18.44140625" style="1" customWidth="1"/>
    <col min="16130" max="16130" width="17.44140625" style="1" bestFit="1" customWidth="1"/>
    <col min="16131" max="16131" width="22.109375" style="1" bestFit="1" customWidth="1"/>
    <col min="16132" max="16142" width="16.44140625" style="1" bestFit="1" customWidth="1"/>
    <col min="16143" max="16384" width="11.44140625" style="1"/>
  </cols>
  <sheetData>
    <row r="1" spans="1:9" ht="15.6" x14ac:dyDescent="0.25">
      <c r="A1" s="52" t="s">
        <v>125</v>
      </c>
      <c r="B1" s="77" t="s">
        <v>128</v>
      </c>
      <c r="C1" s="78"/>
      <c r="D1" s="78"/>
      <c r="E1" s="78"/>
      <c r="F1" s="78"/>
    </row>
    <row r="3" spans="1:9" ht="45" x14ac:dyDescent="0.25">
      <c r="A3" s="35" t="s">
        <v>96</v>
      </c>
      <c r="B3" s="36">
        <v>188060000</v>
      </c>
    </row>
    <row r="4" spans="1:9" ht="15" x14ac:dyDescent="0.25">
      <c r="A4" s="35" t="s">
        <v>97</v>
      </c>
      <c r="B4" s="36">
        <f>'COSTOS AUTOMATI.'!E39</f>
        <v>26608400</v>
      </c>
    </row>
    <row r="5" spans="1:9" ht="30" x14ac:dyDescent="0.25">
      <c r="A5" s="35" t="s">
        <v>98</v>
      </c>
      <c r="B5" s="36">
        <f>'COSTOS AUTOMATI.'!B44</f>
        <v>5000000</v>
      </c>
    </row>
    <row r="6" spans="1:9" x14ac:dyDescent="0.25">
      <c r="B6" s="3"/>
    </row>
    <row r="7" spans="1:9" ht="15.6" x14ac:dyDescent="0.25">
      <c r="A7" s="38" t="s">
        <v>1</v>
      </c>
      <c r="B7" s="39" t="s">
        <v>108</v>
      </c>
      <c r="C7" s="39" t="s">
        <v>109</v>
      </c>
      <c r="D7" s="39" t="s">
        <v>100</v>
      </c>
      <c r="E7" s="39" t="s">
        <v>101</v>
      </c>
      <c r="F7" s="39" t="s">
        <v>102</v>
      </c>
      <c r="G7" s="39" t="s">
        <v>103</v>
      </c>
      <c r="H7" s="39" t="s">
        <v>104</v>
      </c>
      <c r="I7" s="39" t="s">
        <v>105</v>
      </c>
    </row>
    <row r="8" spans="1:9" ht="15.6" x14ac:dyDescent="0.25">
      <c r="A8" s="40"/>
      <c r="B8" s="41">
        <v>0</v>
      </c>
      <c r="C8" s="41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2">
        <v>7</v>
      </c>
    </row>
    <row r="9" spans="1:9" ht="15" x14ac:dyDescent="0.25">
      <c r="A9" s="37" t="s">
        <v>106</v>
      </c>
      <c r="B9" s="43"/>
      <c r="C9" s="53">
        <f>$B$3</f>
        <v>188060000</v>
      </c>
      <c r="D9" s="53">
        <v>0</v>
      </c>
      <c r="E9" s="53">
        <v>0</v>
      </c>
      <c r="F9" s="53">
        <f>$B$3</f>
        <v>188060000</v>
      </c>
      <c r="G9" s="53">
        <v>0</v>
      </c>
      <c r="H9" s="53">
        <v>0</v>
      </c>
      <c r="I9" s="54">
        <f>$B$3</f>
        <v>188060000</v>
      </c>
    </row>
    <row r="10" spans="1:9" ht="15" x14ac:dyDescent="0.25">
      <c r="A10" s="44" t="s">
        <v>107</v>
      </c>
      <c r="B10" s="45"/>
      <c r="C10" s="55">
        <f t="shared" ref="C10:I10" si="0">SUM(C9:C9)</f>
        <v>188060000</v>
      </c>
      <c r="D10" s="55">
        <f t="shared" si="0"/>
        <v>0</v>
      </c>
      <c r="E10" s="55">
        <f t="shared" si="0"/>
        <v>0</v>
      </c>
      <c r="F10" s="55">
        <f t="shared" si="0"/>
        <v>188060000</v>
      </c>
      <c r="G10" s="55">
        <f t="shared" si="0"/>
        <v>0</v>
      </c>
      <c r="H10" s="55">
        <f t="shared" si="0"/>
        <v>0</v>
      </c>
      <c r="I10" s="56">
        <f t="shared" si="0"/>
        <v>188060000</v>
      </c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ht="15.6" x14ac:dyDescent="0.25">
      <c r="A12" s="51" t="s">
        <v>2</v>
      </c>
      <c r="B12" s="47" t="s">
        <v>114</v>
      </c>
      <c r="C12" s="47" t="s">
        <v>118</v>
      </c>
      <c r="D12" s="47" t="s">
        <v>115</v>
      </c>
      <c r="E12" s="47" t="s">
        <v>116</v>
      </c>
      <c r="F12" s="47" t="s">
        <v>119</v>
      </c>
      <c r="G12" s="47" t="s">
        <v>120</v>
      </c>
      <c r="H12" s="47" t="s">
        <v>117</v>
      </c>
      <c r="I12" s="48" t="s">
        <v>121</v>
      </c>
    </row>
    <row r="13" spans="1:9" ht="15" x14ac:dyDescent="0.25">
      <c r="A13" s="49" t="s">
        <v>110</v>
      </c>
      <c r="B13" s="57">
        <f>'COSTOS AUTOMATI.'!B47</f>
        <v>122930698.19999999</v>
      </c>
      <c r="C13" s="57"/>
      <c r="D13" s="57"/>
      <c r="E13" s="57"/>
      <c r="F13" s="57"/>
      <c r="G13" s="57"/>
      <c r="H13" s="57"/>
      <c r="I13" s="58"/>
    </row>
    <row r="14" spans="1:9" ht="45" x14ac:dyDescent="0.25">
      <c r="A14" s="49" t="s">
        <v>111</v>
      </c>
      <c r="B14" s="57"/>
      <c r="C14" s="57">
        <f>$B$5</f>
        <v>5000000</v>
      </c>
      <c r="D14" s="57">
        <f t="shared" ref="D14:I14" si="1">$B$5</f>
        <v>5000000</v>
      </c>
      <c r="E14" s="57">
        <f t="shared" si="1"/>
        <v>5000000</v>
      </c>
      <c r="F14" s="57">
        <f t="shared" si="1"/>
        <v>5000000</v>
      </c>
      <c r="G14" s="57">
        <f t="shared" si="1"/>
        <v>5000000</v>
      </c>
      <c r="H14" s="57">
        <f>$B$5</f>
        <v>5000000</v>
      </c>
      <c r="I14" s="57">
        <f t="shared" si="1"/>
        <v>5000000</v>
      </c>
    </row>
    <row r="15" spans="1:9" ht="30" x14ac:dyDescent="0.25">
      <c r="A15" s="49" t="s">
        <v>112</v>
      </c>
      <c r="B15" s="57"/>
      <c r="C15" s="57">
        <f>'COSTOS AUTOMATI.'!E39</f>
        <v>26608400</v>
      </c>
      <c r="D15" s="57">
        <f>'COSTOS AUTOMATI.'!$E$39-'COSTOS AUTOMATI.'!$E$35</f>
        <v>23608400</v>
      </c>
      <c r="E15" s="57">
        <f>'COSTOS AUTOMATI.'!$E$39-'COSTOS AUTOMATI.'!$E$35</f>
        <v>23608400</v>
      </c>
      <c r="F15" s="57">
        <f>'COSTOS AUTOMATI.'!$E$39-'COSTOS AUTOMATI.'!$E$35</f>
        <v>23608400</v>
      </c>
      <c r="G15" s="57">
        <f>'COSTOS AUTOMATI.'!$E$39-'COSTOS AUTOMATI.'!$E$35</f>
        <v>23608400</v>
      </c>
      <c r="H15" s="57">
        <f>'COSTOS AUTOMATI.'!$E$39-'COSTOS AUTOMATI.'!$E$35</f>
        <v>23608400</v>
      </c>
      <c r="I15" s="57">
        <f>'COSTOS AUTOMATI.'!$E$39-'COSTOS AUTOMATI.'!$E$35</f>
        <v>23608400</v>
      </c>
    </row>
    <row r="16" spans="1:9" ht="15" x14ac:dyDescent="0.25">
      <c r="A16" s="50" t="s">
        <v>113</v>
      </c>
      <c r="B16" s="59">
        <f t="shared" ref="B16:I16" si="2">SUM(B13:B15)</f>
        <v>122930698.19999999</v>
      </c>
      <c r="C16" s="59">
        <f t="shared" si="2"/>
        <v>31608400</v>
      </c>
      <c r="D16" s="59">
        <f t="shared" si="2"/>
        <v>28608400</v>
      </c>
      <c r="E16" s="59">
        <f t="shared" si="2"/>
        <v>28608400</v>
      </c>
      <c r="F16" s="59">
        <f t="shared" si="2"/>
        <v>28608400</v>
      </c>
      <c r="G16" s="59">
        <f t="shared" si="2"/>
        <v>28608400</v>
      </c>
      <c r="H16" s="59">
        <f t="shared" si="2"/>
        <v>28608400</v>
      </c>
      <c r="I16" s="60">
        <f t="shared" si="2"/>
        <v>28608400</v>
      </c>
    </row>
    <row r="17" spans="1:14" x14ac:dyDescent="0.25">
      <c r="A17" s="5"/>
      <c r="B17" s="68"/>
    </row>
    <row r="18" spans="1:14" ht="30" x14ac:dyDescent="0.25">
      <c r="A18" s="46" t="s">
        <v>4</v>
      </c>
      <c r="B18" s="62">
        <f>B10-B16</f>
        <v>-122930698.19999999</v>
      </c>
      <c r="C18" s="62">
        <f>C10-C16</f>
        <v>156451600</v>
      </c>
      <c r="D18" s="62">
        <f t="shared" ref="D18:I18" si="3">D10-D16</f>
        <v>-28608400</v>
      </c>
      <c r="E18" s="62">
        <f t="shared" si="3"/>
        <v>-28608400</v>
      </c>
      <c r="F18" s="62">
        <f t="shared" si="3"/>
        <v>159451600</v>
      </c>
      <c r="G18" s="62">
        <f t="shared" si="3"/>
        <v>-28608400</v>
      </c>
      <c r="H18" s="62">
        <f>H10-H16</f>
        <v>-28608400</v>
      </c>
      <c r="I18" s="62">
        <f t="shared" si="3"/>
        <v>159451600</v>
      </c>
    </row>
    <row r="19" spans="1:14" ht="15" x14ac:dyDescent="0.25">
      <c r="A19" s="46" t="s">
        <v>5</v>
      </c>
      <c r="B19" s="62"/>
      <c r="C19" s="62">
        <v>19794662</v>
      </c>
      <c r="D19" s="62">
        <v>19794662</v>
      </c>
      <c r="E19" s="62">
        <v>19794662</v>
      </c>
      <c r="F19" s="62">
        <v>19794662</v>
      </c>
      <c r="G19" s="62">
        <v>19794662</v>
      </c>
      <c r="H19" s="62">
        <v>19794662</v>
      </c>
      <c r="I19" s="62">
        <v>19794662</v>
      </c>
      <c r="J19" s="3"/>
      <c r="K19" s="3"/>
      <c r="L19" s="3"/>
      <c r="M19" s="3"/>
      <c r="N19" s="3"/>
    </row>
    <row r="20" spans="1:14" ht="30" x14ac:dyDescent="0.25">
      <c r="A20" s="46" t="s">
        <v>6</v>
      </c>
      <c r="B20" s="62">
        <f>B18-B19</f>
        <v>-122930698.19999999</v>
      </c>
      <c r="C20" s="62">
        <f>C18-C19</f>
        <v>136656938</v>
      </c>
      <c r="D20" s="62">
        <f t="shared" ref="D20:I20" si="4">D18-D19</f>
        <v>-48403062</v>
      </c>
      <c r="E20" s="62">
        <f t="shared" si="4"/>
        <v>-48403062</v>
      </c>
      <c r="F20" s="62">
        <f t="shared" si="4"/>
        <v>139656938</v>
      </c>
      <c r="G20" s="62">
        <f t="shared" si="4"/>
        <v>-48403062</v>
      </c>
      <c r="H20" s="62">
        <f t="shared" si="4"/>
        <v>-48403062</v>
      </c>
      <c r="I20" s="62">
        <f t="shared" si="4"/>
        <v>139656938</v>
      </c>
      <c r="J20" s="3"/>
      <c r="K20" s="3"/>
      <c r="L20" s="3"/>
      <c r="M20" s="3"/>
      <c r="N20" s="3"/>
    </row>
    <row r="21" spans="1:14" x14ac:dyDescent="0.25">
      <c r="J21" s="3"/>
      <c r="K21" s="3"/>
      <c r="L21" s="3"/>
      <c r="M21" s="3"/>
      <c r="N21" s="3"/>
    </row>
    <row r="22" spans="1:14" x14ac:dyDescent="0.25">
      <c r="A22" s="11" t="s">
        <v>80</v>
      </c>
      <c r="B22" s="12">
        <v>0.16</v>
      </c>
      <c r="J22" s="3"/>
      <c r="K22" s="3"/>
      <c r="L22" s="3"/>
      <c r="M22" s="3"/>
      <c r="N22" s="3"/>
    </row>
    <row r="23" spans="1:14" x14ac:dyDescent="0.25">
      <c r="J23" s="3"/>
      <c r="K23" s="3"/>
      <c r="L23" s="3"/>
      <c r="M23" s="3"/>
      <c r="N23" s="3"/>
    </row>
    <row r="24" spans="1:14" x14ac:dyDescent="0.25">
      <c r="A24" s="75" t="s">
        <v>126</v>
      </c>
      <c r="B24" s="76"/>
      <c r="J24" s="3"/>
      <c r="K24" s="3"/>
      <c r="L24" s="3"/>
      <c r="M24" s="3"/>
      <c r="N24" s="3"/>
    </row>
    <row r="25" spans="1:14" x14ac:dyDescent="0.25">
      <c r="A25" s="9" t="s">
        <v>81</v>
      </c>
      <c r="B25" s="10">
        <f>NPV(B22,C20:N20)</f>
        <v>134460594.71938154</v>
      </c>
    </row>
    <row r="26" spans="1:14" x14ac:dyDescent="0.25">
      <c r="A26" s="7" t="s">
        <v>3</v>
      </c>
      <c r="B26" s="8">
        <f>$B$13</f>
        <v>122930698.19999999</v>
      </c>
    </row>
    <row r="27" spans="1:14" x14ac:dyDescent="0.25">
      <c r="A27" s="7" t="s">
        <v>7</v>
      </c>
      <c r="B27" s="63">
        <f>B25-B26</f>
        <v>11529896.519381553</v>
      </c>
    </row>
    <row r="28" spans="1:14" x14ac:dyDescent="0.25">
      <c r="A28" s="9" t="s">
        <v>8</v>
      </c>
      <c r="B28" s="71">
        <f>IRR(B20:N20)</f>
        <v>0.1999586285878483</v>
      </c>
    </row>
    <row r="30" spans="1:14" x14ac:dyDescent="0.25"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4" t="s">
        <v>0</v>
      </c>
      <c r="I30" s="4" t="s">
        <v>0</v>
      </c>
    </row>
    <row r="31" spans="1:14" x14ac:dyDescent="0.25"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</row>
    <row r="32" spans="1:14" x14ac:dyDescent="0.25">
      <c r="A32" s="5" t="s">
        <v>9</v>
      </c>
      <c r="C32" s="3">
        <f>C20/POWER(1+$B$22,C31)</f>
        <v>117807705.1724138</v>
      </c>
      <c r="D32" s="3">
        <f t="shared" ref="D32:G32" si="5">D20/POWER(1+$B$22,D31)</f>
        <v>-35971359.988109395</v>
      </c>
      <c r="E32" s="3">
        <f t="shared" si="5"/>
        <v>-31009793.093197756</v>
      </c>
      <c r="F32" s="3">
        <f t="shared" si="5"/>
        <v>77131283.614645392</v>
      </c>
      <c r="G32" s="3">
        <f t="shared" si="5"/>
        <v>-23045327.804100595</v>
      </c>
      <c r="H32" s="3">
        <f>H20/POWER(1+$B$22,H31)</f>
        <v>-19866661.90008672</v>
      </c>
      <c r="I32" s="3">
        <f t="shared" ref="I32" si="6">I20/POWER(1+$B$22,I31)</f>
        <v>49414748.717816822</v>
      </c>
    </row>
    <row r="33" spans="1:14" ht="26.4" x14ac:dyDescent="0.25">
      <c r="A33" s="5" t="s">
        <v>10</v>
      </c>
      <c r="C33" s="13">
        <f>C32</f>
        <v>117807705.1724138</v>
      </c>
      <c r="D33" s="13">
        <f t="shared" ref="D33:I33" si="7">C33+D32</f>
        <v>81836345.184304401</v>
      </c>
      <c r="E33" s="13">
        <f t="shared" si="7"/>
        <v>50826552.091106646</v>
      </c>
      <c r="F33" s="13">
        <f t="shared" si="7"/>
        <v>127957835.70575204</v>
      </c>
      <c r="G33" s="3">
        <f t="shared" si="7"/>
        <v>104912507.90165144</v>
      </c>
      <c r="H33" s="3">
        <f t="shared" si="7"/>
        <v>85045846.001564726</v>
      </c>
      <c r="I33" s="3">
        <f t="shared" si="7"/>
        <v>134460594.71938154</v>
      </c>
    </row>
    <row r="34" spans="1:14" x14ac:dyDescent="0.25">
      <c r="A34" s="6" t="s">
        <v>11</v>
      </c>
      <c r="B34" s="14">
        <v>4</v>
      </c>
    </row>
    <row r="36" spans="1:14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73" t="s">
        <v>127</v>
      </c>
      <c r="B37" s="7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64" t="s">
        <v>12</v>
      </c>
      <c r="B38" s="66">
        <f>SUM(C9:N9)</f>
        <v>564180000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64" t="s">
        <v>13</v>
      </c>
      <c r="B39" s="66">
        <f>SUM(C14:N15)</f>
        <v>203258800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64" t="s">
        <v>14</v>
      </c>
      <c r="B40" s="66">
        <f>B38-B39</f>
        <v>360921200</v>
      </c>
    </row>
    <row r="41" spans="1:14" ht="26.4" x14ac:dyDescent="0.25">
      <c r="A41" s="64" t="s">
        <v>15</v>
      </c>
      <c r="B41" s="66">
        <f>SUM(C19:N19)</f>
        <v>138562634</v>
      </c>
    </row>
    <row r="42" spans="1:14" ht="26.4" x14ac:dyDescent="0.25">
      <c r="A42" s="64" t="s">
        <v>16</v>
      </c>
      <c r="B42" s="66">
        <f>B40-B41</f>
        <v>222358566</v>
      </c>
    </row>
    <row r="43" spans="1:14" x14ac:dyDescent="0.25">
      <c r="A43" s="64" t="s">
        <v>17</v>
      </c>
      <c r="B43" s="66">
        <f>B42*0.19</f>
        <v>42248127.539999999</v>
      </c>
    </row>
    <row r="44" spans="1:14" ht="26.4" x14ac:dyDescent="0.25">
      <c r="A44" s="69" t="s">
        <v>18</v>
      </c>
      <c r="B44" s="70">
        <f>B42-B43</f>
        <v>180110438.46000001</v>
      </c>
    </row>
    <row r="46" spans="1:14" x14ac:dyDescent="0.25">
      <c r="B46" s="3"/>
    </row>
    <row r="47" spans="1:14" x14ac:dyDescent="0.25">
      <c r="B47" s="3"/>
    </row>
    <row r="48" spans="1:14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</sheetData>
  <mergeCells count="3">
    <mergeCell ref="B1:F1"/>
    <mergeCell ref="A24:B24"/>
    <mergeCell ref="A37:B37"/>
  </mergeCells>
  <pageMargins left="0.75" right="0.75" top="1" bottom="1" header="0.3" footer="0.3"/>
  <pageSetup orientation="landscape" r:id="rId1"/>
  <headerFooter alignWithMargins="0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9142-D9B8-2A42-AD7D-E3AA9565E8BD}">
  <dimension ref="A1:H49"/>
  <sheetViews>
    <sheetView workbookViewId="0">
      <selection activeCell="B48" sqref="B48"/>
    </sheetView>
  </sheetViews>
  <sheetFormatPr baseColWidth="10" defaultRowHeight="13.2" x14ac:dyDescent="0.25"/>
  <cols>
    <col min="1" max="1" width="22.77734375" bestFit="1" customWidth="1"/>
    <col min="2" max="2" width="19.5546875" bestFit="1" customWidth="1"/>
    <col min="3" max="3" width="15.88671875" bestFit="1" customWidth="1"/>
    <col min="4" max="4" width="17" bestFit="1" customWidth="1"/>
    <col min="5" max="5" width="22.109375" customWidth="1"/>
  </cols>
  <sheetData>
    <row r="1" spans="1:8" x14ac:dyDescent="0.25">
      <c r="A1" s="15" t="s">
        <v>22</v>
      </c>
      <c r="B1" s="16" t="s">
        <v>23</v>
      </c>
      <c r="C1" s="15" t="s">
        <v>24</v>
      </c>
      <c r="D1" s="16" t="s">
        <v>25</v>
      </c>
      <c r="E1" s="15" t="s">
        <v>26</v>
      </c>
      <c r="G1" t="s">
        <v>90</v>
      </c>
      <c r="H1" t="s">
        <v>89</v>
      </c>
    </row>
    <row r="2" spans="1:8" x14ac:dyDescent="0.25">
      <c r="A2" s="15" t="s">
        <v>27</v>
      </c>
      <c r="B2" s="16">
        <v>72743808</v>
      </c>
      <c r="C2">
        <v>1</v>
      </c>
      <c r="D2" s="17">
        <f>+B2*C2</f>
        <v>72743808</v>
      </c>
      <c r="E2" s="15" t="s">
        <v>28</v>
      </c>
      <c r="G2" t="s">
        <v>88</v>
      </c>
      <c r="H2">
        <v>4546</v>
      </c>
    </row>
    <row r="3" spans="1:8" x14ac:dyDescent="0.25">
      <c r="A3" s="15" t="s">
        <v>29</v>
      </c>
      <c r="B3" s="16">
        <v>4546488</v>
      </c>
      <c r="C3">
        <v>1</v>
      </c>
      <c r="D3" s="17">
        <f t="shared" ref="D3:D22" si="0">+B3*C3</f>
        <v>4546488</v>
      </c>
    </row>
    <row r="4" spans="1:8" x14ac:dyDescent="0.25">
      <c r="A4" s="15" t="s">
        <v>30</v>
      </c>
      <c r="B4" s="17">
        <v>60000</v>
      </c>
      <c r="C4">
        <v>3</v>
      </c>
      <c r="D4" s="17">
        <f t="shared" si="0"/>
        <v>180000</v>
      </c>
    </row>
    <row r="5" spans="1:8" x14ac:dyDescent="0.25">
      <c r="A5" s="15" t="s">
        <v>31</v>
      </c>
      <c r="B5" s="17">
        <v>55000</v>
      </c>
      <c r="C5">
        <v>3</v>
      </c>
      <c r="D5" s="17">
        <f t="shared" si="0"/>
        <v>165000</v>
      </c>
    </row>
    <row r="6" spans="1:8" x14ac:dyDescent="0.25">
      <c r="A6" s="15" t="s">
        <v>32</v>
      </c>
      <c r="B6" s="17">
        <v>300000</v>
      </c>
      <c r="C6">
        <v>4</v>
      </c>
      <c r="D6" s="17">
        <f t="shared" si="0"/>
        <v>1200000</v>
      </c>
    </row>
    <row r="7" spans="1:8" x14ac:dyDescent="0.25">
      <c r="A7" s="15" t="s">
        <v>33</v>
      </c>
      <c r="B7" s="17">
        <v>10000</v>
      </c>
      <c r="C7">
        <v>5</v>
      </c>
      <c r="D7" s="17">
        <f t="shared" si="0"/>
        <v>50000</v>
      </c>
    </row>
    <row r="8" spans="1:8" x14ac:dyDescent="0.25">
      <c r="A8" s="15" t="s">
        <v>34</v>
      </c>
      <c r="B8" s="17">
        <v>1500000</v>
      </c>
      <c r="C8">
        <v>1</v>
      </c>
      <c r="D8" s="17">
        <f t="shared" si="0"/>
        <v>1500000</v>
      </c>
    </row>
    <row r="9" spans="1:8" x14ac:dyDescent="0.25">
      <c r="A9" s="15" t="s">
        <v>35</v>
      </c>
      <c r="B9" s="17">
        <v>600000</v>
      </c>
      <c r="C9">
        <v>1</v>
      </c>
      <c r="D9" s="17">
        <f t="shared" si="0"/>
        <v>600000</v>
      </c>
    </row>
    <row r="10" spans="1:8" x14ac:dyDescent="0.25">
      <c r="A10" s="15" t="s">
        <v>36</v>
      </c>
      <c r="B10" s="17">
        <v>157000</v>
      </c>
      <c r="C10">
        <v>1</v>
      </c>
      <c r="D10" s="17">
        <f t="shared" si="0"/>
        <v>157000</v>
      </c>
    </row>
    <row r="11" spans="1:8" x14ac:dyDescent="0.25">
      <c r="A11" s="15" t="s">
        <v>37</v>
      </c>
      <c r="B11" s="17">
        <v>6500</v>
      </c>
      <c r="C11">
        <v>20</v>
      </c>
      <c r="D11" s="17">
        <f t="shared" si="0"/>
        <v>130000</v>
      </c>
      <c r="E11" t="s">
        <v>38</v>
      </c>
    </row>
    <row r="12" spans="1:8" x14ac:dyDescent="0.25">
      <c r="A12" s="15" t="s">
        <v>39</v>
      </c>
      <c r="B12" s="17">
        <v>80000</v>
      </c>
      <c r="C12">
        <v>3</v>
      </c>
      <c r="D12" s="17">
        <f t="shared" si="0"/>
        <v>240000</v>
      </c>
    </row>
    <row r="13" spans="1:8" x14ac:dyDescent="0.25">
      <c r="A13" s="15" t="s">
        <v>40</v>
      </c>
      <c r="B13" s="17">
        <v>317000</v>
      </c>
      <c r="C13">
        <v>1</v>
      </c>
      <c r="D13" s="17">
        <f t="shared" si="0"/>
        <v>317000</v>
      </c>
    </row>
    <row r="14" spans="1:8" x14ac:dyDescent="0.25">
      <c r="A14" s="15" t="s">
        <v>41</v>
      </c>
      <c r="B14" s="17">
        <v>2200</v>
      </c>
      <c r="C14">
        <v>20</v>
      </c>
      <c r="D14" s="17">
        <f t="shared" si="0"/>
        <v>44000</v>
      </c>
    </row>
    <row r="15" spans="1:8" x14ac:dyDescent="0.25">
      <c r="A15" s="15" t="s">
        <v>42</v>
      </c>
      <c r="B15" s="17">
        <v>250000000</v>
      </c>
      <c r="C15">
        <v>1</v>
      </c>
      <c r="D15" s="17">
        <f>+B15*C15</f>
        <v>250000000</v>
      </c>
    </row>
    <row r="16" spans="1:8" x14ac:dyDescent="0.25">
      <c r="A16" s="15" t="s">
        <v>43</v>
      </c>
      <c r="B16" s="17">
        <v>20000</v>
      </c>
      <c r="C16">
        <v>5</v>
      </c>
      <c r="D16" s="17">
        <f t="shared" si="0"/>
        <v>100000</v>
      </c>
    </row>
    <row r="17" spans="1:6" x14ac:dyDescent="0.25">
      <c r="A17" s="15" t="s">
        <v>44</v>
      </c>
      <c r="B17" s="17">
        <v>60000</v>
      </c>
      <c r="C17">
        <v>1</v>
      </c>
      <c r="D17" s="17">
        <f t="shared" si="0"/>
        <v>60000</v>
      </c>
    </row>
    <row r="18" spans="1:6" x14ac:dyDescent="0.25">
      <c r="A18" s="15" t="s">
        <v>45</v>
      </c>
      <c r="B18" s="17">
        <v>11000</v>
      </c>
      <c r="C18">
        <v>3</v>
      </c>
      <c r="D18" s="17">
        <f t="shared" si="0"/>
        <v>33000</v>
      </c>
    </row>
    <row r="19" spans="1:6" x14ac:dyDescent="0.25">
      <c r="A19" s="15" t="s">
        <v>46</v>
      </c>
      <c r="B19" s="17">
        <v>13000</v>
      </c>
      <c r="C19">
        <v>3</v>
      </c>
      <c r="D19" s="17">
        <f t="shared" si="0"/>
        <v>39000</v>
      </c>
    </row>
    <row r="20" spans="1:6" x14ac:dyDescent="0.25">
      <c r="A20" s="15" t="s">
        <v>47</v>
      </c>
      <c r="B20" s="17">
        <v>1500000</v>
      </c>
      <c r="C20">
        <v>1</v>
      </c>
      <c r="D20" s="17">
        <f t="shared" si="0"/>
        <v>1500000</v>
      </c>
    </row>
    <row r="21" spans="1:6" x14ac:dyDescent="0.25">
      <c r="A21" s="15" t="s">
        <v>48</v>
      </c>
      <c r="B21" s="17">
        <v>160000</v>
      </c>
      <c r="C21">
        <v>2</v>
      </c>
      <c r="D21" s="17">
        <f t="shared" si="0"/>
        <v>320000</v>
      </c>
    </row>
    <row r="22" spans="1:6" x14ac:dyDescent="0.25">
      <c r="A22" s="15" t="s">
        <v>49</v>
      </c>
      <c r="B22" s="17">
        <v>20000</v>
      </c>
      <c r="C22">
        <v>4</v>
      </c>
      <c r="D22" s="17">
        <f t="shared" si="0"/>
        <v>80000</v>
      </c>
    </row>
    <row r="23" spans="1:6" x14ac:dyDescent="0.25">
      <c r="A23" s="15" t="s">
        <v>50</v>
      </c>
      <c r="B23" s="17">
        <f>SUM(B2:B22)</f>
        <v>332161996</v>
      </c>
      <c r="C23">
        <f t="shared" ref="C23:D23" si="1">SUM(C2:C22)</f>
        <v>84</v>
      </c>
      <c r="D23" s="17">
        <f t="shared" si="1"/>
        <v>334005296</v>
      </c>
    </row>
    <row r="24" spans="1:6" x14ac:dyDescent="0.25">
      <c r="A24" s="15"/>
      <c r="B24" s="17"/>
      <c r="D24" s="17"/>
    </row>
    <row r="25" spans="1:6" x14ac:dyDescent="0.25">
      <c r="A25" t="s">
        <v>87</v>
      </c>
      <c r="B25" s="17" t="s">
        <v>91</v>
      </c>
      <c r="C25" t="s">
        <v>24</v>
      </c>
      <c r="D25" s="17" t="s">
        <v>92</v>
      </c>
      <c r="E25" t="s">
        <v>26</v>
      </c>
    </row>
    <row r="26" spans="1:6" x14ac:dyDescent="0.25">
      <c r="A26" s="29" t="s">
        <v>19</v>
      </c>
      <c r="B26" s="30">
        <f>Table3[Precio]*2093</f>
        <v>9514778</v>
      </c>
      <c r="C26">
        <v>1</v>
      </c>
      <c r="D26" s="17">
        <f>+B26*C26</f>
        <v>9514778</v>
      </c>
      <c r="E26" t="s">
        <v>51</v>
      </c>
    </row>
    <row r="27" spans="1:6" x14ac:dyDescent="0.25">
      <c r="A27" s="29" t="s">
        <v>20</v>
      </c>
      <c r="B27" s="30">
        <f>Table3[Precio]*6000</f>
        <v>27276000</v>
      </c>
      <c r="C27">
        <v>1</v>
      </c>
      <c r="D27" s="17">
        <f>+B27*C27</f>
        <v>27276000</v>
      </c>
    </row>
    <row r="28" spans="1:6" x14ac:dyDescent="0.25">
      <c r="A28" s="29" t="s">
        <v>21</v>
      </c>
      <c r="B28" s="31">
        <f>Table3[Precio]*1620</f>
        <v>7364520</v>
      </c>
      <c r="C28">
        <v>1</v>
      </c>
      <c r="D28" s="17">
        <f t="shared" ref="D28" si="2">+B28*C28</f>
        <v>7364520</v>
      </c>
    </row>
    <row r="29" spans="1:6" x14ac:dyDescent="0.25">
      <c r="A29" t="s">
        <v>50</v>
      </c>
      <c r="B29" s="17">
        <f>SUM(B26:B28)</f>
        <v>44155298</v>
      </c>
      <c r="C29">
        <f t="shared" ref="C29:D29" si="3">SUM(C26:C28)</f>
        <v>3</v>
      </c>
      <c r="D29" s="17">
        <f t="shared" si="3"/>
        <v>44155298</v>
      </c>
    </row>
    <row r="30" spans="1:6" x14ac:dyDescent="0.25">
      <c r="A30" s="15"/>
      <c r="B30" s="17"/>
      <c r="D30" s="17"/>
    </row>
    <row r="31" spans="1:6" x14ac:dyDescent="0.25">
      <c r="B31" s="17"/>
      <c r="D31" s="17"/>
    </row>
    <row r="32" spans="1:6" x14ac:dyDescent="0.25">
      <c r="A32" s="15" t="s">
        <v>52</v>
      </c>
      <c r="B32" s="17" t="s">
        <v>83</v>
      </c>
      <c r="C32" t="s">
        <v>84</v>
      </c>
      <c r="D32" s="17" t="s">
        <v>24</v>
      </c>
      <c r="E32" t="s">
        <v>92</v>
      </c>
      <c r="F32" s="17" t="s">
        <v>26</v>
      </c>
    </row>
    <row r="33" spans="1:6" x14ac:dyDescent="0.25">
      <c r="A33" s="15" t="s">
        <v>53</v>
      </c>
      <c r="B33" s="16">
        <v>2200000</v>
      </c>
      <c r="C33" s="17">
        <v>3396264</v>
      </c>
      <c r="D33">
        <v>3</v>
      </c>
      <c r="E33" s="17">
        <f>+C33*D33</f>
        <v>10188792</v>
      </c>
      <c r="F33" t="s">
        <v>85</v>
      </c>
    </row>
    <row r="34" spans="1:6" x14ac:dyDescent="0.25">
      <c r="A34" s="15" t="s">
        <v>54</v>
      </c>
      <c r="B34" s="17">
        <v>4000000</v>
      </c>
      <c r="C34" s="17">
        <v>5874213</v>
      </c>
      <c r="D34">
        <v>1</v>
      </c>
      <c r="E34" s="17">
        <f t="shared" ref="E34:E38" si="4">+C34*D34</f>
        <v>5874213</v>
      </c>
    </row>
    <row r="35" spans="1:6" x14ac:dyDescent="0.25">
      <c r="A35" s="15" t="s">
        <v>55</v>
      </c>
      <c r="B35" s="17">
        <v>3000000</v>
      </c>
      <c r="C35" s="17">
        <v>3000000</v>
      </c>
      <c r="D35">
        <v>1</v>
      </c>
      <c r="E35" s="17">
        <f t="shared" si="4"/>
        <v>3000000</v>
      </c>
    </row>
    <row r="36" spans="1:6" x14ac:dyDescent="0.25">
      <c r="A36" t="s">
        <v>82</v>
      </c>
      <c r="B36" s="17">
        <v>1600000</v>
      </c>
      <c r="C36" s="17">
        <v>2515132</v>
      </c>
      <c r="D36">
        <v>1</v>
      </c>
      <c r="E36" s="17">
        <f t="shared" si="4"/>
        <v>2515132</v>
      </c>
    </row>
    <row r="37" spans="1:6" x14ac:dyDescent="0.25">
      <c r="A37" t="s">
        <v>86</v>
      </c>
      <c r="B37" s="17">
        <v>1400000</v>
      </c>
      <c r="C37" s="17">
        <v>2221421</v>
      </c>
      <c r="D37">
        <v>1</v>
      </c>
      <c r="E37" s="17">
        <f t="shared" si="4"/>
        <v>2221421</v>
      </c>
    </row>
    <row r="38" spans="1:6" x14ac:dyDescent="0.25">
      <c r="A38" s="15" t="s">
        <v>56</v>
      </c>
      <c r="B38" s="17">
        <v>1800000</v>
      </c>
      <c r="C38" s="17">
        <v>2808842</v>
      </c>
      <c r="D38">
        <v>1</v>
      </c>
      <c r="E38" s="17">
        <f t="shared" si="4"/>
        <v>2808842</v>
      </c>
    </row>
    <row r="39" spans="1:6" x14ac:dyDescent="0.25">
      <c r="A39" s="15" t="s">
        <v>50</v>
      </c>
      <c r="B39" s="17">
        <f>SUM(B33:B38)</f>
        <v>14000000</v>
      </c>
      <c r="C39" s="17">
        <f>SUM(C33:C38)</f>
        <v>19815872</v>
      </c>
      <c r="D39">
        <f>SUM(D33:D38)</f>
        <v>8</v>
      </c>
      <c r="E39" s="17">
        <f>SUM(E33:E38)</f>
        <v>26608400</v>
      </c>
    </row>
    <row r="40" spans="1:6" x14ac:dyDescent="0.25">
      <c r="A40" s="15"/>
      <c r="B40" s="17"/>
      <c r="C40" s="17"/>
      <c r="E40" s="17"/>
    </row>
    <row r="41" spans="1:6" x14ac:dyDescent="0.25">
      <c r="A41" t="s">
        <v>93</v>
      </c>
      <c r="B41" s="17" t="s">
        <v>91</v>
      </c>
      <c r="C41" s="17"/>
      <c r="E41" s="17"/>
    </row>
    <row r="42" spans="1:6" x14ac:dyDescent="0.25">
      <c r="A42" s="15" t="s">
        <v>57</v>
      </c>
      <c r="B42" s="17">
        <v>3000000</v>
      </c>
      <c r="C42" s="17"/>
      <c r="E42" s="17"/>
    </row>
    <row r="43" spans="1:6" x14ac:dyDescent="0.25">
      <c r="A43" s="15" t="s">
        <v>58</v>
      </c>
      <c r="B43" s="17">
        <v>2000000</v>
      </c>
      <c r="C43" s="17"/>
      <c r="E43" s="17"/>
    </row>
    <row r="44" spans="1:6" x14ac:dyDescent="0.25">
      <c r="A44" t="s">
        <v>50</v>
      </c>
      <c r="B44" s="17">
        <f>SUM(B42:B43)</f>
        <v>5000000</v>
      </c>
      <c r="C44" s="17"/>
      <c r="E44" s="17"/>
    </row>
    <row r="45" spans="1:6" x14ac:dyDescent="0.25">
      <c r="B45" s="17"/>
      <c r="D45" s="17"/>
    </row>
    <row r="46" spans="1:6" x14ac:dyDescent="0.25">
      <c r="A46" s="32" t="s">
        <v>92</v>
      </c>
      <c r="B46" s="33">
        <f>SUM(E39,D29,D23,B42,B43)</f>
        <v>409768994</v>
      </c>
      <c r="D46" s="17"/>
    </row>
    <row r="47" spans="1:6" x14ac:dyDescent="0.25">
      <c r="A47" s="32" t="s">
        <v>94</v>
      </c>
      <c r="B47" s="34">
        <f>B46*30%</f>
        <v>122930698.19999999</v>
      </c>
      <c r="D47" s="17"/>
      <c r="E47" s="18"/>
    </row>
    <row r="48" spans="1:6" x14ac:dyDescent="0.25">
      <c r="A48" s="32" t="s">
        <v>95</v>
      </c>
      <c r="B48" s="32"/>
      <c r="D48" s="17"/>
    </row>
    <row r="49" spans="4:4" x14ac:dyDescent="0.25">
      <c r="D49" s="17"/>
    </row>
  </sheetData>
  <pageMargins left="0.7" right="0.7" top="0.75" bottom="0.75" header="0.3" footer="0.3"/>
  <pageSetup orientation="landscape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D5DC-70A5-9F44-A882-0D6BA6FC0A01}">
  <dimension ref="A1:K16"/>
  <sheetViews>
    <sheetView workbookViewId="0">
      <selection activeCell="B21" sqref="B21"/>
    </sheetView>
  </sheetViews>
  <sheetFormatPr baseColWidth="10" defaultRowHeight="13.2" x14ac:dyDescent="0.25"/>
  <cols>
    <col min="1" max="1" width="14" customWidth="1"/>
    <col min="2" max="2" width="23.77734375" bestFit="1" customWidth="1"/>
    <col min="3" max="3" width="17" bestFit="1" customWidth="1"/>
    <col min="4" max="4" width="11.109375" bestFit="1" customWidth="1"/>
    <col min="5" max="5" width="13.33203125" bestFit="1" customWidth="1"/>
    <col min="6" max="6" width="20.77734375" bestFit="1" customWidth="1"/>
    <col min="7" max="7" width="25" bestFit="1" customWidth="1"/>
    <col min="8" max="8" width="22.33203125" bestFit="1" customWidth="1"/>
    <col min="9" max="9" width="20.109375" bestFit="1" customWidth="1"/>
    <col min="10" max="10" width="20" bestFit="1" customWidth="1"/>
    <col min="11" max="11" width="22.6640625" bestFit="1" customWidth="1"/>
  </cols>
  <sheetData>
    <row r="1" spans="1:11" x14ac:dyDescent="0.25">
      <c r="A1" s="19" t="s">
        <v>59</v>
      </c>
      <c r="B1" s="20"/>
      <c r="C1" s="20"/>
      <c r="D1" s="20"/>
      <c r="E1" s="20"/>
      <c r="F1" s="20"/>
      <c r="G1" s="20"/>
      <c r="H1" s="20"/>
      <c r="I1" s="21"/>
      <c r="J1" s="20"/>
      <c r="K1" s="20"/>
    </row>
    <row r="2" spans="1:11" x14ac:dyDescent="0.25">
      <c r="A2" s="22">
        <v>48</v>
      </c>
      <c r="B2" s="20"/>
      <c r="C2" s="20"/>
      <c r="D2" s="20"/>
      <c r="E2" s="20"/>
      <c r="F2" s="20"/>
      <c r="G2" s="20"/>
      <c r="H2" s="20"/>
      <c r="I2" s="21"/>
      <c r="J2" s="20"/>
      <c r="K2" s="20"/>
    </row>
    <row r="3" spans="1:11" x14ac:dyDescent="0.25">
      <c r="A3" s="19" t="s">
        <v>60</v>
      </c>
      <c r="B3" s="20"/>
      <c r="C3" s="20"/>
      <c r="D3" s="20"/>
      <c r="E3" s="20"/>
      <c r="F3" s="20"/>
      <c r="G3" s="20"/>
      <c r="H3" s="20"/>
      <c r="I3" s="21"/>
      <c r="J3" s="20"/>
      <c r="K3" s="20"/>
    </row>
    <row r="4" spans="1:11" x14ac:dyDescent="0.25">
      <c r="A4" s="23">
        <v>192</v>
      </c>
      <c r="B4" s="20"/>
      <c r="C4" s="20"/>
      <c r="D4" s="20"/>
      <c r="E4" s="20"/>
      <c r="F4" s="20"/>
      <c r="G4" s="20"/>
      <c r="H4" s="20"/>
      <c r="I4" s="21"/>
      <c r="J4" s="20"/>
      <c r="K4" s="20"/>
    </row>
    <row r="5" spans="1:11" x14ac:dyDescent="0.25">
      <c r="A5" s="20"/>
      <c r="B5" s="20"/>
      <c r="C5" s="20"/>
      <c r="D5" s="79" t="s">
        <v>61</v>
      </c>
      <c r="E5" s="79"/>
      <c r="F5" s="79"/>
      <c r="G5" s="79"/>
      <c r="H5" s="79"/>
      <c r="I5" s="79"/>
      <c r="J5" s="79"/>
      <c r="K5" s="79"/>
    </row>
    <row r="6" spans="1:11" x14ac:dyDescent="0.25">
      <c r="A6" s="19" t="s">
        <v>62</v>
      </c>
      <c r="B6" s="24" t="s">
        <v>63</v>
      </c>
      <c r="C6" s="25" t="s">
        <v>64</v>
      </c>
      <c r="D6" s="24" t="s">
        <v>65</v>
      </c>
      <c r="E6" s="24" t="s">
        <v>66</v>
      </c>
      <c r="F6" s="24" t="s">
        <v>67</v>
      </c>
      <c r="G6" s="19" t="s">
        <v>68</v>
      </c>
      <c r="H6" s="24" t="s">
        <v>69</v>
      </c>
      <c r="I6" s="19" t="s">
        <v>70</v>
      </c>
      <c r="J6" s="19" t="s">
        <v>71</v>
      </c>
      <c r="K6" s="19" t="s">
        <v>72</v>
      </c>
    </row>
    <row r="7" spans="1:11" x14ac:dyDescent="0.25">
      <c r="A7" s="23" t="s">
        <v>73</v>
      </c>
      <c r="B7" s="23">
        <v>560</v>
      </c>
      <c r="C7" s="26">
        <f>+B7/$B$10</f>
        <v>0.36963696369636961</v>
      </c>
      <c r="D7" s="23">
        <v>160000</v>
      </c>
      <c r="E7" s="23">
        <f>+D7*K7</f>
        <v>187884436.1602982</v>
      </c>
      <c r="F7" s="27">
        <v>42.92</v>
      </c>
      <c r="G7" s="23">
        <v>70</v>
      </c>
      <c r="H7" s="27">
        <f>+G7/$A$2</f>
        <v>1.4583333333333333</v>
      </c>
      <c r="I7" s="23">
        <f>G7*60/F7</f>
        <v>97.856477166821989</v>
      </c>
      <c r="J7" s="28">
        <f>+I7/$I$10</f>
        <v>0.36733846079356414</v>
      </c>
      <c r="K7" s="23">
        <f>+I7*12</f>
        <v>1174.2777260018638</v>
      </c>
    </row>
    <row r="8" spans="1:11" x14ac:dyDescent="0.25">
      <c r="A8" s="23" t="s">
        <v>74</v>
      </c>
      <c r="B8" s="23">
        <v>425</v>
      </c>
      <c r="C8" s="26">
        <f>+B8/$B$10</f>
        <v>0.28052805280528054</v>
      </c>
      <c r="D8" s="23">
        <v>95000</v>
      </c>
      <c r="E8" s="23">
        <f>+D8*K8</f>
        <v>85534489.713594183</v>
      </c>
      <c r="F8" s="27">
        <v>49.58</v>
      </c>
      <c r="G8" s="23">
        <v>62</v>
      </c>
      <c r="H8" s="27">
        <f>+G8/$A$2</f>
        <v>1.2916666666666667</v>
      </c>
      <c r="I8" s="23">
        <f t="shared" ref="I8:I9" si="0">G8*60/F8</f>
        <v>75.030254134731749</v>
      </c>
      <c r="J8" s="28">
        <f t="shared" ref="J8:J9" si="1">+I8/$I$10</f>
        <v>0.28165226119694176</v>
      </c>
      <c r="K8" s="23">
        <f>+I8*12</f>
        <v>900.36304961678093</v>
      </c>
    </row>
    <row r="9" spans="1:11" x14ac:dyDescent="0.25">
      <c r="A9" s="23" t="s">
        <v>75</v>
      </c>
      <c r="B9" s="23">
        <v>530</v>
      </c>
      <c r="C9" s="26">
        <f>+B9/$B$10</f>
        <v>0.34983498349834985</v>
      </c>
      <c r="D9" s="23">
        <v>95000</v>
      </c>
      <c r="E9" s="23">
        <f>+D9*K9</f>
        <v>106597402.59740262</v>
      </c>
      <c r="F9" s="27">
        <v>38.5</v>
      </c>
      <c r="G9" s="23">
        <v>60</v>
      </c>
      <c r="H9" s="27">
        <f>+G9/$A$2</f>
        <v>1.25</v>
      </c>
      <c r="I9" s="23">
        <f t="shared" si="0"/>
        <v>93.506493506493513</v>
      </c>
      <c r="J9" s="28">
        <f t="shared" si="1"/>
        <v>0.35100927800949411</v>
      </c>
      <c r="K9" s="23">
        <f>+I9*12</f>
        <v>1122.0779220779223</v>
      </c>
    </row>
    <row r="10" spans="1:11" x14ac:dyDescent="0.25">
      <c r="A10" s="23" t="s">
        <v>50</v>
      </c>
      <c r="B10" s="23">
        <f>SUM(B7:B9)</f>
        <v>1515</v>
      </c>
      <c r="C10" s="26">
        <f>SUM(C7:C9)</f>
        <v>1</v>
      </c>
      <c r="D10" s="23"/>
      <c r="E10" s="23">
        <f t="shared" ref="E10:K10" si="2">SUM(E7:E9)</f>
        <v>380016328.471295</v>
      </c>
      <c r="F10" s="23">
        <f t="shared" si="2"/>
        <v>131</v>
      </c>
      <c r="G10" s="23">
        <f t="shared" si="2"/>
        <v>192</v>
      </c>
      <c r="H10" s="23">
        <f t="shared" si="2"/>
        <v>4</v>
      </c>
      <c r="I10" s="23">
        <f t="shared" si="2"/>
        <v>266.39322480804725</v>
      </c>
      <c r="J10" s="23">
        <f t="shared" si="2"/>
        <v>1</v>
      </c>
      <c r="K10" s="23">
        <f t="shared" si="2"/>
        <v>3196.7186976965668</v>
      </c>
    </row>
    <row r="11" spans="1:11" x14ac:dyDescent="0.25">
      <c r="A11" s="20"/>
      <c r="B11" s="20"/>
      <c r="C11" s="20"/>
      <c r="D11" s="79" t="s">
        <v>76</v>
      </c>
      <c r="E11" s="79"/>
      <c r="F11" s="79"/>
      <c r="G11" s="79"/>
      <c r="H11" s="79"/>
      <c r="I11" s="79"/>
      <c r="J11" s="79"/>
      <c r="K11" s="79"/>
    </row>
    <row r="12" spans="1:11" x14ac:dyDescent="0.25">
      <c r="A12" s="20" t="s">
        <v>77</v>
      </c>
      <c r="B12" s="20"/>
      <c r="C12" s="20"/>
      <c r="D12" s="24" t="s">
        <v>65</v>
      </c>
      <c r="E12" s="24" t="s">
        <v>66</v>
      </c>
      <c r="F12" s="24" t="s">
        <v>67</v>
      </c>
      <c r="G12" s="19" t="s">
        <v>68</v>
      </c>
      <c r="H12" s="24" t="s">
        <v>69</v>
      </c>
      <c r="I12" s="19" t="s">
        <v>70</v>
      </c>
      <c r="J12" s="19" t="s">
        <v>71</v>
      </c>
      <c r="K12" s="19" t="s">
        <v>72</v>
      </c>
    </row>
    <row r="13" spans="1:11" x14ac:dyDescent="0.25">
      <c r="A13" s="20" t="s">
        <v>78</v>
      </c>
      <c r="B13" s="21"/>
      <c r="C13" s="20"/>
      <c r="D13" s="23">
        <v>160000</v>
      </c>
      <c r="E13" s="23">
        <f>+D13*K13</f>
        <v>249940828.40236682</v>
      </c>
      <c r="F13" s="27">
        <v>30.42</v>
      </c>
      <c r="G13" s="23">
        <v>66</v>
      </c>
      <c r="H13" s="27">
        <f>+G13/$A$2</f>
        <v>1.375</v>
      </c>
      <c r="I13" s="23">
        <f>G13*60/F13</f>
        <v>130.17751479289939</v>
      </c>
      <c r="J13" s="28">
        <f>+I13/$I$16</f>
        <v>0.3713584874341519</v>
      </c>
      <c r="K13" s="23">
        <f>+I13*12</f>
        <v>1562.1301775147926</v>
      </c>
    </row>
    <row r="14" spans="1:11" x14ac:dyDescent="0.25">
      <c r="A14" s="20" t="s">
        <v>79</v>
      </c>
      <c r="B14" s="21"/>
      <c r="C14" s="20"/>
      <c r="D14" s="23">
        <v>95000</v>
      </c>
      <c r="E14" s="23">
        <f>+D14*K14</f>
        <v>112662840.02994759</v>
      </c>
      <c r="F14" s="27">
        <v>40.07</v>
      </c>
      <c r="G14" s="23">
        <v>66</v>
      </c>
      <c r="H14" s="27">
        <f>+G14/$A$2</f>
        <v>1.375</v>
      </c>
      <c r="I14" s="23">
        <f t="shared" ref="I14:I15" si="3">G14*60/F14</f>
        <v>98.827052657848768</v>
      </c>
      <c r="J14" s="28">
        <f>+I14/$I$16</f>
        <v>0.2819247613612903</v>
      </c>
      <c r="K14" s="23">
        <f>+I14*12</f>
        <v>1185.9246318941853</v>
      </c>
    </row>
    <row r="15" spans="1:11" x14ac:dyDescent="0.25">
      <c r="A15" s="20"/>
      <c r="B15" s="21"/>
      <c r="C15" s="20"/>
      <c r="D15" s="23">
        <v>95000</v>
      </c>
      <c r="E15" s="23">
        <f>+D15*K15</f>
        <v>138555030.38487509</v>
      </c>
      <c r="F15" s="27">
        <v>29.62</v>
      </c>
      <c r="G15" s="23">
        <v>60</v>
      </c>
      <c r="H15" s="27">
        <f>+G15/$A$2</f>
        <v>1.25</v>
      </c>
      <c r="I15" s="23">
        <f t="shared" si="3"/>
        <v>121.53950033760972</v>
      </c>
      <c r="J15" s="28">
        <f>+I15/$I$16</f>
        <v>0.3467167512045578</v>
      </c>
      <c r="K15" s="23">
        <f>+I15*12</f>
        <v>1458.4740040513166</v>
      </c>
    </row>
    <row r="16" spans="1:11" x14ac:dyDescent="0.25">
      <c r="A16" s="20"/>
      <c r="B16" s="20"/>
      <c r="C16" s="20"/>
      <c r="D16" s="23"/>
      <c r="E16" s="23">
        <f t="shared" ref="E16:K16" si="4">SUM(E13:E15)</f>
        <v>501158698.81718946</v>
      </c>
      <c r="F16" s="23">
        <f t="shared" si="4"/>
        <v>100.11000000000001</v>
      </c>
      <c r="G16" s="23">
        <f t="shared" si="4"/>
        <v>192</v>
      </c>
      <c r="H16" s="23">
        <f t="shared" si="4"/>
        <v>4</v>
      </c>
      <c r="I16" s="23">
        <f t="shared" si="4"/>
        <v>350.54406778835789</v>
      </c>
      <c r="J16" s="23">
        <f t="shared" si="4"/>
        <v>1</v>
      </c>
      <c r="K16" s="23">
        <f t="shared" si="4"/>
        <v>4206.5288134602943</v>
      </c>
    </row>
  </sheetData>
  <mergeCells count="2">
    <mergeCell ref="D5:K5"/>
    <mergeCell ref="D11:K1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EVALUACIÓN ECONÓMICA 1</vt:lpstr>
      <vt:lpstr>EVALUACIÓN ECONÓMICA 2</vt:lpstr>
      <vt:lpstr>COSTOS AUTOMATI.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Barrera G.</dc:creator>
  <cp:lastModifiedBy>Wilder O. Bello</cp:lastModifiedBy>
  <cp:lastPrinted>2023-04-09T18:25:14Z</cp:lastPrinted>
  <dcterms:created xsi:type="dcterms:W3CDTF">2020-11-30T17:50:54Z</dcterms:created>
  <dcterms:modified xsi:type="dcterms:W3CDTF">2023-04-09T18:25:18Z</dcterms:modified>
</cp:coreProperties>
</file>