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a51ced1cafd74c/"/>
    </mc:Choice>
  </mc:AlternateContent>
  <xr:revisionPtr revIDLastSave="402" documentId="8_{F4E74273-E369-4978-B0D4-AF000D8A7341}" xr6:coauthVersionLast="46" xr6:coauthVersionMax="46" xr10:uidLastSave="{95657757-A52D-4523-8BFB-4855C24DE8CE}"/>
  <bookViews>
    <workbookView xWindow="-120" yWindow="-120" windowWidth="20730" windowHeight="11160" firstSheet="1" activeTab="6" xr2:uid="{8CD2D9D1-9E9F-45EE-B0A2-40D95C297E70}"/>
  </bookViews>
  <sheets>
    <sheet name="L.A Fitness Model" sheetId="4" r:id="rId1"/>
    <sheet name="Digital Method" sheetId="6" r:id="rId2"/>
    <sheet name="Blended Model" sheetId="10" r:id="rId3"/>
    <sheet name="Revenue" sheetId="1" r:id="rId4"/>
    <sheet name="Other Revenue" sheetId="5" r:id="rId5"/>
    <sheet name="Expenses" sheetId="2" r:id="rId6"/>
    <sheet name="Monthly Memb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0" l="1"/>
  <c r="E8" i="10"/>
  <c r="E9" i="10"/>
  <c r="E3" i="10"/>
  <c r="E4" i="10"/>
  <c r="E20" i="4"/>
  <c r="E19" i="4"/>
  <c r="O3" i="1"/>
  <c r="G16" i="6"/>
  <c r="G13" i="6"/>
  <c r="G12" i="6" s="1"/>
  <c r="D15" i="6"/>
  <c r="D14" i="6"/>
  <c r="D13" i="6"/>
  <c r="D12" i="6"/>
  <c r="D11" i="6"/>
  <c r="E18" i="10"/>
  <c r="E5" i="10"/>
  <c r="D23" i="2"/>
  <c r="D14" i="2"/>
  <c r="D13" i="2"/>
  <c r="D12" i="2"/>
  <c r="D11" i="2"/>
  <c r="D10" i="2"/>
  <c r="D9" i="2"/>
  <c r="D8" i="2"/>
  <c r="D7" i="2"/>
  <c r="D6" i="2"/>
  <c r="D5" i="2"/>
  <c r="G25" i="10"/>
  <c r="E12" i="10"/>
  <c r="G8" i="10"/>
  <c r="G6" i="10"/>
  <c r="C26" i="6"/>
  <c r="C24" i="6"/>
  <c r="G15" i="6" l="1"/>
  <c r="G14" i="6" s="1"/>
  <c r="G17" i="6" s="1"/>
  <c r="C23" i="6" s="1"/>
  <c r="E13" i="10"/>
  <c r="E19" i="10" s="1"/>
  <c r="E17" i="4"/>
  <c r="I15" i="4" s="1"/>
  <c r="I21" i="4" s="1"/>
  <c r="M8" i="8"/>
  <c r="G31" i="8"/>
  <c r="M6" i="8"/>
  <c r="M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7" i="8"/>
  <c r="D18" i="1"/>
  <c r="D25" i="1"/>
  <c r="D26" i="1"/>
  <c r="G30" i="5"/>
  <c r="F30" i="5"/>
  <c r="F7" i="5"/>
  <c r="G7" i="5" s="1"/>
  <c r="F10" i="5"/>
  <c r="G10" i="5" s="1"/>
  <c r="F14" i="5"/>
  <c r="G14" i="5" s="1"/>
  <c r="F18" i="5"/>
  <c r="G18" i="5" s="1"/>
  <c r="F19" i="5"/>
  <c r="G19" i="5" s="1"/>
  <c r="F20" i="5"/>
  <c r="G20" i="5" s="1"/>
  <c r="F24" i="5"/>
  <c r="G24" i="5" s="1"/>
  <c r="F28" i="5"/>
  <c r="G28" i="5" s="1"/>
  <c r="F6" i="5"/>
  <c r="G6" i="5" s="1"/>
  <c r="O11" i="5"/>
  <c r="O12" i="5"/>
  <c r="F8" i="5" s="1"/>
  <c r="G8" i="5" s="1"/>
  <c r="H11" i="5" s="1"/>
  <c r="O13" i="5"/>
  <c r="F9" i="5" s="1"/>
  <c r="G9" i="5" s="1"/>
  <c r="H12" i="5" s="1"/>
  <c r="O14" i="5"/>
  <c r="F22" i="5" s="1"/>
  <c r="G22" i="5" s="1"/>
  <c r="O15" i="5"/>
  <c r="F11" i="5" s="1"/>
  <c r="G11" i="5" s="1"/>
  <c r="O16" i="5"/>
  <c r="F12" i="5" s="1"/>
  <c r="G12" i="5" s="1"/>
  <c r="H15" i="5" s="1"/>
  <c r="O17" i="5"/>
  <c r="F13" i="5" s="1"/>
  <c r="G13" i="5" s="1"/>
  <c r="O18" i="5"/>
  <c r="F26" i="5" s="1"/>
  <c r="G26" i="5" s="1"/>
  <c r="O19" i="5"/>
  <c r="F15" i="5" s="1"/>
  <c r="G15" i="5" s="1"/>
  <c r="O20" i="5"/>
  <c r="F16" i="5" s="1"/>
  <c r="G16" i="5" s="1"/>
  <c r="H19" i="5" s="1"/>
  <c r="O21" i="5"/>
  <c r="F17" i="5" s="1"/>
  <c r="G17" i="5" s="1"/>
  <c r="H20" i="5" s="1"/>
  <c r="O10" i="5"/>
  <c r="D20" i="5"/>
  <c r="D21" i="5"/>
  <c r="D22" i="5"/>
  <c r="D23" i="5"/>
  <c r="D24" i="5"/>
  <c r="D25" i="5"/>
  <c r="D26" i="5"/>
  <c r="D27" i="5"/>
  <c r="D28" i="5"/>
  <c r="D29" i="5"/>
  <c r="D17" i="5"/>
  <c r="D19" i="5"/>
  <c r="D18" i="5"/>
  <c r="D16" i="5"/>
  <c r="D15" i="5"/>
  <c r="D14" i="5"/>
  <c r="D13" i="5"/>
  <c r="D12" i="5"/>
  <c r="D11" i="5"/>
  <c r="D10" i="5"/>
  <c r="D9" i="5"/>
  <c r="D8" i="5"/>
  <c r="D7" i="5"/>
  <c r="D6" i="5"/>
  <c r="H14" i="4" l="1"/>
  <c r="J14" i="4"/>
  <c r="J19" i="5"/>
  <c r="K19" i="5" s="1"/>
  <c r="L19" i="5" s="1"/>
  <c r="I19" i="5"/>
  <c r="J15" i="5"/>
  <c r="K15" i="5" s="1"/>
  <c r="L15" i="5" s="1"/>
  <c r="I15" i="5"/>
  <c r="H25" i="5"/>
  <c r="J11" i="5"/>
  <c r="K11" i="5" s="1"/>
  <c r="L11" i="5" s="1"/>
  <c r="I11" i="5"/>
  <c r="H9" i="5"/>
  <c r="H17" i="5"/>
  <c r="H10" i="5"/>
  <c r="I20" i="5"/>
  <c r="J20" i="5"/>
  <c r="K20" i="5" s="1"/>
  <c r="L20" i="5" s="1"/>
  <c r="H18" i="5"/>
  <c r="H16" i="5"/>
  <c r="H14" i="5"/>
  <c r="I12" i="5"/>
  <c r="J12" i="5"/>
  <c r="K12" i="5" s="1"/>
  <c r="L12" i="5" s="1"/>
  <c r="H21" i="5"/>
  <c r="H13" i="5"/>
  <c r="F29" i="5"/>
  <c r="G29" i="5" s="1"/>
  <c r="F27" i="5"/>
  <c r="G27" i="5" s="1"/>
  <c r="H29" i="5" s="1"/>
  <c r="F25" i="5"/>
  <c r="G25" i="5" s="1"/>
  <c r="H28" i="5" s="1"/>
  <c r="F23" i="5"/>
  <c r="G23" i="5" s="1"/>
  <c r="F21" i="5"/>
  <c r="G21" i="5" s="1"/>
  <c r="H24" i="5" s="1"/>
  <c r="J15" i="4"/>
  <c r="J21" i="4"/>
  <c r="J29" i="5" l="1"/>
  <c r="K29" i="5" s="1"/>
  <c r="L29" i="5" s="1"/>
  <c r="I29" i="5"/>
  <c r="I24" i="5"/>
  <c r="J24" i="5"/>
  <c r="K24" i="5" s="1"/>
  <c r="L24" i="5" s="1"/>
  <c r="I28" i="5"/>
  <c r="J28" i="5"/>
  <c r="K28" i="5" s="1"/>
  <c r="L28" i="5" s="1"/>
  <c r="J21" i="5"/>
  <c r="K21" i="5" s="1"/>
  <c r="L21" i="5" s="1"/>
  <c r="I21" i="5"/>
  <c r="I14" i="5"/>
  <c r="J14" i="5"/>
  <c r="K14" i="5" s="1"/>
  <c r="L14" i="5" s="1"/>
  <c r="I18" i="5"/>
  <c r="J18" i="5"/>
  <c r="K18" i="5" s="1"/>
  <c r="L18" i="5" s="1"/>
  <c r="J17" i="5"/>
  <c r="K17" i="5" s="1"/>
  <c r="L17" i="5" s="1"/>
  <c r="I17" i="5"/>
  <c r="H27" i="5"/>
  <c r="J25" i="5"/>
  <c r="K25" i="5" s="1"/>
  <c r="L25" i="5" s="1"/>
  <c r="I25" i="5"/>
  <c r="H26" i="5"/>
  <c r="J13" i="5"/>
  <c r="K13" i="5" s="1"/>
  <c r="L13" i="5" s="1"/>
  <c r="I13" i="5"/>
  <c r="H23" i="5"/>
  <c r="I16" i="5"/>
  <c r="J16" i="5"/>
  <c r="K16" i="5" s="1"/>
  <c r="L16" i="5" s="1"/>
  <c r="I10" i="5"/>
  <c r="J10" i="5"/>
  <c r="K10" i="5" s="1"/>
  <c r="H22" i="5"/>
  <c r="I9" i="5"/>
  <c r="J9" i="5"/>
  <c r="K9" i="5" s="1"/>
  <c r="L9" i="5" s="1"/>
  <c r="I22" i="5" l="1"/>
  <c r="J22" i="5"/>
  <c r="K22" i="5" s="1"/>
  <c r="L22" i="5" s="1"/>
  <c r="I26" i="5"/>
  <c r="J26" i="5"/>
  <c r="K26" i="5" s="1"/>
  <c r="L26" i="5" s="1"/>
  <c r="L10" i="5"/>
  <c r="J23" i="5"/>
  <c r="K23" i="5" s="1"/>
  <c r="L23" i="5" s="1"/>
  <c r="I23" i="5"/>
  <c r="J27" i="5"/>
  <c r="K27" i="5" s="1"/>
  <c r="L27" i="5" s="1"/>
  <c r="H30" i="5"/>
  <c r="I30" i="5" s="1"/>
  <c r="I27" i="5"/>
  <c r="O6" i="5" l="1"/>
  <c r="E15" i="4"/>
  <c r="O5" i="5"/>
  <c r="O4" i="5"/>
  <c r="J20" i="4" l="1"/>
  <c r="H20" i="4"/>
  <c r="I18" i="4" l="1"/>
  <c r="I14" i="4"/>
  <c r="F5" i="2"/>
  <c r="E5" i="2"/>
  <c r="G6" i="2" s="1"/>
  <c r="N17" i="1"/>
  <c r="F14" i="1" s="1"/>
  <c r="G14" i="1" s="1"/>
  <c r="N16" i="1"/>
  <c r="F13" i="1" s="1"/>
  <c r="G13" i="1" s="1"/>
  <c r="N15" i="1"/>
  <c r="F12" i="1" s="1"/>
  <c r="G12" i="1" s="1"/>
  <c r="N14" i="1"/>
  <c r="F11" i="1" s="1"/>
  <c r="G11" i="1" s="1"/>
  <c r="N13" i="1"/>
  <c r="F10" i="1" s="1"/>
  <c r="G10" i="1" s="1"/>
  <c r="N12" i="1"/>
  <c r="F9" i="1" s="1"/>
  <c r="G9" i="1" s="1"/>
  <c r="N11" i="1"/>
  <c r="F8" i="1" s="1"/>
  <c r="G8" i="1" s="1"/>
  <c r="N10" i="1"/>
  <c r="F7" i="1" s="1"/>
  <c r="G7" i="1" s="1"/>
  <c r="N9" i="1"/>
  <c r="F6" i="1" s="1"/>
  <c r="G6" i="1" s="1"/>
  <c r="N8" i="1"/>
  <c r="N7" i="1"/>
  <c r="F4" i="1" s="1"/>
  <c r="G4" i="1" s="1"/>
  <c r="N6" i="1"/>
  <c r="H6" i="2" l="1"/>
  <c r="I6" i="2" s="1"/>
  <c r="J6" i="2" s="1"/>
  <c r="E6" i="2"/>
  <c r="F6" i="2" s="1"/>
  <c r="H10" i="1"/>
  <c r="H12" i="1"/>
  <c r="H14" i="1"/>
  <c r="H9" i="1"/>
  <c r="J9" i="1" s="1"/>
  <c r="K9" i="1" s="1"/>
  <c r="L9" i="1" s="1"/>
  <c r="H11" i="1"/>
  <c r="H13" i="1"/>
  <c r="H15" i="1"/>
  <c r="J15" i="1" s="1"/>
  <c r="K15" i="1" s="1"/>
  <c r="L15" i="1" s="1"/>
  <c r="F5" i="1"/>
  <c r="G5" i="1" s="1"/>
  <c r="H8" i="1" s="1"/>
  <c r="F27" i="1"/>
  <c r="G27" i="1" s="1"/>
  <c r="G7" i="2"/>
  <c r="E7" i="2" s="1"/>
  <c r="F7" i="2" s="1"/>
  <c r="G8" i="2" s="1"/>
  <c r="I9" i="1"/>
  <c r="I11" i="1"/>
  <c r="I13" i="1"/>
  <c r="F26" i="1"/>
  <c r="G26" i="1" s="1"/>
  <c r="F24" i="1"/>
  <c r="G24" i="1" s="1"/>
  <c r="F22" i="1"/>
  <c r="G22" i="1" s="1"/>
  <c r="F20" i="1"/>
  <c r="G20" i="1" s="1"/>
  <c r="F18" i="1"/>
  <c r="G18" i="1" s="1"/>
  <c r="F16" i="1"/>
  <c r="G16" i="1" s="1"/>
  <c r="F3" i="1"/>
  <c r="G3" i="1" s="1"/>
  <c r="F25" i="1"/>
  <c r="G25" i="1" s="1"/>
  <c r="F23" i="1"/>
  <c r="G23" i="1" s="1"/>
  <c r="F21" i="1"/>
  <c r="G21" i="1" s="1"/>
  <c r="F19" i="1"/>
  <c r="G19" i="1" s="1"/>
  <c r="F17" i="1"/>
  <c r="G17" i="1" s="1"/>
  <c r="F15" i="1"/>
  <c r="G15" i="1" s="1"/>
  <c r="H7" i="2" l="1"/>
  <c r="I7" i="2" s="1"/>
  <c r="J7" i="2" s="1"/>
  <c r="H18" i="1"/>
  <c r="H22" i="1"/>
  <c r="H26" i="1"/>
  <c r="H6" i="1"/>
  <c r="J6" i="1" s="1"/>
  <c r="K6" i="1" s="1"/>
  <c r="H21" i="1"/>
  <c r="H25" i="1"/>
  <c r="H7" i="1"/>
  <c r="J7" i="1" s="1"/>
  <c r="K7" i="1" s="1"/>
  <c r="L7" i="1" s="1"/>
  <c r="H20" i="1"/>
  <c r="H24" i="1"/>
  <c r="J24" i="1" s="1"/>
  <c r="K24" i="1" s="1"/>
  <c r="L24" i="1" s="1"/>
  <c r="H19" i="1"/>
  <c r="H23" i="1"/>
  <c r="H27" i="1"/>
  <c r="H17" i="1"/>
  <c r="H16" i="1"/>
  <c r="I16" i="1" s="1"/>
  <c r="E8" i="2"/>
  <c r="H8" i="2"/>
  <c r="I8" i="2" s="1"/>
  <c r="J8" i="2" s="1"/>
  <c r="J11" i="1"/>
  <c r="K11" i="1" s="1"/>
  <c r="L11" i="1" s="1"/>
  <c r="J13" i="1"/>
  <c r="K13" i="1" s="1"/>
  <c r="L13" i="1" s="1"/>
  <c r="I15" i="1"/>
  <c r="J20" i="1"/>
  <c r="K20" i="1" s="1"/>
  <c r="L20" i="1" s="1"/>
  <c r="J16" i="1"/>
  <c r="K16" i="1" s="1"/>
  <c r="L16" i="1" s="1"/>
  <c r="I12" i="1"/>
  <c r="J12" i="1"/>
  <c r="K12" i="1" s="1"/>
  <c r="L12" i="1" s="1"/>
  <c r="I8" i="1"/>
  <c r="J8" i="1"/>
  <c r="K8" i="1" s="1"/>
  <c r="L8" i="1" s="1"/>
  <c r="I14" i="1"/>
  <c r="J14" i="1"/>
  <c r="K14" i="1" s="1"/>
  <c r="L14" i="1" s="1"/>
  <c r="I10" i="1"/>
  <c r="J10" i="1"/>
  <c r="K10" i="1" s="1"/>
  <c r="L10" i="1" s="1"/>
  <c r="I7" i="1" l="1"/>
  <c r="I6" i="1"/>
  <c r="I24" i="1"/>
  <c r="F8" i="2"/>
  <c r="G9" i="2" s="1"/>
  <c r="I20" i="1"/>
  <c r="I27" i="1"/>
  <c r="J17" i="1"/>
  <c r="K17" i="1" s="1"/>
  <c r="L17" i="1" s="1"/>
  <c r="I17" i="1"/>
  <c r="J21" i="1"/>
  <c r="K21" i="1" s="1"/>
  <c r="L21" i="1" s="1"/>
  <c r="I21" i="1"/>
  <c r="L6" i="1"/>
  <c r="I22" i="1"/>
  <c r="J22" i="1"/>
  <c r="K22" i="1" s="1"/>
  <c r="L22" i="1" s="1"/>
  <c r="J23" i="1"/>
  <c r="K23" i="1" s="1"/>
  <c r="L23" i="1" s="1"/>
  <c r="I23" i="1"/>
  <c r="J25" i="1"/>
  <c r="K25" i="1" s="1"/>
  <c r="L25" i="1" s="1"/>
  <c r="I25" i="1"/>
  <c r="I26" i="1"/>
  <c r="J26" i="1"/>
  <c r="K26" i="1" s="1"/>
  <c r="L26" i="1" s="1"/>
  <c r="I18" i="1"/>
  <c r="J18" i="1"/>
  <c r="K18" i="1" s="1"/>
  <c r="L18" i="1" s="1"/>
  <c r="J19" i="1"/>
  <c r="K19" i="1" s="1"/>
  <c r="L19" i="1" s="1"/>
  <c r="I19" i="1"/>
  <c r="E14" i="4" l="1"/>
  <c r="E7" i="10" s="1"/>
  <c r="E17" i="10" s="1"/>
  <c r="E9" i="2"/>
  <c r="H9" i="2"/>
  <c r="I9" i="2" s="1"/>
  <c r="O2" i="1"/>
  <c r="O1" i="1"/>
  <c r="E18" i="4" l="1"/>
  <c r="E16" i="10"/>
  <c r="H19" i="4"/>
  <c r="H18" i="4" s="1"/>
  <c r="J19" i="4"/>
  <c r="J18" i="4" s="1"/>
  <c r="J9" i="2"/>
  <c r="F9" i="2"/>
  <c r="G10" i="2" s="1"/>
  <c r="E10" i="2" l="1"/>
  <c r="H10" i="2"/>
  <c r="I10" i="2" s="1"/>
  <c r="J10" i="2" l="1"/>
  <c r="F10" i="2"/>
  <c r="G11" i="2" s="1"/>
  <c r="E11" i="2" l="1"/>
  <c r="H11" i="2"/>
  <c r="I11" i="2" s="1"/>
  <c r="J11" i="2" l="1"/>
  <c r="F11" i="2"/>
  <c r="G12" i="2" s="1"/>
  <c r="E12" i="2" l="1"/>
  <c r="H12" i="2"/>
  <c r="I12" i="2" s="1"/>
  <c r="F12" i="2" l="1"/>
  <c r="G13" i="2" s="1"/>
  <c r="J12" i="2"/>
  <c r="E13" i="2" l="1"/>
  <c r="H13" i="2"/>
  <c r="I13" i="2" s="1"/>
  <c r="J13" i="2" s="1"/>
  <c r="F13" i="2" l="1"/>
  <c r="G14" i="2" s="1"/>
  <c r="E14" i="2" l="1"/>
  <c r="F14" i="2" s="1"/>
  <c r="G15" i="2" s="1"/>
  <c r="H14" i="2"/>
  <c r="I14" i="2" s="1"/>
  <c r="J14" i="2" s="1"/>
  <c r="E15" i="2" l="1"/>
  <c r="F15" i="2" s="1"/>
  <c r="G16" i="2" s="1"/>
  <c r="H15" i="2"/>
  <c r="I15" i="2" s="1"/>
  <c r="J15" i="2" s="1"/>
  <c r="E16" i="2" l="1"/>
  <c r="F16" i="2" s="1"/>
  <c r="G17" i="2" s="1"/>
  <c r="H16" i="2"/>
  <c r="I16" i="2" s="1"/>
  <c r="J16" i="2" s="1"/>
  <c r="E17" i="2" l="1"/>
  <c r="F17" i="2" s="1"/>
  <c r="G18" i="2" s="1"/>
  <c r="H17" i="2"/>
  <c r="I17" i="2" s="1"/>
  <c r="J17" i="2" s="1"/>
  <c r="E18" i="2" l="1"/>
  <c r="F18" i="2" s="1"/>
  <c r="G19" i="2" s="1"/>
  <c r="H18" i="2"/>
  <c r="I18" i="2" s="1"/>
  <c r="J18" i="2" s="1"/>
  <c r="H19" i="2" l="1"/>
  <c r="I19" i="2" s="1"/>
  <c r="J19" i="2" s="1"/>
  <c r="E19" i="2"/>
  <c r="F19" i="2" s="1"/>
  <c r="G20" i="2" s="1"/>
  <c r="E20" i="2" l="1"/>
  <c r="F20" i="2" s="1"/>
  <c r="G21" i="2" s="1"/>
  <c r="H20" i="2"/>
  <c r="I20" i="2" s="1"/>
  <c r="J20" i="2" s="1"/>
  <c r="E21" i="2" l="1"/>
  <c r="F21" i="2" s="1"/>
  <c r="G22" i="2" s="1"/>
  <c r="H21" i="2"/>
  <c r="I21" i="2" s="1"/>
  <c r="J21" i="2" s="1"/>
  <c r="E22" i="2" l="1"/>
  <c r="F22" i="2" s="1"/>
  <c r="G23" i="2" s="1"/>
  <c r="H22" i="2"/>
  <c r="I22" i="2" s="1"/>
  <c r="J22" i="2" s="1"/>
  <c r="E23" i="2" l="1"/>
  <c r="F23" i="2" s="1"/>
  <c r="G24" i="2" s="1"/>
  <c r="H23" i="2"/>
  <c r="I23" i="2" s="1"/>
  <c r="J23" i="2" s="1"/>
  <c r="E24" i="2" l="1"/>
  <c r="H24" i="2"/>
  <c r="I24" i="2" s="1"/>
  <c r="J24" i="2" s="1"/>
  <c r="F24" i="2" l="1"/>
  <c r="G25" i="2" s="1"/>
  <c r="E25" i="2" l="1"/>
  <c r="H25" i="2"/>
  <c r="I25" i="2" s="1"/>
  <c r="J25" i="2" s="1"/>
  <c r="F25" i="2" l="1"/>
  <c r="G26" i="2" s="1"/>
  <c r="E26" i="2" l="1"/>
  <c r="H26" i="2"/>
  <c r="I26" i="2" s="1"/>
  <c r="J26" i="2" s="1"/>
  <c r="F26" i="2" l="1"/>
  <c r="G27" i="2" s="1"/>
  <c r="E27" i="2" l="1"/>
  <c r="H27" i="2"/>
  <c r="I27" i="2" s="1"/>
  <c r="J27" i="2" s="1"/>
  <c r="F27" i="2" l="1"/>
  <c r="G28" i="2" s="1"/>
  <c r="E28" i="2" l="1"/>
  <c r="H28" i="2"/>
  <c r="I28" i="2" s="1"/>
  <c r="F28" i="2" l="1"/>
  <c r="G29" i="2" s="1"/>
  <c r="J28" i="2"/>
  <c r="P4" i="2" s="1"/>
  <c r="P3" i="2"/>
  <c r="P5" i="2" l="1"/>
  <c r="E13" i="4"/>
  <c r="I23" i="4" l="1"/>
  <c r="I25" i="4" s="1"/>
  <c r="J23" i="4"/>
  <c r="H23" i="4"/>
  <c r="H25" i="4" s="1"/>
  <c r="E21" i="10" l="1"/>
  <c r="E23" i="10" s="1"/>
  <c r="G31" i="10" s="1"/>
  <c r="J25" i="4"/>
  <c r="G5" i="10" l="1"/>
</calcChain>
</file>

<file path=xl/sharedStrings.xml><?xml version="1.0" encoding="utf-8"?>
<sst xmlns="http://schemas.openxmlformats.org/spreadsheetml/2006/main" count="275" uniqueCount="105">
  <si>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</si>
  <si>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</si>
  <si>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</si>
  <si>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</si>
  <si>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</si>
  <si>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</si>
  <si>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</si>
  <si>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</si>
  <si>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</si>
  <si>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</si>
  <si>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</si>
  <si>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</si>
  <si>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</si>
  <si>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</si>
  <si>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</si>
  <si>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</si>
  <si>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</si>
  <si>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Period</t>
  </si>
  <si>
    <t>Monthly Revenue</t>
  </si>
  <si>
    <t>Seasonality Factor</t>
  </si>
  <si>
    <t>Forecast</t>
  </si>
  <si>
    <t>Reseasonalized Forecast</t>
  </si>
  <si>
    <t>Error</t>
  </si>
  <si>
    <t>Absolute Error</t>
  </si>
  <si>
    <t>Absolute Percent Error</t>
  </si>
  <si>
    <t>Seasonality</t>
  </si>
  <si>
    <t>Deseasonality</t>
  </si>
  <si>
    <t>MAD</t>
  </si>
  <si>
    <t>MAPE</t>
  </si>
  <si>
    <t>ForecastPeriod 25</t>
  </si>
  <si>
    <t>Other Revenue</t>
  </si>
  <si>
    <t>Expenses</t>
  </si>
  <si>
    <t>Quarter</t>
  </si>
  <si>
    <t>Quarterly Expenses</t>
  </si>
  <si>
    <t>Level</t>
  </si>
  <si>
    <t>Trend</t>
  </si>
  <si>
    <t>Monthly Active Users</t>
  </si>
  <si>
    <t>Subscribers</t>
  </si>
  <si>
    <t>Revenue</t>
  </si>
  <si>
    <t>Revenue from subscription</t>
  </si>
  <si>
    <t>Net Income</t>
  </si>
  <si>
    <t>Digital Model</t>
  </si>
  <si>
    <t>Revenue from Digital</t>
  </si>
  <si>
    <t>Active Members</t>
  </si>
  <si>
    <t>Demand</t>
  </si>
  <si>
    <t>Absolute Error Percentage</t>
  </si>
  <si>
    <t>Projected Forecast Period 25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</si>
  <si>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</si>
  <si>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</si>
  <si>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</si>
  <si>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</si>
  <si>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</si>
  <si>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</si>
  <si>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</si>
  <si>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</si>
  <si>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</si>
  <si>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</si>
  <si>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</si>
  <si>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</si>
  <si>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</si>
  <si>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</si>
  <si>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</si>
  <si>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</si>
  <si>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</si>
  <si>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</si>
  <si>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</si>
  <si>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</si>
  <si>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</si>
  <si>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</si>
  <si>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</si>
  <si>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</si>
  <si>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Membership Revenue </t>
  </si>
  <si>
    <t>Digital Only Model</t>
  </si>
  <si>
    <t>Membership Revenue</t>
  </si>
  <si>
    <t>Traditional Model</t>
  </si>
  <si>
    <t>Blended Model</t>
  </si>
  <si>
    <t>Average Revenue Per Customer</t>
  </si>
  <si>
    <t>Members</t>
  </si>
  <si>
    <t>Revenue from Digital Subscription</t>
  </si>
  <si>
    <t>Digital Subscription Rate</t>
  </si>
  <si>
    <t>Digital Subscription Fee</t>
  </si>
  <si>
    <t>Monthly Members</t>
  </si>
  <si>
    <t>Digital Subsription Fee</t>
  </si>
  <si>
    <t>Digital Subsription Rate</t>
  </si>
  <si>
    <t>Regression Forecast</t>
  </si>
  <si>
    <t>Exponential Smoothing With Trend</t>
  </si>
  <si>
    <t>Alpha</t>
  </si>
  <si>
    <t>Beta</t>
  </si>
  <si>
    <t>Moving Average With Seasonality</t>
  </si>
  <si>
    <t>Digital Subscribers</t>
  </si>
  <si>
    <t>Monthly members</t>
  </si>
  <si>
    <t>Input Cells</t>
  </si>
  <si>
    <t>Model</t>
  </si>
  <si>
    <t>* Expenses Worksheet cell G29</t>
  </si>
  <si>
    <t>** Revenue Worksheet cell O3</t>
  </si>
  <si>
    <t>*** Other Revenue Worksheet cell  O6</t>
  </si>
  <si>
    <t>Forecasted Monthly Members****</t>
  </si>
  <si>
    <t>**** Monthly Member Worksheet cell M8</t>
  </si>
  <si>
    <t>Forecasted Monthly Members Period 25****</t>
  </si>
  <si>
    <t>Net Loss</t>
  </si>
  <si>
    <t>Forecasted Average Revenue Per Member*****</t>
  </si>
  <si>
    <t>Forecasted Expenses January  Period 25*</t>
  </si>
  <si>
    <t>Forecasted Membership Revenue January  Period 25**</t>
  </si>
  <si>
    <t>Forecasted  Other Revenue January Period 25***</t>
  </si>
  <si>
    <t xml:space="preserve">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</si>
</sst>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00"/>
    <numFmt numFmtId="165" formatCode="_(&quot;$&quot;* #,##0_);_(&quot;$&quot;* \(#,##0\);_(&quot;$&quot;* &quot;-&quot;??_);_(@_)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5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7" fillId="0" borderId="0" xfId="0" applyFont="1"/>
    <xf numFmtId="0" fontId="7" fillId="6" borderId="4" xfId="10" applyFont="1" applyFill="1" applyBorder="1" applyAlignment="1">
      <alignment wrapText="1"/>
    </xf>
    <xf numFmtId="0" fontId="7" fillId="6" borderId="0" xfId="10" applyFont="1" applyFill="1" applyAlignment="1">
      <alignment wrapText="1"/>
    </xf>
    <xf numFmtId="2" fontId="7" fillId="6" borderId="0" xfId="10" applyNumberFormat="1" applyFont="1" applyFill="1" applyAlignment="1">
      <alignment wrapText="1"/>
    </xf>
    <xf numFmtId="165" fontId="0" fillId="0" borderId="0" xfId="0" applyNumberFormat="1"/>
    <xf numFmtId="9" fontId="0" fillId="0" borderId="0" xfId="2" applyFont="1"/>
    <xf numFmtId="0" fontId="7" fillId="6" borderId="5" xfId="10" applyFont="1" applyFill="1" applyBorder="1"/>
    <xf numFmtId="2" fontId="7" fillId="6" borderId="7" xfId="10" applyNumberFormat="1" applyFont="1" applyFill="1" applyBorder="1"/>
    <xf numFmtId="0" fontId="7" fillId="6" borderId="9" xfId="10" applyFont="1" applyFill="1" applyBorder="1"/>
    <xf numFmtId="44" fontId="0" fillId="0" borderId="0" xfId="1" applyFont="1"/>
    <xf numFmtId="165" fontId="0" fillId="0" borderId="0" xfId="1" applyNumberFormat="1" applyFont="1"/>
    <xf numFmtId="0" fontId="5" fillId="2" borderId="6" xfId="6" applyBorder="1"/>
    <xf numFmtId="0" fontId="5" fillId="2" borderId="11" xfId="6" applyBorder="1"/>
    <xf numFmtId="0" fontId="6" fillId="3" borderId="12" xfId="7" applyBorder="1"/>
    <xf numFmtId="9" fontId="6" fillId="3" borderId="13" xfId="7" applyNumberFormat="1" applyBorder="1"/>
    <xf numFmtId="44" fontId="6" fillId="3" borderId="14" xfId="7" applyNumberFormat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10" fillId="0" borderId="17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Continuous"/>
    </xf>
    <xf numFmtId="165" fontId="7" fillId="6" borderId="4" xfId="1" applyNumberFormat="1" applyFont="1" applyFill="1" applyBorder="1" applyAlignment="1">
      <alignment wrapText="1"/>
    </xf>
    <xf numFmtId="44" fontId="5" fillId="2" borderId="18" xfId="6" applyNumberFormat="1" applyBorder="1"/>
    <xf numFmtId="44" fontId="5" fillId="2" borderId="19" xfId="6" applyNumberFormat="1" applyBorder="1"/>
    <xf numFmtId="166" fontId="5" fillId="2" borderId="19" xfId="6" applyNumberFormat="1" applyBorder="1"/>
    <xf numFmtId="0" fontId="5" fillId="2" borderId="19" xfId="6" applyNumberFormat="1" applyBorder="1"/>
    <xf numFmtId="44" fontId="5" fillId="2" borderId="11" xfId="6" applyNumberFormat="1" applyBorder="1"/>
    <xf numFmtId="44" fontId="7" fillId="0" borderId="0" xfId="1" applyFont="1"/>
    <xf numFmtId="0" fontId="7" fillId="6" borderId="20" xfId="10" applyFont="1" applyFill="1" applyBorder="1" applyAlignment="1">
      <alignment wrapText="1"/>
    </xf>
    <xf numFmtId="0" fontId="7" fillId="6" borderId="21" xfId="10" applyFont="1" applyFill="1" applyBorder="1" applyAlignment="1">
      <alignment wrapText="1"/>
    </xf>
    <xf numFmtId="0" fontId="7" fillId="6" borderId="15" xfId="10" applyFont="1" applyFill="1" applyBorder="1" applyAlignment="1">
      <alignment wrapText="1"/>
    </xf>
    <xf numFmtId="2" fontId="7" fillId="6" borderId="15" xfId="10" applyNumberFormat="1" applyFont="1" applyFill="1" applyBorder="1" applyAlignment="1">
      <alignment wrapText="1"/>
    </xf>
    <xf numFmtId="9" fontId="7" fillId="6" borderId="6" xfId="11" applyFont="1" applyFill="1" applyBorder="1" applyAlignment="1">
      <alignment wrapText="1"/>
    </xf>
    <xf numFmtId="9" fontId="7" fillId="6" borderId="0" xfId="11" applyFont="1" applyFill="1" applyAlignment="1">
      <alignment wrapText="1"/>
    </xf>
    <xf numFmtId="0" fontId="7" fillId="6" borderId="22" xfId="10" applyFont="1" applyFill="1" applyBorder="1" applyAlignment="1">
      <alignment wrapText="1"/>
    </xf>
    <xf numFmtId="0" fontId="7" fillId="6" borderId="23" xfId="10" applyFont="1" applyFill="1" applyBorder="1" applyAlignment="1">
      <alignment wrapText="1"/>
    </xf>
    <xf numFmtId="0" fontId="2" fillId="0" borderId="0" xfId="3"/>
    <xf numFmtId="0" fontId="3" fillId="0" borderId="1" xfId="4"/>
    <xf numFmtId="0" fontId="3" fillId="0" borderId="1" xfId="4" applyFill="1"/>
    <xf numFmtId="0" fontId="4" fillId="0" borderId="0" xfId="5"/>
    <xf numFmtId="0" fontId="0" fillId="8" borderId="24" xfId="0" applyFill="1" applyBorder="1"/>
    <xf numFmtId="165" fontId="0" fillId="8" borderId="24" xfId="1" applyNumberFormat="1" applyFont="1" applyFill="1" applyBorder="1"/>
    <xf numFmtId="165" fontId="0" fillId="8" borderId="24" xfId="0" applyNumberFormat="1" applyFill="1" applyBorder="1"/>
    <xf numFmtId="9" fontId="0" fillId="8" borderId="24" xfId="2" applyFont="1" applyFill="1" applyBorder="1"/>
    <xf numFmtId="44" fontId="0" fillId="8" borderId="24" xfId="0" applyNumberFormat="1" applyFill="1" applyBorder="1"/>
    <xf numFmtId="0" fontId="0" fillId="8" borderId="24" xfId="0" applyNumberFormat="1" applyFill="1" applyBorder="1"/>
    <xf numFmtId="2" fontId="7" fillId="6" borderId="24" xfId="10" applyNumberFormat="1" applyFont="1" applyFill="1" applyBorder="1" applyAlignment="1">
      <alignment wrapText="1"/>
    </xf>
    <xf numFmtId="0" fontId="0" fillId="0" borderId="24" xfId="0" applyBorder="1"/>
    <xf numFmtId="0" fontId="7" fillId="6" borderId="24" xfId="10" applyFont="1" applyFill="1" applyBorder="1" applyAlignment="1">
      <alignment wrapText="1"/>
    </xf>
    <xf numFmtId="0" fontId="6" fillId="3" borderId="24" xfId="7" applyBorder="1"/>
    <xf numFmtId="9" fontId="6" fillId="3" borderId="24" xfId="7" applyNumberFormat="1" applyBorder="1"/>
    <xf numFmtId="44" fontId="6" fillId="3" borderId="24" xfId="7" applyNumberFormat="1" applyBorder="1"/>
    <xf numFmtId="165" fontId="2" fillId="0" borderId="0" xfId="3" applyNumberFormat="1"/>
    <xf numFmtId="0" fontId="1" fillId="5" borderId="7" xfId="9" applyBorder="1"/>
    <xf numFmtId="0" fontId="1" fillId="5" borderId="9" xfId="9" applyBorder="1"/>
    <xf numFmtId="0" fontId="0" fillId="5" borderId="5" xfId="9" applyFont="1" applyBorder="1"/>
    <xf numFmtId="0" fontId="0" fillId="5" borderId="7" xfId="9" applyFont="1" applyBorder="1"/>
    <xf numFmtId="0" fontId="0" fillId="8" borderId="25" xfId="0" applyFill="1" applyBorder="1"/>
    <xf numFmtId="0" fontId="0" fillId="8" borderId="24" xfId="0" applyFill="1" applyBorder="1" applyAlignment="1">
      <alignment horizontal="center" vertical="center"/>
    </xf>
    <xf numFmtId="9" fontId="0" fillId="8" borderId="26" xfId="2" applyFont="1" applyFill="1" applyBorder="1"/>
    <xf numFmtId="0" fontId="0" fillId="8" borderId="27" xfId="0" applyFill="1" applyBorder="1"/>
    <xf numFmtId="164" fontId="0" fillId="8" borderId="28" xfId="0" applyNumberFormat="1" applyFill="1" applyBorder="1"/>
    <xf numFmtId="0" fontId="0" fillId="8" borderId="29" xfId="0" applyFill="1" applyBorder="1"/>
    <xf numFmtId="164" fontId="0" fillId="8" borderId="30" xfId="0" applyNumberFormat="1" applyFill="1" applyBorder="1"/>
    <xf numFmtId="0" fontId="0" fillId="8" borderId="31" xfId="0" applyFill="1" applyBorder="1"/>
    <xf numFmtId="164" fontId="0" fillId="8" borderId="32" xfId="0" applyNumberFormat="1" applyFill="1" applyBorder="1"/>
    <xf numFmtId="44" fontId="12" fillId="7" borderId="6" xfId="1" applyFont="1" applyFill="1" applyBorder="1"/>
    <xf numFmtId="9" fontId="12" fillId="7" borderId="8" xfId="10" applyNumberFormat="1" applyFont="1" applyFill="1" applyBorder="1"/>
    <xf numFmtId="44" fontId="12" fillId="7" borderId="10" xfId="1" applyFont="1" applyFill="1" applyBorder="1"/>
    <xf numFmtId="0" fontId="6" fillId="3" borderId="24" xfId="7" applyFont="1" applyBorder="1"/>
    <xf numFmtId="9" fontId="6" fillId="3" borderId="24" xfId="7" applyNumberFormat="1" applyFont="1" applyBorder="1"/>
    <xf numFmtId="1" fontId="6" fillId="3" borderId="24" xfId="7" applyNumberFormat="1" applyFont="1" applyBorder="1"/>
    <xf numFmtId="0" fontId="13" fillId="8" borderId="24" xfId="0" applyFont="1" applyFill="1" applyBorder="1"/>
    <xf numFmtId="9" fontId="13" fillId="8" borderId="24" xfId="2" applyFont="1" applyFill="1" applyBorder="1"/>
    <xf numFmtId="2" fontId="13" fillId="8" borderId="24" xfId="0" applyNumberFormat="1" applyFont="1" applyFill="1" applyBorder="1"/>
    <xf numFmtId="166" fontId="1" fillId="5" borderId="8" xfId="9" applyNumberFormat="1" applyBorder="1"/>
    <xf numFmtId="0" fontId="1" fillId="5" borderId="7" xfId="9" applyBorder="1" applyAlignment="1">
      <alignment horizontal="left" indent="1"/>
    </xf>
    <xf numFmtId="0" fontId="1" fillId="5" borderId="8" xfId="9" applyBorder="1"/>
    <xf numFmtId="165" fontId="1" fillId="5" borderId="8" xfId="9" applyNumberFormat="1" applyBorder="1"/>
    <xf numFmtId="0" fontId="1" fillId="5" borderId="9" xfId="9" applyBorder="1" applyAlignment="1"/>
    <xf numFmtId="165" fontId="6" fillId="3" borderId="3" xfId="7" applyNumberFormat="1"/>
    <xf numFmtId="0" fontId="8" fillId="4" borderId="5" xfId="8" applyBorder="1"/>
    <xf numFmtId="0" fontId="8" fillId="4" borderId="6" xfId="8" applyBorder="1"/>
    <xf numFmtId="0" fontId="7" fillId="0" borderId="24" xfId="0" applyFont="1" applyBorder="1"/>
    <xf numFmtId="44" fontId="0" fillId="0" borderId="24" xfId="1" applyFont="1" applyBorder="1"/>
    <xf numFmtId="44" fontId="6" fillId="3" borderId="3" xfId="7" applyNumberFormat="1"/>
    <xf numFmtId="44" fontId="8" fillId="4" borderId="15" xfId="8" applyNumberFormat="1" applyBorder="1"/>
    <xf numFmtId="0" fontId="8" fillId="4" borderId="15" xfId="8" applyBorder="1"/>
    <xf numFmtId="166" fontId="1" fillId="5" borderId="0" xfId="9" applyNumberFormat="1" applyBorder="1"/>
    <xf numFmtId="0" fontId="1" fillId="5" borderId="0" xfId="9" applyNumberFormat="1" applyBorder="1"/>
    <xf numFmtId="0" fontId="1" fillId="5" borderId="0" xfId="9" applyBorder="1"/>
    <xf numFmtId="44" fontId="1" fillId="5" borderId="0" xfId="9" applyNumberFormat="1" applyBorder="1"/>
    <xf numFmtId="165" fontId="1" fillId="5" borderId="0" xfId="9" applyNumberFormat="1" applyBorder="1"/>
    <xf numFmtId="0" fontId="0" fillId="0" borderId="0" xfId="10" applyFont="1"/>
    <xf numFmtId="44" fontId="0" fillId="0" borderId="0" xfId="10" applyNumberFormat="1" applyFont="1"/>
    <xf numFmtId="165" fontId="7" fillId="0" borderId="0" xfId="0" applyNumberFormat="1" applyFont="1" applyAlignment="1">
      <alignment horizontal="center"/>
    </xf>
    <xf numFmtId="0" fontId="0" fillId="8" borderId="24" xfId="0" applyFill="1" applyBorder="1" applyAlignment="1">
      <alignment horizontal="center" vertical="center"/>
    </xf>
    <xf numFmtId="0" fontId="3" fillId="0" borderId="7" xfId="4" applyBorder="1" applyAlignment="1">
      <alignment horizontal="left"/>
    </xf>
    <xf numFmtId="0" fontId="3" fillId="0" borderId="0" xfId="4" applyBorder="1" applyAlignment="1">
      <alignment horizontal="left"/>
    </xf>
    <xf numFmtId="0" fontId="11" fillId="0" borderId="7" xfId="4" applyFont="1" applyBorder="1" applyAlignment="1">
      <alignment horizontal="left"/>
    </xf>
    <xf numFmtId="0" fontId="11" fillId="0" borderId="0" xfId="4" applyFont="1" applyBorder="1" applyAlignment="1">
      <alignment horizontal="left"/>
    </xf>
    <xf numFmtId="0" fontId="13" fillId="8" borderId="24" xfId="0" applyFont="1" applyFill="1" applyBorder="1" applyAlignment="1">
      <alignment horizontal="center" vertical="center"/>
    </xf>
    <xf numFmtId="44" fontId="0" fillId="8" borderId="24" xfId="1" applyFont="1" applyFill="1" applyBorder="1"/>
    <xf numFmtId="164" fontId="0" fillId="8" borderId="24" xfId="0" applyNumberFormat="1" applyFill="1" applyBorder="1"/>
  </cellXfs>
  <cellStyles count="12">
    <cellStyle name="40% - Accent6" xfId="9" builtinId="51"/>
    <cellStyle name="Accent2" xfId="8" builtinId="33"/>
    <cellStyle name="Currency" xfId="1" builtinId="4"/>
    <cellStyle name="Heading 1" xfId="4" builtinId="16"/>
    <cellStyle name="Heading 4" xfId="5" builtinId="19"/>
    <cellStyle name="Input" xfId="6" builtinId="20"/>
    <cellStyle name="Normal" xfId="0" builtinId="0"/>
    <cellStyle name="Normal 2" xfId="10" xr:uid="{517FC5F5-2CF5-43DA-A26D-01BF5B80DCE2}"/>
    <cellStyle name="Output" xfId="7" builtinId="21"/>
    <cellStyle name="Percent" xfId="2" builtinId="5"/>
    <cellStyle name="Percent 2" xfId="11" xr:uid="{A2F1DF54-5DBF-4528-B572-9AD113A751A9}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 Membership Revenue vs Forecast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53958880139983"/>
          <c:y val="0.13831073199183436"/>
          <c:w val="0.79034930008748905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Revenue!$D$2</c:f>
              <c:strCache>
                <c:ptCount val="1"/>
                <c:pt idx="0">
                  <c:v>Monthly Revenue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Revenue!$C$3:$C$27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Revenue!$D$3:$D$26</c:f>
              <c:numCache>
                <c:formatCode>_("$"* #,##0_);_("$"* \(#,##0\);_("$"* "-"??_);_(@_)</c:formatCode>
                <c:ptCount val="24"/>
                <c:pt idx="0" formatCode="_(&quot;$&quot;* #,##0.00_);_(&quot;$&quot;* \(#,##0.00\);_(&quot;$&quot;* &quot;-&quot;??_);_(@_)">
                  <c:v>300000</c:v>
                </c:pt>
                <c:pt idx="1">
                  <c:v>290000</c:v>
                </c:pt>
                <c:pt idx="2">
                  <c:v>230000</c:v>
                </c:pt>
                <c:pt idx="3">
                  <c:v>280000</c:v>
                </c:pt>
                <c:pt idx="4">
                  <c:v>270000</c:v>
                </c:pt>
                <c:pt idx="5">
                  <c:v>210000</c:v>
                </c:pt>
                <c:pt idx="6">
                  <c:v>195000</c:v>
                </c:pt>
                <c:pt idx="7">
                  <c:v>205000</c:v>
                </c:pt>
                <c:pt idx="8">
                  <c:v>277000</c:v>
                </c:pt>
                <c:pt idx="9">
                  <c:v>265000</c:v>
                </c:pt>
                <c:pt idx="10">
                  <c:v>250000</c:v>
                </c:pt>
                <c:pt idx="11">
                  <c:v>270000</c:v>
                </c:pt>
                <c:pt idx="12">
                  <c:v>305000</c:v>
                </c:pt>
                <c:pt idx="13">
                  <c:v>284000</c:v>
                </c:pt>
                <c:pt idx="14">
                  <c:v>210000</c:v>
                </c:pt>
                <c:pt idx="15">
                  <c:v>267000</c:v>
                </c:pt>
                <c:pt idx="16">
                  <c:v>260000</c:v>
                </c:pt>
                <c:pt idx="17">
                  <c:v>195000</c:v>
                </c:pt>
                <c:pt idx="18">
                  <c:v>190000</c:v>
                </c:pt>
                <c:pt idx="19">
                  <c:v>196000</c:v>
                </c:pt>
                <c:pt idx="20">
                  <c:v>215000</c:v>
                </c:pt>
                <c:pt idx="21">
                  <c:v>277000</c:v>
                </c:pt>
                <c:pt idx="22">
                  <c:v>245000</c:v>
                </c:pt>
                <c:pt idx="23">
                  <c:v>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81-435C-BB6C-C8B3F3C2FE67}"/>
            </c:ext>
          </c:extLst>
        </c:ser>
        <c:ser>
          <c:idx val="1"/>
          <c:order val="1"/>
          <c:tx>
            <c:strRef>
              <c:f>Revenue!$I$2</c:f>
              <c:strCache>
                <c:ptCount val="1"/>
                <c:pt idx="0">
                  <c:v>Reseasonalized Forecast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Revenue!$C$3:$C$27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Revenue!$I$6:$I$27</c:f>
              <c:numCache>
                <c:formatCode>_("$"* #,##0.00_);_("$"* \(#,##0.00\);_("$"* "-"??_);_(@_)</c:formatCode>
                <c:ptCount val="22"/>
                <c:pt idx="0">
                  <c:v>277102.36554728763</c:v>
                </c:pt>
                <c:pt idx="1">
                  <c:v>272037.82613991294</c:v>
                </c:pt>
                <c:pt idx="2">
                  <c:v>208445.97147704149</c:v>
                </c:pt>
                <c:pt idx="3">
                  <c:v>197612.21979916288</c:v>
                </c:pt>
                <c:pt idx="4">
                  <c:v>205104.28029924887</c:v>
                </c:pt>
                <c:pt idx="5">
                  <c:v>251942.37110446588</c:v>
                </c:pt>
                <c:pt idx="6">
                  <c:v>285584.06042929488</c:v>
                </c:pt>
                <c:pt idx="7">
                  <c:v>257921.39414536292</c:v>
                </c:pt>
                <c:pt idx="8">
                  <c:v>259498.08740511647</c:v>
                </c:pt>
                <c:pt idx="9">
                  <c:v>311909.34685104416</c:v>
                </c:pt>
                <c:pt idx="10">
                  <c:v>295619.66329966328</c:v>
                </c:pt>
                <c:pt idx="11">
                  <c:v>225100.1161440186</c:v>
                </c:pt>
                <c:pt idx="12">
                  <c:v>268403.09893358679</c:v>
                </c:pt>
                <c:pt idx="13">
                  <c:v>257962.17386008709</c:v>
                </c:pt>
                <c:pt idx="14">
                  <c:v>196554.02852295854</c:v>
                </c:pt>
                <c:pt idx="15">
                  <c:v>187387.78020083712</c:v>
                </c:pt>
                <c:pt idx="16">
                  <c:v>195895.71970075119</c:v>
                </c:pt>
                <c:pt idx="17">
                  <c:v>240057.62889553412</c:v>
                </c:pt>
                <c:pt idx="18">
                  <c:v>256415.93957070512</c:v>
                </c:pt>
                <c:pt idx="19">
                  <c:v>237078.60585463714</c:v>
                </c:pt>
                <c:pt idx="20">
                  <c:v>240501.91259488359</c:v>
                </c:pt>
                <c:pt idx="21">
                  <c:v>298090.65314895572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81-435C-BB6C-C8B3F3C2FE6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296368"/>
        <c:axId val="503291776"/>
      </c:lineChart>
      <c:catAx>
        <c:axId val="50329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91776"/>
        <c:crosses val="autoZero"/>
        <c:auto val="1"/>
        <c:lblAlgn val="ctr"/>
        <c:lblOffset val="100"/>
        <c:noMultiLvlLbl val="0"/>
      </c:catAx>
      <c:valAx>
        <c:axId val="503291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Membership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9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Other Revenue vs Reseasonalized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'Other Revenue'!$D$5</c:f>
              <c:strCache>
                <c:ptCount val="1"/>
                <c:pt idx="0">
                  <c:v> Monthly Revenue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'Other Revenue'!$C$6:$C$30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'Other Revenue'!$D$6:$D$29</c:f>
              <c:numCache>
                <c:formatCode>_("$"* #,##0_);_("$"* \(#,##0\);_("$"* "-"??_);_(@_)</c:formatCode>
                <c:ptCount val="24"/>
                <c:pt idx="0">
                  <c:v>7500</c:v>
                </c:pt>
                <c:pt idx="1">
                  <c:v>7250</c:v>
                </c:pt>
                <c:pt idx="2">
                  <c:v>7170</c:v>
                </c:pt>
                <c:pt idx="3">
                  <c:v>7000</c:v>
                </c:pt>
                <c:pt idx="4">
                  <c:v>7150</c:v>
                </c:pt>
                <c:pt idx="5">
                  <c:v>6900</c:v>
                </c:pt>
                <c:pt idx="6">
                  <c:v>5800</c:v>
                </c:pt>
                <c:pt idx="7">
                  <c:v>6600</c:v>
                </c:pt>
                <c:pt idx="8">
                  <c:v>6550</c:v>
                </c:pt>
                <c:pt idx="9">
                  <c:v>7800</c:v>
                </c:pt>
                <c:pt idx="10">
                  <c:v>7300</c:v>
                </c:pt>
                <c:pt idx="11">
                  <c:v>6000</c:v>
                </c:pt>
                <c:pt idx="12">
                  <c:v>7700</c:v>
                </c:pt>
                <c:pt idx="13">
                  <c:v>7350</c:v>
                </c:pt>
                <c:pt idx="14">
                  <c:v>7100</c:v>
                </c:pt>
                <c:pt idx="15">
                  <c:v>6800</c:v>
                </c:pt>
                <c:pt idx="16">
                  <c:v>6600</c:v>
                </c:pt>
                <c:pt idx="17">
                  <c:v>6400</c:v>
                </c:pt>
                <c:pt idx="18">
                  <c:v>5900</c:v>
                </c:pt>
                <c:pt idx="19">
                  <c:v>7200</c:v>
                </c:pt>
                <c:pt idx="20">
                  <c:v>7100</c:v>
                </c:pt>
                <c:pt idx="21">
                  <c:v>6900</c:v>
                </c:pt>
                <c:pt idx="22">
                  <c:v>6800</c:v>
                </c:pt>
                <c:pt idx="23">
                  <c:v>6550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DC-4E82-99D6-F05D4F00C93D}"/>
            </c:ext>
          </c:extLst>
        </c:ser>
        <c:ser>
          <c:idx val="1"/>
          <c:order val="1"/>
          <c:tx>
            <c:strRef>
              <c:f>'Other Revenue'!$I$5</c:f>
              <c:strCache>
                <c:ptCount val="1"/>
                <c:pt idx="0">
                  <c:v>Reseasonalized Forecast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'Other Revenue'!$C$6:$C$30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'Other Revenue'!$I$9:$I$30</c:f>
              <c:numCache>
                <c:formatCode>_("$"* #,##0.00_);_("$"* \(#,##0.00\);_("$"* "-"??_);_(@_)</c:formatCode>
                <c:ptCount val="22"/>
                <c:pt idx="0">
                  <c:v>5939.4444050656675</c:v>
                </c:pt>
                <c:pt idx="1">
                  <c:v>7406.5082386584836</c:v>
                </c:pt>
                <c:pt idx="2">
                  <c:v>7724.7069375069368</c:v>
                </c:pt>
                <c:pt idx="3">
                  <c:v>8272.1706977026133</c:v>
                </c:pt>
                <c:pt idx="4">
                  <c:v>6578.36111878665</c:v>
                </c:pt>
                <c:pt idx="5">
                  <c:v>5855.4047690397711</c:v>
                </c:pt>
                <c:pt idx="6">
                  <c:v>5261.3219722374661</c:v>
                </c:pt>
                <c:pt idx="7">
                  <c:v>7677.5509330594068</c:v>
                </c:pt>
                <c:pt idx="8">
                  <c:v>7576.6215509113581</c:v>
                </c:pt>
                <c:pt idx="9">
                  <c:v>8189.1414957006909</c:v>
                </c:pt>
                <c:pt idx="10">
                  <c:v>6953.4852432448133</c:v>
                </c:pt>
                <c:pt idx="11">
                  <c:v>6704.600792941379</c:v>
                </c:pt>
                <c:pt idx="12">
                  <c:v>5998.2357121541827</c:v>
                </c:pt>
                <c:pt idx="13">
                  <c:v>7337.4518980980083</c:v>
                </c:pt>
                <c:pt idx="14">
                  <c:v>7431.0604950604938</c:v>
                </c:pt>
                <c:pt idx="15">
                  <c:v>7795.5507061890048</c:v>
                </c:pt>
                <c:pt idx="16">
                  <c:v>6250.5279590385962</c:v>
                </c:pt>
                <c:pt idx="17">
                  <c:v>5913.8633217746192</c:v>
                </c:pt>
                <c:pt idx="18">
                  <c:v>5616.9491697660724</c:v>
                </c:pt>
                <c:pt idx="19">
                  <c:v>7713.7562061290864</c:v>
                </c:pt>
                <c:pt idx="20">
                  <c:v>7260.1233147903004</c:v>
                </c:pt>
                <c:pt idx="21">
                  <c:v>7868.8753648409893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DC-4E82-99D6-F05D4F00C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245400"/>
        <c:axId val="682488848"/>
      </c:lineChart>
      <c:catAx>
        <c:axId val="688245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88848"/>
        <c:crosses val="autoZero"/>
        <c:auto val="1"/>
        <c:lblAlgn val="ctr"/>
        <c:lblOffset val="100"/>
        <c:noMultiLvlLbl val="0"/>
      </c:catAx>
      <c:valAx>
        <c:axId val="682488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Other Monthly Revenue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Expenses vs Forecast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Expenses!$D$4</c:f>
              <c:strCache>
                <c:ptCount val="1"/>
                <c:pt idx="0">
                  <c:v>Quarterly Expenses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Expenses!$C$5:$C$29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Expenses!$D$5:$D$28</c:f>
              <c:numCache>
                <c:formatCode>_("$"* #,##0_);_("$"* \(#,##0\);_("$"* "-"??_);_(@_)</c:formatCode>
                <c:ptCount val="24"/>
                <c:pt idx="0">
                  <c:v>60000</c:v>
                </c:pt>
                <c:pt idx="1">
                  <c:v>58000</c:v>
                </c:pt>
                <c:pt idx="2">
                  <c:v>59000</c:v>
                </c:pt>
                <c:pt idx="3">
                  <c:v>55000</c:v>
                </c:pt>
                <c:pt idx="4">
                  <c:v>54000</c:v>
                </c:pt>
                <c:pt idx="5">
                  <c:v>56000</c:v>
                </c:pt>
                <c:pt idx="6">
                  <c:v>50000</c:v>
                </c:pt>
                <c:pt idx="7">
                  <c:v>53000</c:v>
                </c:pt>
                <c:pt idx="8">
                  <c:v>51000</c:v>
                </c:pt>
                <c:pt idx="9">
                  <c:v>53000</c:v>
                </c:pt>
                <c:pt idx="10">
                  <c:v>49000</c:v>
                </c:pt>
                <c:pt idx="11">
                  <c:v>50000</c:v>
                </c:pt>
                <c:pt idx="12">
                  <c:v>62000</c:v>
                </c:pt>
                <c:pt idx="13">
                  <c:v>59000</c:v>
                </c:pt>
                <c:pt idx="14">
                  <c:v>57000</c:v>
                </c:pt>
                <c:pt idx="15">
                  <c:v>55550</c:v>
                </c:pt>
                <c:pt idx="16">
                  <c:v>56789</c:v>
                </c:pt>
                <c:pt idx="17">
                  <c:v>54560</c:v>
                </c:pt>
                <c:pt idx="18">
                  <c:v>53750</c:v>
                </c:pt>
                <c:pt idx="19">
                  <c:v>54000</c:v>
                </c:pt>
                <c:pt idx="20">
                  <c:v>56000</c:v>
                </c:pt>
                <c:pt idx="21">
                  <c:v>50750</c:v>
                </c:pt>
                <c:pt idx="22">
                  <c:v>51000</c:v>
                </c:pt>
                <c:pt idx="23">
                  <c:v>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41-4B23-B294-A230A290BE83}"/>
            </c:ext>
          </c:extLst>
        </c:ser>
        <c:ser>
          <c:idx val="1"/>
          <c:order val="1"/>
          <c:tx>
            <c:strRef>
              <c:f>Expenses!$G$4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Expenses!$C$5:$C$29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Expenses!$G$6:$G$29</c:f>
              <c:numCache>
                <c:formatCode>_("$"* #,##0_);_("$"* \(#,##0\);_("$"* "-"??_);_(@_)</c:formatCode>
                <c:ptCount val="24"/>
                <c:pt idx="0">
                  <c:v>60000</c:v>
                </c:pt>
                <c:pt idx="1">
                  <c:v>62580</c:v>
                </c:pt>
                <c:pt idx="2">
                  <c:v>66658.2</c:v>
                </c:pt>
                <c:pt idx="3">
                  <c:v>59958.678</c:v>
                </c:pt>
                <c:pt idx="4">
                  <c:v>59178.778619999997</c:v>
                </c:pt>
                <c:pt idx="5">
                  <c:v>63785.564779799999</c:v>
                </c:pt>
                <c:pt idx="6">
                  <c:v>53311.72371034199</c:v>
                </c:pt>
                <c:pt idx="7" formatCode="_(&quot;$&quot;* #,##0.00_);_(&quot;$&quot;* \(#,##0.00\);_(&quot;$&quot;* &quot;-&quot;??_);_(@_)">
                  <c:v>59849.699045817179</c:v>
                </c:pt>
                <c:pt idx="8" formatCode="_(&quot;$&quot;* #,##0.00_);_(&quot;$&quot;* \(#,##0.00\);_(&quot;$&quot;* &quot;-&quot;??_);_(@_)">
                  <c:v>56838.357589356201</c:v>
                </c:pt>
                <c:pt idx="9" formatCode="_(&quot;$&quot;* #,##0.00_);_(&quot;$&quot;* \(#,##0.00\);_(&quot;$&quot;* &quot;-&quot;??_);_(@_)">
                  <c:v>60416.650786789745</c:v>
                </c:pt>
                <c:pt idx="10" formatCode="_(&quot;$&quot;* #,##0.00_);_(&quot;$&quot;* \(#,##0.00\);_(&quot;$&quot;* &quot;-&quot;??_);_(@_)">
                  <c:v>53265.376545126972</c:v>
                </c:pt>
                <c:pt idx="11" formatCode="_(&quot;$&quot;* #,##0.00_);_(&quot;$&quot;* \(#,##0.00\);_(&quot;$&quot;* &quot;-&quot;??_);_(@_)">
                  <c:v>55819.460627275737</c:v>
                </c:pt>
                <c:pt idx="12" formatCode="_(&quot;$&quot;* #,##0.00_);_(&quot;$&quot;* \(#,##0.00\);_(&quot;$&quot;* &quot;-&quot;??_);_(@_)">
                  <c:v>76913.759692848529</c:v>
                </c:pt>
                <c:pt idx="13" formatCode="_(&quot;$&quot;* #,##0.00_);_(&quot;$&quot;* \(#,##0.00\);_(&quot;$&quot;* &quot;-&quot;??_);_(@_)">
                  <c:v>67951.238854471259</c:v>
                </c:pt>
                <c:pt idx="14" formatCode="_(&quot;$&quot;* #,##0.00_);_(&quot;$&quot;* \(#,##0.00\);_(&quot;$&quot;* &quot;-&quot;??_);_(@_)">
                  <c:v>62463.62089544029</c:v>
                </c:pt>
                <c:pt idx="15" formatCode="_(&quot;$&quot;* #,##0.00_);_(&quot;$&quot;* \(#,##0.00\);_(&quot;$&quot;* &quot;-&quot;??_);_(@_)">
                  <c:v>60819.338562775265</c:v>
                </c:pt>
                <c:pt idx="16" formatCode="_(&quot;$&quot;* #,##0.00_);_(&quot;$&quot;* \(#,##0.00\);_(&quot;$&quot;* &quot;-&quot;??_);_(@_)">
                  <c:v>64129.572302615197</c:v>
                </c:pt>
                <c:pt idx="17" formatCode="_(&quot;$&quot;* #,##0.00_);_(&quot;$&quot;* \(#,##0.00\);_(&quot;$&quot;* &quot;-&quot;??_);_(@_)">
                  <c:v>60422.345497108632</c:v>
                </c:pt>
                <c:pt idx="18" formatCode="_(&quot;$&quot;* #,##0.00_);_(&quot;$&quot;* \(#,##0.00\);_(&quot;$&quot;* &quot;-&quot;??_);_(@_)">
                  <c:v>59469.718686926135</c:v>
                </c:pt>
                <c:pt idx="19" formatCode="_(&quot;$&quot;* #,##0.00_);_(&quot;$&quot;* \(#,##0.00\);_(&quot;$&quot;* &quot;-&quot;??_);_(@_)">
                  <c:v>60610.7073244688</c:v>
                </c:pt>
                <c:pt idx="20" formatCode="_(&quot;$&quot;* #,##0.00_);_(&quot;$&quot;* \(#,##0.00\);_(&quot;$&quot;* &quot;-&quot;??_);_(@_)">
                  <c:v>64244.8304422726</c:v>
                </c:pt>
                <c:pt idx="21" formatCode="_(&quot;$&quot;* #,##0.00_);_(&quot;$&quot;* \(#,##0.00\);_(&quot;$&quot;* &quot;-&quot;??_);_(@_)">
                  <c:v>54598.537169056857</c:v>
                </c:pt>
                <c:pt idx="22" formatCode="_(&quot;$&quot;* #,##0.00_);_(&quot;$&quot;* \(#,##0.00\);_(&quot;$&quot;* &quot;-&quot;??_);_(@_)">
                  <c:v>56154.041039221956</c:v>
                </c:pt>
                <c:pt idx="23" formatCode="_(&quot;$&quot;* #,##0.00_);_(&quot;$&quot;* \(#,##0.00\);_(&quot;$&quot;* &quot;-&quot;??_);_(@_)">
                  <c:v>52140.803556159241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41-4B23-B294-A230A290B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798576"/>
        <c:axId val="686798904"/>
      </c:lineChart>
      <c:catAx>
        <c:axId val="68679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98904"/>
        <c:crosses val="autoZero"/>
        <c:auto val="1"/>
        <c:lblAlgn val="ctr"/>
        <c:lblOffset val="100"/>
        <c:noMultiLvlLbl val="0"/>
      </c:catAx>
      <c:valAx>
        <c:axId val="686798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Expenses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9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Members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Members'!$F$6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'Monthly Members'!$F$7:$F$30</c:f>
              <c:numCache>
                <c:formatCode>General</c:formatCode>
                <c:ptCount val="24"/>
                <c:pt idx="0">
                  <c:v>5250</c:v>
                </c:pt>
                <c:pt idx="1">
                  <c:v>5225</c:v>
                </c:pt>
                <c:pt idx="2">
                  <c:v>5150</c:v>
                </c:pt>
                <c:pt idx="3">
                  <c:v>5095</c:v>
                </c:pt>
                <c:pt idx="4">
                  <c:v>5025</c:v>
                </c:pt>
                <c:pt idx="5">
                  <c:v>4989</c:v>
                </c:pt>
                <c:pt idx="6">
                  <c:v>4930</c:v>
                </c:pt>
                <c:pt idx="7">
                  <c:v>4875</c:v>
                </c:pt>
                <c:pt idx="8">
                  <c:v>4900</c:v>
                </c:pt>
                <c:pt idx="9">
                  <c:v>4925</c:v>
                </c:pt>
                <c:pt idx="10">
                  <c:v>4915</c:v>
                </c:pt>
                <c:pt idx="11">
                  <c:v>4875</c:v>
                </c:pt>
                <c:pt idx="12">
                  <c:v>5300</c:v>
                </c:pt>
                <c:pt idx="13">
                  <c:v>5226</c:v>
                </c:pt>
                <c:pt idx="14">
                  <c:v>5175</c:v>
                </c:pt>
                <c:pt idx="15">
                  <c:v>5050</c:v>
                </c:pt>
                <c:pt idx="16">
                  <c:v>4982</c:v>
                </c:pt>
                <c:pt idx="17">
                  <c:v>4945</c:v>
                </c:pt>
                <c:pt idx="18">
                  <c:v>4900</c:v>
                </c:pt>
                <c:pt idx="19">
                  <c:v>4850</c:v>
                </c:pt>
                <c:pt idx="20">
                  <c:v>4975</c:v>
                </c:pt>
                <c:pt idx="21">
                  <c:v>5000</c:v>
                </c:pt>
                <c:pt idx="22">
                  <c:v>4980</c:v>
                </c:pt>
                <c:pt idx="23">
                  <c:v>4970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7-4DCA-A8B4-BDD4B67E3465}"/>
            </c:ext>
          </c:extLst>
        </c:ser>
        <c:ser>
          <c:idx val="1"/>
          <c:order val="1"/>
          <c:tx>
            <c:strRef>
              <c:f>'Monthly Members'!$G$6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'Monthly Members'!$G$7:$G$31</c:f>
              <c:numCache>
                <c:formatCode>0.00</c:formatCode>
                <c:ptCount val="25"/>
                <c:pt idx="0">
                  <c:v>5098.4799999999996</c:v>
                </c:pt>
                <c:pt idx="1">
                  <c:v>5091.7534782608691</c:v>
                </c:pt>
                <c:pt idx="2">
                  <c:v>5085.0269565217386</c:v>
                </c:pt>
                <c:pt idx="3">
                  <c:v>5078.3004347826081</c:v>
                </c:pt>
                <c:pt idx="4">
                  <c:v>5071.5739130434777</c:v>
                </c:pt>
                <c:pt idx="5">
                  <c:v>5064.8473913043472</c:v>
                </c:pt>
                <c:pt idx="6">
                  <c:v>5058.1208695652167</c:v>
                </c:pt>
                <c:pt idx="7">
                  <c:v>5051.3943478260862</c:v>
                </c:pt>
                <c:pt idx="8">
                  <c:v>5044.6678260869558</c:v>
                </c:pt>
                <c:pt idx="9">
                  <c:v>5037.9413043478253</c:v>
                </c:pt>
                <c:pt idx="10">
                  <c:v>5031.2147826086957</c:v>
                </c:pt>
                <c:pt idx="11">
                  <c:v>5024.4882608695652</c:v>
                </c:pt>
                <c:pt idx="12">
                  <c:v>5017.7617391304348</c:v>
                </c:pt>
                <c:pt idx="13">
                  <c:v>5011.0352173913043</c:v>
                </c:pt>
                <c:pt idx="14">
                  <c:v>5004.3086956521738</c:v>
                </c:pt>
                <c:pt idx="15">
                  <c:v>4997.5821739130433</c:v>
                </c:pt>
                <c:pt idx="16">
                  <c:v>4990.8556521739129</c:v>
                </c:pt>
                <c:pt idx="17">
                  <c:v>4984.1291304347824</c:v>
                </c:pt>
                <c:pt idx="18">
                  <c:v>4977.4026086956519</c:v>
                </c:pt>
                <c:pt idx="19">
                  <c:v>4970.6760869565214</c:v>
                </c:pt>
                <c:pt idx="20">
                  <c:v>4963.949565217391</c:v>
                </c:pt>
                <c:pt idx="21">
                  <c:v>4957.2230434782605</c:v>
                </c:pt>
                <c:pt idx="22">
                  <c:v>4950.49652173913</c:v>
                </c:pt>
                <c:pt idx="23">
                  <c:v>4943.7699999999995</c:v>
                </c:pt>
                <c:pt idx="24">
                  <c:v>4937.0434782608691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7-4DCA-A8B4-BDD4B67E3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802184"/>
        <c:axId val="686802512"/>
      </c:lineChart>
      <c:catAx>
        <c:axId val="68680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02512"/>
        <c:crosses val="autoZero"/>
        <c:auto val="1"/>
        <c:lblAlgn val="ctr"/>
        <c:lblOffset val="100"/>
        <c:noMultiLvlLbl val="0"/>
      </c:catAx>
      <c:valAx>
        <c:axId val="686802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0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6</xdr:col>
      <xdr:colOff>0</xdr:colOff>
      <xdr:row>11</xdr:row>
      <xdr:rowOff>56906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68D4AE-C295-4EA3-B334-9143E6356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6"/>
          <a:ext cx="7972425" cy="21428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323851</xdr:colOff>
      <xdr:row>27</xdr:row>
      <xdr:rowOff>152400</xdr:rowOff>
    </xdr:from>
    <xdr:to>
      <xdr:col>11</xdr:col>
      <xdr:colOff>352427</xdr:colOff>
      <xdr:row>44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AB4C7F-B406-40A3-8551-FB9CC8E2D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22</xdr:row>
      <xdr:rowOff>100012</xdr:rowOff>
    </xdr:from>
    <xdr:to>
      <xdr:col>18</xdr:col>
      <xdr:colOff>295275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CD8AC-D26E-4564-8DD6-8EE00091A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10</xdr:row>
      <xdr:rowOff>128587</xdr:rowOff>
    </xdr:from>
    <xdr:to>
      <xdr:col>17</xdr:col>
      <xdr:colOff>28575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E9DB0-8F3F-4C9F-B81F-931AD835E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222249</xdr:colOff>
      <xdr:row>11</xdr:row>
      <xdr:rowOff>173566</xdr:rowOff>
    </xdr:from>
    <xdr:to>
      <xdr:col>17</xdr:col>
      <xdr:colOff>68035</xdr:colOff>
      <xdr:row>29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E0767-AE2A-4513-B5C9-C30A0DDD1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A193-F185-4ED0-A712-1FF240FC06E4}">
  <dimension ref="D12:J25"/>
  <sheetViews>
    <sheetView showGridLines="0" topLeftCell="B8" workbookViewId="0">
      <selection activeCell="D13" sqref="D13:D15"/>
    </sheetView>
  </sheetViews>
  <sheetFormatPr defaultRowHeight="15" x14ac:dyDescent="0.25"/>
  <cols>
    <col min="4" max="4" width="54.7109375" bestFit="1" customWidth="1"/>
    <col min="5" max="5" width="19" bestFit="1" customWidth="1"/>
    <col min="6" max="6" width="18.42578125" bestFit="1" customWidth="1"/>
    <col min="7" max="7" width="22.7109375" bestFit="1" customWidth="1"/>
    <col min="8" max="8" width="18.42578125" bestFit="1" customWidth="1"/>
    <col min="9" max="9" width="12.85546875" bestFit="1" customWidth="1"/>
    <col min="10" max="10" width="14.7109375" bestFit="1" customWidth="1"/>
    <col min="11" max="11" width="39.5703125" bestFit="1" customWidth="1"/>
  </cols>
  <sheetData>
    <row r="12" spans="4:10" ht="38.25" customHeight="1" thickBot="1" x14ac:dyDescent="0.35">
      <c r="D12" s="37" t="s">
        <v>91</v>
      </c>
      <c r="G12" s="37" t="s">
        <v>92</v>
      </c>
    </row>
    <row r="13" spans="4:10" ht="15.75" thickTop="1" x14ac:dyDescent="0.25">
      <c r="D13" s="55" t="s">
        <v>101</v>
      </c>
      <c r="E13" s="22">
        <f>Expenses!G29</f>
        <v>52140.803556159241</v>
      </c>
      <c r="G13" s="81"/>
      <c r="H13" s="86" t="s">
        <v>74</v>
      </c>
      <c r="I13" s="87" t="s">
        <v>41</v>
      </c>
      <c r="J13" s="82" t="s">
        <v>75</v>
      </c>
    </row>
    <row r="14" spans="4:10" x14ac:dyDescent="0.25">
      <c r="D14" s="56" t="s">
        <v>102</v>
      </c>
      <c r="E14" s="23">
        <f>Revenue!O3</f>
        <v>298090.65314895572</v>
      </c>
      <c r="G14" s="53" t="s">
        <v>43</v>
      </c>
      <c r="H14" s="88">
        <f>E17</f>
        <v>4937.0434782608691</v>
      </c>
      <c r="I14" s="88">
        <f>SUM(I15:I16)</f>
        <v>1974.8173913043477</v>
      </c>
      <c r="J14" s="75">
        <f>E17</f>
        <v>4937.0434782608691</v>
      </c>
    </row>
    <row r="15" spans="4:10" x14ac:dyDescent="0.25">
      <c r="D15" s="56" t="s">
        <v>103</v>
      </c>
      <c r="E15" s="23">
        <f>'Other Revenue'!I30</f>
        <v>7868.8753648409893</v>
      </c>
      <c r="G15" s="76" t="s">
        <v>37</v>
      </c>
      <c r="H15" s="89">
        <v>0</v>
      </c>
      <c r="I15" s="88">
        <f>E17*E19</f>
        <v>1974.8173913043477</v>
      </c>
      <c r="J15" s="75">
        <f>I15</f>
        <v>1974.8173913043477</v>
      </c>
    </row>
    <row r="16" spans="4:10" x14ac:dyDescent="0.25">
      <c r="D16" s="53"/>
      <c r="E16" s="24"/>
      <c r="G16" s="76"/>
      <c r="H16" s="88"/>
      <c r="I16" s="90"/>
      <c r="J16" s="75"/>
    </row>
    <row r="17" spans="4:10" x14ac:dyDescent="0.25">
      <c r="D17" s="56" t="s">
        <v>96</v>
      </c>
      <c r="E17" s="24">
        <f>'Monthly Members'!M8</f>
        <v>4937.0434782608691</v>
      </c>
      <c r="G17" s="53"/>
      <c r="H17" s="91"/>
      <c r="I17" s="90"/>
      <c r="J17" s="77"/>
    </row>
    <row r="18" spans="4:10" x14ac:dyDescent="0.25">
      <c r="D18" s="53" t="s">
        <v>76</v>
      </c>
      <c r="E18" s="23">
        <f>E14/E17</f>
        <v>60.378373101539225</v>
      </c>
      <c r="G18" s="53" t="s">
        <v>38</v>
      </c>
      <c r="H18" s="92">
        <f>SUM(H19:H21)</f>
        <v>305959.52851379669</v>
      </c>
      <c r="I18" s="92">
        <f>SUM(I19:I21)</f>
        <v>39496.347826086952</v>
      </c>
      <c r="J18" s="78">
        <f>SUM(J19:J21)</f>
        <v>345455.87633988366</v>
      </c>
    </row>
    <row r="19" spans="4:10" x14ac:dyDescent="0.25">
      <c r="D19" s="53" t="s">
        <v>79</v>
      </c>
      <c r="E19" s="25">
        <f>'Digital Method'!D16</f>
        <v>0.4</v>
      </c>
      <c r="G19" s="76" t="s">
        <v>71</v>
      </c>
      <c r="H19" s="92">
        <f>E14</f>
        <v>298090.65314895572</v>
      </c>
      <c r="I19" s="92">
        <v>0</v>
      </c>
      <c r="J19" s="78">
        <f>E14</f>
        <v>298090.65314895572</v>
      </c>
    </row>
    <row r="20" spans="4:10" ht="15.75" thickBot="1" x14ac:dyDescent="0.3">
      <c r="D20" s="54" t="s">
        <v>80</v>
      </c>
      <c r="E20" s="26">
        <f>'Digital Method'!D17</f>
        <v>20</v>
      </c>
      <c r="G20" s="76" t="s">
        <v>30</v>
      </c>
      <c r="H20" s="92">
        <f>E15</f>
        <v>7868.8753648409893</v>
      </c>
      <c r="I20" s="92"/>
      <c r="J20" s="78">
        <f>E15</f>
        <v>7868.8753648409893</v>
      </c>
    </row>
    <row r="21" spans="4:10" x14ac:dyDescent="0.25">
      <c r="G21" s="76" t="s">
        <v>42</v>
      </c>
      <c r="H21" s="92">
        <v>0</v>
      </c>
      <c r="I21" s="92">
        <f>I15*E20</f>
        <v>39496.347826086952</v>
      </c>
      <c r="J21" s="78">
        <f>I15*E20</f>
        <v>39496.347826086952</v>
      </c>
    </row>
    <row r="22" spans="4:10" x14ac:dyDescent="0.25">
      <c r="D22" s="93" t="s">
        <v>93</v>
      </c>
      <c r="G22" s="53"/>
      <c r="H22" s="92"/>
      <c r="I22" s="92"/>
      <c r="J22" s="78"/>
    </row>
    <row r="23" spans="4:10" x14ac:dyDescent="0.25">
      <c r="D23" s="94" t="s">
        <v>94</v>
      </c>
      <c r="G23" s="53" t="s">
        <v>31</v>
      </c>
      <c r="H23" s="92">
        <f>E13</f>
        <v>52140.803556159241</v>
      </c>
      <c r="I23" s="92">
        <f>E13</f>
        <v>52140.803556159241</v>
      </c>
      <c r="J23" s="78">
        <f>E13</f>
        <v>52140.803556159241</v>
      </c>
    </row>
    <row r="24" spans="4:10" x14ac:dyDescent="0.25">
      <c r="D24" t="s">
        <v>95</v>
      </c>
      <c r="G24" s="53"/>
      <c r="H24" s="92"/>
      <c r="I24" s="92"/>
      <c r="J24" s="78"/>
    </row>
    <row r="25" spans="4:10" ht="15.75" thickBot="1" x14ac:dyDescent="0.3">
      <c r="D25" t="s">
        <v>97</v>
      </c>
      <c r="G25" s="79" t="s">
        <v>40</v>
      </c>
      <c r="H25" s="80">
        <f>H18-H23</f>
        <v>253818.72495763743</v>
      </c>
      <c r="I25" s="80">
        <f t="shared" ref="I25" si="0">I18-I23</f>
        <v>-12644.455730072288</v>
      </c>
      <c r="J25" s="80">
        <f>J18-(J23+J24)</f>
        <v>293315.0727837244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FB2B-0ACB-46EF-9DB1-1911FB22B14E}">
  <dimension ref="A1:AG44"/>
  <sheetViews>
    <sheetView showGridLines="0" zoomScale="90" zoomScaleNormal="90" workbookViewId="0">
      <selection activeCell="C2" sqref="C2"/>
    </sheetView>
  </sheetViews>
  <sheetFormatPr defaultRowHeight="15" x14ac:dyDescent="0.25"/>
  <cols>
    <col min="3" max="3" width="54.5703125" bestFit="1" customWidth="1"/>
    <col min="4" max="4" width="54.7109375" bestFit="1" customWidth="1"/>
    <col min="5" max="5" width="13.42578125" bestFit="1" customWidth="1"/>
    <col min="6" max="7" width="26.7109375" bestFit="1" customWidth="1"/>
    <col min="8" max="8" width="17.7109375" bestFit="1" customWidth="1"/>
    <col min="9" max="9" width="23.28515625" bestFit="1" customWidth="1"/>
    <col min="10" max="10" width="13.42578125" bestFit="1" customWidth="1"/>
    <col min="11" max="11" width="54.7109375" bestFit="1" customWidth="1"/>
    <col min="12" max="12" width="17.7109375" bestFit="1" customWidth="1"/>
    <col min="13" max="29" width="13.42578125" bestFit="1" customWidth="1"/>
    <col min="30" max="30" width="14.42578125" bestFit="1" customWidth="1"/>
    <col min="31" max="33" width="13.42578125" bestFit="1" customWidth="1"/>
  </cols>
  <sheetData>
    <row r="1" spans="1:7" ht="23.25" x14ac:dyDescent="0.35">
      <c r="A1" s="36" t="s">
        <v>41</v>
      </c>
      <c r="B1" s="36" t="s">
        <v>104</v>
      </c>
    </row>
    <row r="4" spans="1:7" x14ac:dyDescent="0.25">
      <c r="C4" s="93"/>
    </row>
    <row r="5" spans="1:7" x14ac:dyDescent="0.25">
      <c r="C5" s="93" t="s">
        <v>93</v>
      </c>
    </row>
    <row r="6" spans="1:7" x14ac:dyDescent="0.25">
      <c r="C6" s="94" t="s">
        <v>94</v>
      </c>
    </row>
    <row r="7" spans="1:7" x14ac:dyDescent="0.25">
      <c r="C7" t="s">
        <v>95</v>
      </c>
    </row>
    <row r="8" spans="1:7" x14ac:dyDescent="0.25">
      <c r="C8" t="s">
        <v>97</v>
      </c>
    </row>
    <row r="10" spans="1:7" ht="20.25" thickBot="1" x14ac:dyDescent="0.35">
      <c r="C10" s="37" t="s">
        <v>91</v>
      </c>
      <c r="F10" s="37" t="s">
        <v>41</v>
      </c>
    </row>
    <row r="11" spans="1:7" ht="15.75" thickTop="1" x14ac:dyDescent="0.25">
      <c r="C11" s="55" t="s">
        <v>101</v>
      </c>
      <c r="D11" s="22">
        <f>Expenses!P5</f>
        <v>52140.803556159241</v>
      </c>
      <c r="F11" s="81"/>
      <c r="G11" s="82" t="s">
        <v>72</v>
      </c>
    </row>
    <row r="12" spans="1:7" x14ac:dyDescent="0.25">
      <c r="C12" s="56" t="s">
        <v>102</v>
      </c>
      <c r="D12" s="23">
        <f>Revenue!O3</f>
        <v>298090.65314895572</v>
      </c>
      <c r="F12" s="53" t="s">
        <v>36</v>
      </c>
      <c r="G12" s="75">
        <f>SUM(G13)</f>
        <v>1974.8173913043477</v>
      </c>
    </row>
    <row r="13" spans="1:7" x14ac:dyDescent="0.25">
      <c r="C13" s="56" t="s">
        <v>103</v>
      </c>
      <c r="D13" s="23">
        <f>'Other Revenue'!O6</f>
        <v>7868.8753648409893</v>
      </c>
      <c r="F13" s="76" t="s">
        <v>37</v>
      </c>
      <c r="G13" s="75">
        <f>D14*D16</f>
        <v>1974.8173913043477</v>
      </c>
    </row>
    <row r="14" spans="1:7" x14ac:dyDescent="0.25">
      <c r="C14" s="56" t="s">
        <v>98</v>
      </c>
      <c r="D14" s="24">
        <f>'Monthly Members'!M8</f>
        <v>4937.0434782608691</v>
      </c>
      <c r="F14" s="53" t="s">
        <v>38</v>
      </c>
      <c r="G14" s="78">
        <f>SUM(G15)</f>
        <v>39496.347826086952</v>
      </c>
    </row>
    <row r="15" spans="1:7" x14ac:dyDescent="0.25">
      <c r="C15" s="56" t="s">
        <v>100</v>
      </c>
      <c r="D15" s="23">
        <f>D12/D14</f>
        <v>60.378373101539225</v>
      </c>
      <c r="F15" s="76" t="s">
        <v>39</v>
      </c>
      <c r="G15" s="78">
        <f>G13*D17</f>
        <v>39496.347826086952</v>
      </c>
    </row>
    <row r="16" spans="1:7" x14ac:dyDescent="0.25">
      <c r="C16" s="53" t="s">
        <v>79</v>
      </c>
      <c r="D16" s="25">
        <v>0.4</v>
      </c>
      <c r="F16" s="53" t="s">
        <v>31</v>
      </c>
      <c r="G16" s="78">
        <f>D11</f>
        <v>52140.803556159241</v>
      </c>
    </row>
    <row r="17" spans="3:33" ht="15.75" thickBot="1" x14ac:dyDescent="0.3">
      <c r="C17" s="54" t="s">
        <v>80</v>
      </c>
      <c r="D17" s="26">
        <v>20</v>
      </c>
      <c r="F17" s="79" t="s">
        <v>99</v>
      </c>
      <c r="G17" s="80">
        <f>G14-G16</f>
        <v>-12644.455730072288</v>
      </c>
    </row>
    <row r="22" spans="3:33" x14ac:dyDescent="0.25">
      <c r="C22" t="s">
        <v>40</v>
      </c>
    </row>
    <row r="23" spans="3:33" x14ac:dyDescent="0.25">
      <c r="C23" s="80">
        <f>G17</f>
        <v>-12644.455730072288</v>
      </c>
      <c r="D23" s="10">
        <v>1</v>
      </c>
      <c r="E23" s="10">
        <v>2</v>
      </c>
      <c r="F23" s="10">
        <v>3</v>
      </c>
      <c r="G23" s="10">
        <v>4</v>
      </c>
      <c r="H23" s="10">
        <v>5</v>
      </c>
      <c r="I23" s="10">
        <v>6</v>
      </c>
      <c r="J23" s="10">
        <v>7</v>
      </c>
      <c r="K23" s="10">
        <v>8</v>
      </c>
      <c r="L23" s="10">
        <v>9</v>
      </c>
      <c r="M23" s="10">
        <v>10</v>
      </c>
      <c r="N23" s="10">
        <v>11</v>
      </c>
      <c r="O23" s="10">
        <v>12</v>
      </c>
      <c r="P23" s="10">
        <v>13</v>
      </c>
      <c r="Q23" s="10">
        <v>14</v>
      </c>
      <c r="R23" s="10">
        <v>15</v>
      </c>
      <c r="S23" s="10">
        <v>16</v>
      </c>
      <c r="T23" s="10">
        <v>17</v>
      </c>
      <c r="U23" s="10">
        <v>18</v>
      </c>
      <c r="V23" s="10">
        <v>19</v>
      </c>
      <c r="W23" s="10">
        <v>20</v>
      </c>
      <c r="X23" s="10">
        <v>21</v>
      </c>
      <c r="Y23" s="10">
        <v>22</v>
      </c>
      <c r="Z23" s="10">
        <v>23</v>
      </c>
      <c r="AA23" s="10">
        <v>24</v>
      </c>
      <c r="AB23" s="10">
        <v>25</v>
      </c>
      <c r="AC23" s="10">
        <v>26</v>
      </c>
      <c r="AD23" s="10">
        <v>27</v>
      </c>
      <c r="AE23" s="10">
        <v>28</v>
      </c>
      <c r="AF23" s="10">
        <v>29</v>
      </c>
      <c r="AG23" s="10">
        <v>30</v>
      </c>
    </row>
    <row r="24" spans="3:33" x14ac:dyDescent="0.25">
      <c r="C24" s="6">
        <f>0</f>
        <v>0</v>
      </c>
      <c r="D24" s="10">
        <f t="dataTable" ref="D24:AG44" dt2D="1" dtr="1" r1="D16" r2="D17"/>
        <v>-52140.803556159241</v>
      </c>
      <c r="E24" s="10">
        <v>-52140.803556159241</v>
      </c>
      <c r="F24" s="10">
        <v>-52140.803556159241</v>
      </c>
      <c r="G24" s="10">
        <v>-52140.803556159241</v>
      </c>
      <c r="H24" s="10">
        <v>-52140.803556159241</v>
      </c>
      <c r="I24" s="10">
        <v>-52140.803556159241</v>
      </c>
      <c r="J24" s="10">
        <v>-52140.803556159241</v>
      </c>
      <c r="K24" s="10">
        <v>-52140.803556159241</v>
      </c>
      <c r="L24" s="10">
        <v>-52140.803556159241</v>
      </c>
      <c r="M24" s="10">
        <v>-52140.803556159241</v>
      </c>
      <c r="N24" s="10">
        <v>-52140.803556159241</v>
      </c>
      <c r="O24" s="10">
        <v>-52140.803556159241</v>
      </c>
      <c r="P24" s="10">
        <v>-52140.803556159241</v>
      </c>
      <c r="Q24" s="10">
        <v>-52140.803556159241</v>
      </c>
      <c r="R24" s="10">
        <v>-52140.803556159241</v>
      </c>
      <c r="S24" s="10">
        <v>-52140.803556159241</v>
      </c>
      <c r="T24" s="10">
        <v>-52140.803556159241</v>
      </c>
      <c r="U24" s="10">
        <v>-52140.803556159241</v>
      </c>
      <c r="V24" s="10">
        <v>-52140.803556159241</v>
      </c>
      <c r="W24" s="10">
        <v>-52140.803556159241</v>
      </c>
      <c r="X24" s="10">
        <v>-52140.803556159241</v>
      </c>
      <c r="Y24" s="10">
        <v>-52140.803556159241</v>
      </c>
      <c r="Z24" s="10">
        <v>-52140.803556159241</v>
      </c>
      <c r="AA24" s="10">
        <v>-52140.803556159241</v>
      </c>
      <c r="AB24" s="10">
        <v>-52140.803556159241</v>
      </c>
      <c r="AC24" s="10">
        <v>-52140.803556159241</v>
      </c>
      <c r="AD24" s="10">
        <v>-52140.803556159241</v>
      </c>
      <c r="AE24" s="10">
        <v>-52140.803556159241</v>
      </c>
      <c r="AF24" s="10">
        <v>-52140.803556159241</v>
      </c>
      <c r="AG24" s="10">
        <v>-52140.803556159241</v>
      </c>
    </row>
    <row r="25" spans="3:33" x14ac:dyDescent="0.25">
      <c r="C25" s="6">
        <v>0.05</v>
      </c>
      <c r="D25" s="10">
        <v>-51893.951382246196</v>
      </c>
      <c r="E25" s="10">
        <v>-51647.099208333151</v>
      </c>
      <c r="F25" s="10">
        <v>-51400.247034420114</v>
      </c>
      <c r="G25" s="10">
        <v>-51153.394860507069</v>
      </c>
      <c r="H25" s="10">
        <v>-50906.542686594024</v>
      </c>
      <c r="I25" s="10">
        <v>-50659.69051268098</v>
      </c>
      <c r="J25" s="10">
        <v>-50412.838338767935</v>
      </c>
      <c r="K25" s="10">
        <v>-50165.98616485489</v>
      </c>
      <c r="L25" s="10">
        <v>-49919.133990941846</v>
      </c>
      <c r="M25" s="10">
        <v>-49672.281817028808</v>
      </c>
      <c r="N25" s="10">
        <v>-49425.429643115764</v>
      </c>
      <c r="O25" s="10">
        <v>-49178.577469202719</v>
      </c>
      <c r="P25" s="10">
        <v>-48931.725295289674</v>
      </c>
      <c r="Q25" s="10">
        <v>-48684.87312137663</v>
      </c>
      <c r="R25" s="10">
        <v>-48438.020947463592</v>
      </c>
      <c r="S25" s="10">
        <v>-48191.168773550547</v>
      </c>
      <c r="T25" s="10">
        <v>-47944.316599637503</v>
      </c>
      <c r="U25" s="10">
        <v>-47697.464425724458</v>
      </c>
      <c r="V25" s="10">
        <v>-47450.612251811413</v>
      </c>
      <c r="W25" s="10">
        <v>-47203.760077898369</v>
      </c>
      <c r="X25" s="10">
        <v>-46956.907903985324</v>
      </c>
      <c r="Y25" s="10">
        <v>-46710.055730072287</v>
      </c>
      <c r="Z25" s="10">
        <v>-46463.203556159242</v>
      </c>
      <c r="AA25" s="10">
        <v>-46216.351382246197</v>
      </c>
      <c r="AB25" s="10">
        <v>-45969.499208333153</v>
      </c>
      <c r="AC25" s="10">
        <v>-45722.647034420108</v>
      </c>
      <c r="AD25" s="10">
        <v>-45475.794860507071</v>
      </c>
      <c r="AE25" s="10">
        <v>-45228.942686594026</v>
      </c>
      <c r="AF25" s="10">
        <v>-44982.090512680981</v>
      </c>
      <c r="AG25" s="10">
        <v>-44735.238338767937</v>
      </c>
    </row>
    <row r="26" spans="3:33" x14ac:dyDescent="0.25">
      <c r="C26" s="6">
        <f>0.1</f>
        <v>0.1</v>
      </c>
      <c r="D26" s="10">
        <v>-51647.099208333151</v>
      </c>
      <c r="E26" s="10">
        <v>-51153.394860507069</v>
      </c>
      <c r="F26" s="10">
        <v>-50659.69051268098</v>
      </c>
      <c r="G26" s="10">
        <v>-50165.98616485489</v>
      </c>
      <c r="H26" s="10">
        <v>-49672.281817028808</v>
      </c>
      <c r="I26" s="10">
        <v>-49178.577469202719</v>
      </c>
      <c r="J26" s="10">
        <v>-48684.87312137663</v>
      </c>
      <c r="K26" s="10">
        <v>-48191.168773550547</v>
      </c>
      <c r="L26" s="10">
        <v>-47697.464425724458</v>
      </c>
      <c r="M26" s="10">
        <v>-47203.760077898369</v>
      </c>
      <c r="N26" s="10">
        <v>-46710.055730072287</v>
      </c>
      <c r="O26" s="10">
        <v>-46216.351382246197</v>
      </c>
      <c r="P26" s="10">
        <v>-45722.647034420108</v>
      </c>
      <c r="Q26" s="10">
        <v>-45228.942686594026</v>
      </c>
      <c r="R26" s="10">
        <v>-44735.238338767937</v>
      </c>
      <c r="S26" s="10">
        <v>-44241.533990941847</v>
      </c>
      <c r="T26" s="10">
        <v>-43747.829643115765</v>
      </c>
      <c r="U26" s="10">
        <v>-43254.125295289676</v>
      </c>
      <c r="V26" s="10">
        <v>-42760.420947463586</v>
      </c>
      <c r="W26" s="10">
        <v>-42266.716599637504</v>
      </c>
      <c r="X26" s="10">
        <v>-41773.012251811415</v>
      </c>
      <c r="Y26" s="10">
        <v>-41279.307903985326</v>
      </c>
      <c r="Z26" s="10">
        <v>-40785.603556159243</v>
      </c>
      <c r="AA26" s="10">
        <v>-40291.899208333154</v>
      </c>
      <c r="AB26" s="10">
        <v>-39798.194860507065</v>
      </c>
      <c r="AC26" s="10">
        <v>-39304.490512680983</v>
      </c>
      <c r="AD26" s="10">
        <v>-38810.786164854893</v>
      </c>
      <c r="AE26" s="10">
        <v>-38317.081817028811</v>
      </c>
      <c r="AF26" s="10">
        <v>-37823.377469202722</v>
      </c>
      <c r="AG26" s="10">
        <v>-37329.673121376632</v>
      </c>
    </row>
    <row r="27" spans="3:33" x14ac:dyDescent="0.25">
      <c r="C27" s="6">
        <v>0.15</v>
      </c>
      <c r="D27" s="10">
        <v>-51400.247034420114</v>
      </c>
      <c r="E27" s="10">
        <v>-50659.69051268098</v>
      </c>
      <c r="F27" s="10">
        <v>-49919.133990941846</v>
      </c>
      <c r="G27" s="10">
        <v>-49178.577469202719</v>
      </c>
      <c r="H27" s="10">
        <v>-48438.020947463592</v>
      </c>
      <c r="I27" s="10">
        <v>-47697.464425724458</v>
      </c>
      <c r="J27" s="10">
        <v>-46956.907903985331</v>
      </c>
      <c r="K27" s="10">
        <v>-46216.351382246197</v>
      </c>
      <c r="L27" s="10">
        <v>-45475.794860507071</v>
      </c>
      <c r="M27" s="10">
        <v>-44735.238338767937</v>
      </c>
      <c r="N27" s="10">
        <v>-43994.68181702881</v>
      </c>
      <c r="O27" s="10">
        <v>-43254.125295289676</v>
      </c>
      <c r="P27" s="10">
        <v>-42513.568773550549</v>
      </c>
      <c r="Q27" s="10">
        <v>-41773.012251811415</v>
      </c>
      <c r="R27" s="10">
        <v>-41032.455730072281</v>
      </c>
      <c r="S27" s="10">
        <v>-40291.899208333154</v>
      </c>
      <c r="T27" s="10">
        <v>-39551.342686594027</v>
      </c>
      <c r="U27" s="10">
        <v>-38810.786164854893</v>
      </c>
      <c r="V27" s="10">
        <v>-38070.229643115767</v>
      </c>
      <c r="W27" s="10">
        <v>-37329.673121376632</v>
      </c>
      <c r="X27" s="10">
        <v>-36589.116599637506</v>
      </c>
      <c r="Y27" s="10">
        <v>-35848.560077898372</v>
      </c>
      <c r="Z27" s="10">
        <v>-35108.003556159245</v>
      </c>
      <c r="AA27" s="10">
        <v>-34367.447034420111</v>
      </c>
      <c r="AB27" s="10">
        <v>-33626.890512680984</v>
      </c>
      <c r="AC27" s="10">
        <v>-32886.333990941857</v>
      </c>
      <c r="AD27" s="10">
        <v>-32145.777469202723</v>
      </c>
      <c r="AE27" s="10">
        <v>-31405.220947463593</v>
      </c>
      <c r="AF27" s="10">
        <v>-30664.664425724459</v>
      </c>
      <c r="AG27" s="10">
        <v>-29924.107903985328</v>
      </c>
    </row>
    <row r="28" spans="3:33" x14ac:dyDescent="0.25">
      <c r="C28" s="6">
        <v>0.2</v>
      </c>
      <c r="D28" s="10">
        <v>-51153.394860507069</v>
      </c>
      <c r="E28" s="10">
        <v>-50165.98616485489</v>
      </c>
      <c r="F28" s="10">
        <v>-49178.577469202719</v>
      </c>
      <c r="G28" s="10">
        <v>-48191.168773550547</v>
      </c>
      <c r="H28" s="10">
        <v>-47203.760077898369</v>
      </c>
      <c r="I28" s="10">
        <v>-46216.351382246197</v>
      </c>
      <c r="J28" s="10">
        <v>-45228.942686594026</v>
      </c>
      <c r="K28" s="10">
        <v>-44241.533990941847</v>
      </c>
      <c r="L28" s="10">
        <v>-43254.125295289676</v>
      </c>
      <c r="M28" s="10">
        <v>-42266.716599637504</v>
      </c>
      <c r="N28" s="10">
        <v>-41279.307903985326</v>
      </c>
      <c r="O28" s="10">
        <v>-40291.899208333154</v>
      </c>
      <c r="P28" s="10">
        <v>-39304.490512680983</v>
      </c>
      <c r="Q28" s="10">
        <v>-38317.081817028811</v>
      </c>
      <c r="R28" s="10">
        <v>-37329.673121376632</v>
      </c>
      <c r="S28" s="10">
        <v>-36342.264425724461</v>
      </c>
      <c r="T28" s="10">
        <v>-35354.85573007229</v>
      </c>
      <c r="U28" s="10">
        <v>-34367.447034420111</v>
      </c>
      <c r="V28" s="10">
        <v>-33380.038338767932</v>
      </c>
      <c r="W28" s="10">
        <v>-32392.629643115764</v>
      </c>
      <c r="X28" s="10">
        <v>-31405.220947463589</v>
      </c>
      <c r="Y28" s="10">
        <v>-30417.812251811414</v>
      </c>
      <c r="Z28" s="10">
        <v>-29430.403556159243</v>
      </c>
      <c r="AA28" s="10">
        <v>-28442.994860507068</v>
      </c>
      <c r="AB28" s="10">
        <v>-27455.586164854893</v>
      </c>
      <c r="AC28" s="10">
        <v>-26468.177469202721</v>
      </c>
      <c r="AD28" s="10">
        <v>-25480.768773550546</v>
      </c>
      <c r="AE28" s="10">
        <v>-24493.360077898375</v>
      </c>
      <c r="AF28" s="10">
        <v>-23505.951382246196</v>
      </c>
      <c r="AG28" s="10">
        <v>-22518.542686594024</v>
      </c>
    </row>
    <row r="29" spans="3:33" x14ac:dyDescent="0.25">
      <c r="C29" s="6">
        <v>0.25</v>
      </c>
      <c r="D29" s="10">
        <v>-50906.542686594024</v>
      </c>
      <c r="E29" s="10">
        <v>-49672.281817028808</v>
      </c>
      <c r="F29" s="10">
        <v>-48438.020947463592</v>
      </c>
      <c r="G29" s="10">
        <v>-47203.760077898369</v>
      </c>
      <c r="H29" s="10">
        <v>-45969.499208333153</v>
      </c>
      <c r="I29" s="10">
        <v>-44735.238338767937</v>
      </c>
      <c r="J29" s="10">
        <v>-43500.97746920272</v>
      </c>
      <c r="K29" s="10">
        <v>-42266.716599637504</v>
      </c>
      <c r="L29" s="10">
        <v>-41032.455730072281</v>
      </c>
      <c r="M29" s="10">
        <v>-39798.194860507065</v>
      </c>
      <c r="N29" s="10">
        <v>-38563.933990941849</v>
      </c>
      <c r="O29" s="10">
        <v>-37329.673121376632</v>
      </c>
      <c r="P29" s="10">
        <v>-36095.412251811416</v>
      </c>
      <c r="Q29" s="10">
        <v>-34861.1513822462</v>
      </c>
      <c r="R29" s="10">
        <v>-33626.890512680984</v>
      </c>
      <c r="S29" s="10">
        <v>-32392.629643115764</v>
      </c>
      <c r="T29" s="10">
        <v>-31158.368773550548</v>
      </c>
      <c r="U29" s="10">
        <v>-29924.107903985328</v>
      </c>
      <c r="V29" s="10">
        <v>-28689.847034420112</v>
      </c>
      <c r="W29" s="10">
        <v>-27455.586164854896</v>
      </c>
      <c r="X29" s="10">
        <v>-26221.325295289676</v>
      </c>
      <c r="Y29" s="10">
        <v>-24987.06442572446</v>
      </c>
      <c r="Z29" s="10">
        <v>-23752.803556159244</v>
      </c>
      <c r="AA29" s="10">
        <v>-22518.542686594024</v>
      </c>
      <c r="AB29" s="10">
        <v>-21284.281817028808</v>
      </c>
      <c r="AC29" s="10">
        <v>-20050.020947463592</v>
      </c>
      <c r="AD29" s="10">
        <v>-18815.760077898376</v>
      </c>
      <c r="AE29" s="10">
        <v>-17581.49920833316</v>
      </c>
      <c r="AF29" s="10">
        <v>-16347.238338767937</v>
      </c>
      <c r="AG29" s="10">
        <v>-15112.97746920272</v>
      </c>
    </row>
    <row r="30" spans="3:33" x14ac:dyDescent="0.25">
      <c r="C30" s="6">
        <v>0.3</v>
      </c>
      <c r="D30" s="10">
        <v>-50659.69051268098</v>
      </c>
      <c r="E30" s="10">
        <v>-49178.577469202719</v>
      </c>
      <c r="F30" s="10">
        <v>-47697.464425724458</v>
      </c>
      <c r="G30" s="10">
        <v>-46216.351382246197</v>
      </c>
      <c r="H30" s="10">
        <v>-44735.238338767937</v>
      </c>
      <c r="I30" s="10">
        <v>-43254.125295289676</v>
      </c>
      <c r="J30" s="10">
        <v>-41773.012251811415</v>
      </c>
      <c r="K30" s="10">
        <v>-40291.899208333154</v>
      </c>
      <c r="L30" s="10">
        <v>-38810.786164854893</v>
      </c>
      <c r="M30" s="10">
        <v>-37329.673121376632</v>
      </c>
      <c r="N30" s="10">
        <v>-35848.560077898372</v>
      </c>
      <c r="O30" s="10">
        <v>-34367.447034420111</v>
      </c>
      <c r="P30" s="10">
        <v>-32886.333990941857</v>
      </c>
      <c r="Q30" s="10">
        <v>-31405.220947463593</v>
      </c>
      <c r="R30" s="10">
        <v>-29924.107903985328</v>
      </c>
      <c r="S30" s="10">
        <v>-28442.994860507071</v>
      </c>
      <c r="T30" s="10">
        <v>-26961.88181702881</v>
      </c>
      <c r="U30" s="10">
        <v>-25480.768773550546</v>
      </c>
      <c r="V30" s="10">
        <v>-23999.655730072289</v>
      </c>
      <c r="W30" s="10">
        <v>-22518.542686594028</v>
      </c>
      <c r="X30" s="10">
        <v>-21037.429643115764</v>
      </c>
      <c r="Y30" s="10">
        <v>-19556.316599637506</v>
      </c>
      <c r="Z30" s="10">
        <v>-18075.203556159249</v>
      </c>
      <c r="AA30" s="10">
        <v>-16594.090512680981</v>
      </c>
      <c r="AB30" s="10">
        <v>-15112.97746920272</v>
      </c>
      <c r="AC30" s="10">
        <v>-13631.864425724467</v>
      </c>
      <c r="AD30" s="10">
        <v>-12150.751382246206</v>
      </c>
      <c r="AE30" s="10">
        <v>-10669.638338767945</v>
      </c>
      <c r="AF30" s="10">
        <v>-9188.5252952896772</v>
      </c>
      <c r="AG30" s="10">
        <v>-7707.4122518114164</v>
      </c>
    </row>
    <row r="31" spans="3:33" x14ac:dyDescent="0.25">
      <c r="C31" s="6">
        <v>0.35</v>
      </c>
      <c r="D31" s="10">
        <v>-50412.838338767935</v>
      </c>
      <c r="E31" s="10">
        <v>-48684.87312137663</v>
      </c>
      <c r="F31" s="10">
        <v>-46956.907903985324</v>
      </c>
      <c r="G31" s="10">
        <v>-45228.942686594026</v>
      </c>
      <c r="H31" s="10">
        <v>-43500.97746920272</v>
      </c>
      <c r="I31" s="10">
        <v>-41773.012251811415</v>
      </c>
      <c r="J31" s="10">
        <v>-40045.047034420117</v>
      </c>
      <c r="K31" s="10">
        <v>-38317.081817028811</v>
      </c>
      <c r="L31" s="10">
        <v>-36589.116599637506</v>
      </c>
      <c r="M31" s="10">
        <v>-34861.1513822462</v>
      </c>
      <c r="N31" s="10">
        <v>-33133.186164854895</v>
      </c>
      <c r="O31" s="10">
        <v>-31405.220947463589</v>
      </c>
      <c r="P31" s="10">
        <v>-29677.255730072287</v>
      </c>
      <c r="Q31" s="10">
        <v>-27949.290512680986</v>
      </c>
      <c r="R31" s="10">
        <v>-26221.325295289676</v>
      </c>
      <c r="S31" s="10">
        <v>-24493.360077898375</v>
      </c>
      <c r="T31" s="10">
        <v>-22765.394860507073</v>
      </c>
      <c r="U31" s="10">
        <v>-21037.429643115767</v>
      </c>
      <c r="V31" s="10">
        <v>-19309.464425724465</v>
      </c>
      <c r="W31" s="10">
        <v>-17581.49920833316</v>
      </c>
      <c r="X31" s="10">
        <v>-15853.533990941854</v>
      </c>
      <c r="Y31" s="10">
        <v>-14125.568773550549</v>
      </c>
      <c r="Z31" s="10">
        <v>-12397.603556159251</v>
      </c>
      <c r="AA31" s="10">
        <v>-10669.638338767938</v>
      </c>
      <c r="AB31" s="10">
        <v>-8941.6731213766398</v>
      </c>
      <c r="AC31" s="10">
        <v>-7213.7079039853343</v>
      </c>
      <c r="AD31" s="10">
        <v>-5485.7426865940361</v>
      </c>
      <c r="AE31" s="10">
        <v>-3757.7774692027306</v>
      </c>
      <c r="AF31" s="10">
        <v>-2029.8122518114178</v>
      </c>
      <c r="AG31" s="10">
        <v>-301.84703442011232</v>
      </c>
    </row>
    <row r="32" spans="3:33" x14ac:dyDescent="0.25">
      <c r="C32" s="6">
        <v>0.4</v>
      </c>
      <c r="D32" s="10">
        <v>-50165.98616485489</v>
      </c>
      <c r="E32" s="10">
        <v>-48191.168773550547</v>
      </c>
      <c r="F32" s="10">
        <v>-46216.351382246197</v>
      </c>
      <c r="G32" s="10">
        <v>-44241.533990941847</v>
      </c>
      <c r="H32" s="10">
        <v>-42266.716599637504</v>
      </c>
      <c r="I32" s="10">
        <v>-40291.899208333154</v>
      </c>
      <c r="J32" s="10">
        <v>-38317.081817028811</v>
      </c>
      <c r="K32" s="10">
        <v>-36342.264425724461</v>
      </c>
      <c r="L32" s="10">
        <v>-34367.447034420111</v>
      </c>
      <c r="M32" s="10">
        <v>-32392.629643115764</v>
      </c>
      <c r="N32" s="10">
        <v>-30417.812251811414</v>
      </c>
      <c r="O32" s="10">
        <v>-28442.994860507068</v>
      </c>
      <c r="P32" s="10">
        <v>-26468.177469202721</v>
      </c>
      <c r="Q32" s="10">
        <v>-24493.360077898375</v>
      </c>
      <c r="R32" s="10">
        <v>-22518.542686594024</v>
      </c>
      <c r="S32" s="10">
        <v>-20543.725295289678</v>
      </c>
      <c r="T32" s="10">
        <v>-18568.907903985331</v>
      </c>
      <c r="U32" s="10">
        <v>-16594.090512680981</v>
      </c>
      <c r="V32" s="10">
        <v>-14619.273121376631</v>
      </c>
      <c r="W32" s="10">
        <v>-12644.455730072288</v>
      </c>
      <c r="X32" s="10">
        <v>-10669.638338767938</v>
      </c>
      <c r="Y32" s="10">
        <v>-8694.8209474635878</v>
      </c>
      <c r="Z32" s="10">
        <v>-6720.0035561592449</v>
      </c>
      <c r="AA32" s="10">
        <v>-4745.1861648548947</v>
      </c>
      <c r="AB32" s="10">
        <v>-2770.3687735505446</v>
      </c>
      <c r="AC32" s="10">
        <v>-795.55138224620168</v>
      </c>
      <c r="AD32" s="10">
        <v>1179.2660090581485</v>
      </c>
      <c r="AE32" s="10">
        <v>3154.0834003624914</v>
      </c>
      <c r="AF32" s="10">
        <v>5128.9007916668488</v>
      </c>
      <c r="AG32" s="10">
        <v>7103.7181829711917</v>
      </c>
    </row>
    <row r="33" spans="3:33" x14ac:dyDescent="0.25">
      <c r="C33" s="6">
        <v>0.45</v>
      </c>
      <c r="D33" s="10">
        <v>-49919.133990941846</v>
      </c>
      <c r="E33" s="10">
        <v>-47697.464425724458</v>
      </c>
      <c r="F33" s="10">
        <v>-45475.794860507071</v>
      </c>
      <c r="G33" s="10">
        <v>-43254.125295289676</v>
      </c>
      <c r="H33" s="10">
        <v>-41032.455730072281</v>
      </c>
      <c r="I33" s="10">
        <v>-38810.786164854893</v>
      </c>
      <c r="J33" s="10">
        <v>-36589.116599637506</v>
      </c>
      <c r="K33" s="10">
        <v>-34367.447034420111</v>
      </c>
      <c r="L33" s="10">
        <v>-32145.77746920272</v>
      </c>
      <c r="M33" s="10">
        <v>-29924.107903985328</v>
      </c>
      <c r="N33" s="10">
        <v>-27702.438338767937</v>
      </c>
      <c r="O33" s="10">
        <v>-25480.768773550546</v>
      </c>
      <c r="P33" s="10">
        <v>-23259.099208333155</v>
      </c>
      <c r="Q33" s="10">
        <v>-21037.429643115767</v>
      </c>
      <c r="R33" s="10">
        <v>-18815.760077898369</v>
      </c>
      <c r="S33" s="10">
        <v>-16594.090512680981</v>
      </c>
      <c r="T33" s="10">
        <v>-14372.420947463594</v>
      </c>
      <c r="U33" s="10">
        <v>-12150.751382246199</v>
      </c>
      <c r="V33" s="10">
        <v>-9929.0818170288112</v>
      </c>
      <c r="W33" s="10">
        <v>-7707.4122518114164</v>
      </c>
      <c r="X33" s="10">
        <v>-5485.7426865940215</v>
      </c>
      <c r="Y33" s="10">
        <v>-3264.0731213766339</v>
      </c>
      <c r="Z33" s="10">
        <v>-1042.4035561592464</v>
      </c>
      <c r="AA33" s="10">
        <v>1179.2660090581485</v>
      </c>
      <c r="AB33" s="10">
        <v>3400.9355742755361</v>
      </c>
      <c r="AC33" s="10">
        <v>5622.6051394929309</v>
      </c>
      <c r="AD33" s="10">
        <v>7844.2747047103185</v>
      </c>
      <c r="AE33" s="10">
        <v>10065.944269927706</v>
      </c>
      <c r="AF33" s="10">
        <v>12287.613835145108</v>
      </c>
      <c r="AG33" s="10">
        <v>14509.283400362503</v>
      </c>
    </row>
    <row r="34" spans="3:33" x14ac:dyDescent="0.25">
      <c r="C34" s="6">
        <v>0.5</v>
      </c>
      <c r="D34" s="10">
        <v>-49672.281817028808</v>
      </c>
      <c r="E34" s="10">
        <v>-47203.760077898369</v>
      </c>
      <c r="F34" s="10">
        <v>-44735.238338767937</v>
      </c>
      <c r="G34" s="10">
        <v>-42266.716599637504</v>
      </c>
      <c r="H34" s="10">
        <v>-39798.194860507065</v>
      </c>
      <c r="I34" s="10">
        <v>-37329.673121376632</v>
      </c>
      <c r="J34" s="10">
        <v>-34861.1513822462</v>
      </c>
      <c r="K34" s="10">
        <v>-32392.629643115764</v>
      </c>
      <c r="L34" s="10">
        <v>-29924.107903985328</v>
      </c>
      <c r="M34" s="10">
        <v>-27455.586164854896</v>
      </c>
      <c r="N34" s="10">
        <v>-24987.06442572446</v>
      </c>
      <c r="O34" s="10">
        <v>-22518.542686594024</v>
      </c>
      <c r="P34" s="10">
        <v>-20050.020947463592</v>
      </c>
      <c r="Q34" s="10">
        <v>-17581.49920833316</v>
      </c>
      <c r="R34" s="10">
        <v>-15112.97746920272</v>
      </c>
      <c r="S34" s="10">
        <v>-12644.455730072288</v>
      </c>
      <c r="T34" s="10">
        <v>-10175.933990941856</v>
      </c>
      <c r="U34" s="10">
        <v>-7707.4122518114164</v>
      </c>
      <c r="V34" s="10">
        <v>-5238.8905126809841</v>
      </c>
      <c r="W34" s="10">
        <v>-2770.3687735505519</v>
      </c>
      <c r="X34" s="10">
        <v>-301.84703442011232</v>
      </c>
      <c r="Y34" s="10">
        <v>2166.6747047103199</v>
      </c>
      <c r="Z34" s="10">
        <v>4635.1964438407522</v>
      </c>
      <c r="AA34" s="10">
        <v>7103.7181829711917</v>
      </c>
      <c r="AB34" s="10">
        <v>9572.239922101624</v>
      </c>
      <c r="AC34" s="10">
        <v>12040.761661232056</v>
      </c>
      <c r="AD34" s="10">
        <v>14509.283400362488</v>
      </c>
      <c r="AE34" s="10">
        <v>16977.805139492921</v>
      </c>
      <c r="AF34" s="10">
        <v>19446.326878623368</v>
      </c>
      <c r="AG34" s="10">
        <v>21914.8486177538</v>
      </c>
    </row>
    <row r="35" spans="3:33" x14ac:dyDescent="0.25">
      <c r="C35" s="6">
        <v>0.55000000000000004</v>
      </c>
      <c r="D35" s="10">
        <v>-49425.429643115764</v>
      </c>
      <c r="E35" s="10">
        <v>-46710.055730072287</v>
      </c>
      <c r="F35" s="10">
        <v>-43994.681817028802</v>
      </c>
      <c r="G35" s="10">
        <v>-41279.307903985326</v>
      </c>
      <c r="H35" s="10">
        <v>-38563.933990941849</v>
      </c>
      <c r="I35" s="10">
        <v>-35848.560077898372</v>
      </c>
      <c r="J35" s="10">
        <v>-33133.186164854895</v>
      </c>
      <c r="K35" s="10">
        <v>-30417.812251811414</v>
      </c>
      <c r="L35" s="10">
        <v>-27702.438338767934</v>
      </c>
      <c r="M35" s="10">
        <v>-24987.06442572446</v>
      </c>
      <c r="N35" s="10">
        <v>-22271.69051268098</v>
      </c>
      <c r="O35" s="10">
        <v>-19556.316599637499</v>
      </c>
      <c r="P35" s="10">
        <v>-16840.942686594026</v>
      </c>
      <c r="Q35" s="10">
        <v>-14125.568773550549</v>
      </c>
      <c r="R35" s="10">
        <v>-11410.194860507065</v>
      </c>
      <c r="S35" s="10">
        <v>-8694.8209474635878</v>
      </c>
      <c r="T35" s="10">
        <v>-5979.4470344201109</v>
      </c>
      <c r="U35" s="10">
        <v>-3264.0731213766267</v>
      </c>
      <c r="V35" s="10">
        <v>-548.699208333157</v>
      </c>
      <c r="W35" s="10">
        <v>2166.6747047103199</v>
      </c>
      <c r="X35" s="10">
        <v>4882.0486177538041</v>
      </c>
      <c r="Y35" s="10">
        <v>7597.4225307972811</v>
      </c>
      <c r="Z35" s="10">
        <v>10312.796443840758</v>
      </c>
      <c r="AA35" s="10">
        <v>13028.170356884242</v>
      </c>
      <c r="AB35" s="10">
        <v>15743.544269927719</v>
      </c>
      <c r="AC35" s="10">
        <v>18458.918182971189</v>
      </c>
      <c r="AD35" s="10">
        <v>21174.292096014673</v>
      </c>
      <c r="AE35" s="10">
        <v>23889.666009058143</v>
      </c>
      <c r="AF35" s="10">
        <v>26605.039922101641</v>
      </c>
      <c r="AG35" s="10">
        <v>29320.413835145111</v>
      </c>
    </row>
    <row r="36" spans="3:33" x14ac:dyDescent="0.25">
      <c r="C36" s="6">
        <v>0.6</v>
      </c>
      <c r="D36" s="10">
        <v>-49178.577469202719</v>
      </c>
      <c r="E36" s="10">
        <v>-46216.351382246197</v>
      </c>
      <c r="F36" s="10">
        <v>-43254.125295289676</v>
      </c>
      <c r="G36" s="10">
        <v>-40291.899208333154</v>
      </c>
      <c r="H36" s="10">
        <v>-37329.673121376632</v>
      </c>
      <c r="I36" s="10">
        <v>-34367.447034420111</v>
      </c>
      <c r="J36" s="10">
        <v>-31405.220947463593</v>
      </c>
      <c r="K36" s="10">
        <v>-28442.994860507071</v>
      </c>
      <c r="L36" s="10">
        <v>-25480.768773550546</v>
      </c>
      <c r="M36" s="10">
        <v>-22518.542686594028</v>
      </c>
      <c r="N36" s="10">
        <v>-19556.316599637506</v>
      </c>
      <c r="O36" s="10">
        <v>-16594.090512680981</v>
      </c>
      <c r="P36" s="10">
        <v>-13631.864425724467</v>
      </c>
      <c r="Q36" s="10">
        <v>-10669.638338767945</v>
      </c>
      <c r="R36" s="10">
        <v>-7707.4122518114164</v>
      </c>
      <c r="S36" s="10">
        <v>-4745.186164854902</v>
      </c>
      <c r="T36" s="10">
        <v>-1782.9600778983804</v>
      </c>
      <c r="U36" s="10">
        <v>1179.2660090581485</v>
      </c>
      <c r="V36" s="10">
        <v>4141.4920960146628</v>
      </c>
      <c r="W36" s="10">
        <v>7103.7181829711844</v>
      </c>
      <c r="X36" s="10">
        <v>10065.944269927713</v>
      </c>
      <c r="Y36" s="10">
        <v>13028.170356884228</v>
      </c>
      <c r="Z36" s="10">
        <v>15990.396443840742</v>
      </c>
      <c r="AA36" s="10">
        <v>18952.622530797278</v>
      </c>
      <c r="AB36" s="10">
        <v>21914.8486177538</v>
      </c>
      <c r="AC36" s="10">
        <v>24877.074704710307</v>
      </c>
      <c r="AD36" s="10">
        <v>27839.300791666828</v>
      </c>
      <c r="AE36" s="10">
        <v>30801.52687862335</v>
      </c>
      <c r="AF36" s="10">
        <v>33763.752965579886</v>
      </c>
      <c r="AG36" s="10">
        <v>36725.979052536408</v>
      </c>
    </row>
    <row r="37" spans="3:33" x14ac:dyDescent="0.25">
      <c r="C37" s="6">
        <v>0.65</v>
      </c>
      <c r="D37" s="10">
        <v>-48931.725295289674</v>
      </c>
      <c r="E37" s="10">
        <v>-45722.647034420108</v>
      </c>
      <c r="F37" s="10">
        <v>-42513.568773550549</v>
      </c>
      <c r="G37" s="10">
        <v>-39304.490512680983</v>
      </c>
      <c r="H37" s="10">
        <v>-36095.412251811416</v>
      </c>
      <c r="I37" s="10">
        <v>-32886.33399094185</v>
      </c>
      <c r="J37" s="10">
        <v>-29677.255730072287</v>
      </c>
      <c r="K37" s="10">
        <v>-26468.177469202721</v>
      </c>
      <c r="L37" s="10">
        <v>-23259.099208333155</v>
      </c>
      <c r="M37" s="10">
        <v>-20050.020947463592</v>
      </c>
      <c r="N37" s="10">
        <v>-16840.942686594026</v>
      </c>
      <c r="O37" s="10">
        <v>-13631.86442572446</v>
      </c>
      <c r="P37" s="10">
        <v>-10422.786164854893</v>
      </c>
      <c r="Q37" s="10">
        <v>-7213.7079039853343</v>
      </c>
      <c r="R37" s="10">
        <v>-4004.6296431157607</v>
      </c>
      <c r="S37" s="10">
        <v>-795.55138224620168</v>
      </c>
      <c r="T37" s="10">
        <v>2413.5268786233646</v>
      </c>
      <c r="U37" s="10">
        <v>5622.6051394929309</v>
      </c>
      <c r="V37" s="10">
        <v>8831.6834003624972</v>
      </c>
      <c r="W37" s="10">
        <v>12040.761661232056</v>
      </c>
      <c r="X37" s="10">
        <v>15249.83992210163</v>
      </c>
      <c r="Y37" s="10">
        <v>18458.918182971189</v>
      </c>
      <c r="Z37" s="10">
        <v>21667.996443840748</v>
      </c>
      <c r="AA37" s="10">
        <v>24877.074704710321</v>
      </c>
      <c r="AB37" s="10">
        <v>28086.15296557988</v>
      </c>
      <c r="AC37" s="10">
        <v>31295.231226449454</v>
      </c>
      <c r="AD37" s="10">
        <v>34504.309487319013</v>
      </c>
      <c r="AE37" s="10">
        <v>37713.387748188572</v>
      </c>
      <c r="AF37" s="10">
        <v>40922.46600905816</v>
      </c>
      <c r="AG37" s="10">
        <v>44131.544269927719</v>
      </c>
    </row>
    <row r="38" spans="3:33" x14ac:dyDescent="0.25">
      <c r="C38" s="6">
        <v>0.7</v>
      </c>
      <c r="D38" s="10">
        <v>-48684.87312137663</v>
      </c>
      <c r="E38" s="10">
        <v>-45228.942686594026</v>
      </c>
      <c r="F38" s="10">
        <v>-41773.012251811415</v>
      </c>
      <c r="G38" s="10">
        <v>-38317.081817028811</v>
      </c>
      <c r="H38" s="10">
        <v>-34861.1513822462</v>
      </c>
      <c r="I38" s="10">
        <v>-31405.220947463589</v>
      </c>
      <c r="J38" s="10">
        <v>-27949.290512680986</v>
      </c>
      <c r="K38" s="10">
        <v>-24493.360077898375</v>
      </c>
      <c r="L38" s="10">
        <v>-21037.429643115767</v>
      </c>
      <c r="M38" s="10">
        <v>-17581.49920833316</v>
      </c>
      <c r="N38" s="10">
        <v>-14125.568773550549</v>
      </c>
      <c r="O38" s="10">
        <v>-10669.638338767938</v>
      </c>
      <c r="P38" s="10">
        <v>-7213.7079039853343</v>
      </c>
      <c r="Q38" s="10">
        <v>-3757.7774692027306</v>
      </c>
      <c r="R38" s="10">
        <v>-301.84703442011232</v>
      </c>
      <c r="S38" s="10">
        <v>3154.0834003624914</v>
      </c>
      <c r="T38" s="10">
        <v>6610.0138351450951</v>
      </c>
      <c r="U38" s="10">
        <v>10065.944269927706</v>
      </c>
      <c r="V38" s="10">
        <v>13521.87470471031</v>
      </c>
      <c r="W38" s="10">
        <v>16977.805139492921</v>
      </c>
      <c r="X38" s="10">
        <v>20433.735574275532</v>
      </c>
      <c r="Y38" s="10">
        <v>23889.666009058143</v>
      </c>
      <c r="Z38" s="10">
        <v>27345.596443840739</v>
      </c>
      <c r="AA38" s="10">
        <v>30801.526878623365</v>
      </c>
      <c r="AB38" s="10">
        <v>34257.457313405961</v>
      </c>
      <c r="AC38" s="10">
        <v>37713.387748188572</v>
      </c>
      <c r="AD38" s="10">
        <v>41169.318182971168</v>
      </c>
      <c r="AE38" s="10">
        <v>44625.248617753779</v>
      </c>
      <c r="AF38" s="10">
        <v>48081.179052536405</v>
      </c>
      <c r="AG38" s="10">
        <v>51537.109487319016</v>
      </c>
    </row>
    <row r="39" spans="3:33" x14ac:dyDescent="0.25">
      <c r="C39" s="6">
        <v>0.75</v>
      </c>
      <c r="D39" s="10">
        <v>-48438.020947463592</v>
      </c>
      <c r="E39" s="10">
        <v>-44735.238338767937</v>
      </c>
      <c r="F39" s="10">
        <v>-41032.455730072281</v>
      </c>
      <c r="G39" s="10">
        <v>-37329.673121376632</v>
      </c>
      <c r="H39" s="10">
        <v>-33626.890512680984</v>
      </c>
      <c r="I39" s="10">
        <v>-29924.107903985328</v>
      </c>
      <c r="J39" s="10">
        <v>-26221.32529528968</v>
      </c>
      <c r="K39" s="10">
        <v>-22518.542686594024</v>
      </c>
      <c r="L39" s="10">
        <v>-18815.760077898376</v>
      </c>
      <c r="M39" s="10">
        <v>-15112.977469202728</v>
      </c>
      <c r="N39" s="10">
        <v>-11410.194860507072</v>
      </c>
      <c r="O39" s="10">
        <v>-7707.4122518114164</v>
      </c>
      <c r="P39" s="10">
        <v>-4004.629643115768</v>
      </c>
      <c r="Q39" s="10">
        <v>-301.8470344201196</v>
      </c>
      <c r="R39" s="10">
        <v>3400.9355742755433</v>
      </c>
      <c r="S39" s="10">
        <v>7103.7181829711917</v>
      </c>
      <c r="T39" s="10">
        <v>10806.50079166684</v>
      </c>
      <c r="U39" s="10">
        <v>14509.283400362488</v>
      </c>
      <c r="V39" s="10">
        <v>18212.066009058137</v>
      </c>
      <c r="W39" s="10">
        <v>21914.848617753785</v>
      </c>
      <c r="X39" s="10">
        <v>25617.631226449448</v>
      </c>
      <c r="Y39" s="10">
        <v>29320.413835145097</v>
      </c>
      <c r="Z39" s="10">
        <v>33023.196443840745</v>
      </c>
      <c r="AA39" s="10">
        <v>36725.979052536408</v>
      </c>
      <c r="AB39" s="10">
        <v>40428.761661232056</v>
      </c>
      <c r="AC39" s="10">
        <v>44131.544269927705</v>
      </c>
      <c r="AD39" s="10">
        <v>47834.326878623353</v>
      </c>
      <c r="AE39" s="10">
        <v>51537.109487319001</v>
      </c>
      <c r="AF39" s="10">
        <v>55239.892096014679</v>
      </c>
      <c r="AG39" s="10">
        <v>58942.674704710327</v>
      </c>
    </row>
    <row r="40" spans="3:33" x14ac:dyDescent="0.25">
      <c r="C40" s="6">
        <v>0.8</v>
      </c>
      <c r="D40" s="10">
        <v>-48191.168773550547</v>
      </c>
      <c r="E40" s="10">
        <v>-44241.533990941847</v>
      </c>
      <c r="F40" s="10">
        <v>-40291.899208333154</v>
      </c>
      <c r="G40" s="10">
        <v>-36342.264425724461</v>
      </c>
      <c r="H40" s="10">
        <v>-32392.629643115764</v>
      </c>
      <c r="I40" s="10">
        <v>-28442.994860507068</v>
      </c>
      <c r="J40" s="10">
        <v>-24493.360077898375</v>
      </c>
      <c r="K40" s="10">
        <v>-20543.725295289678</v>
      </c>
      <c r="L40" s="10">
        <v>-16594.090512680981</v>
      </c>
      <c r="M40" s="10">
        <v>-12644.455730072288</v>
      </c>
      <c r="N40" s="10">
        <v>-8694.8209474635878</v>
      </c>
      <c r="O40" s="10">
        <v>-4745.1861648548947</v>
      </c>
      <c r="P40" s="10">
        <v>-795.55138224620168</v>
      </c>
      <c r="Q40" s="10">
        <v>3154.0834003624914</v>
      </c>
      <c r="R40" s="10">
        <v>7103.7181829711917</v>
      </c>
      <c r="S40" s="10">
        <v>11053.352965579885</v>
      </c>
      <c r="T40" s="10">
        <v>15002.987748188578</v>
      </c>
      <c r="U40" s="10">
        <v>18952.622530797278</v>
      </c>
      <c r="V40" s="10">
        <v>22902.257313405978</v>
      </c>
      <c r="W40" s="10">
        <v>26851.892096014664</v>
      </c>
      <c r="X40" s="10">
        <v>30801.526878623365</v>
      </c>
      <c r="Y40" s="10">
        <v>34751.161661232065</v>
      </c>
      <c r="Z40" s="10">
        <v>38700.796443840751</v>
      </c>
      <c r="AA40" s="10">
        <v>42650.431226449451</v>
      </c>
      <c r="AB40" s="10">
        <v>46600.066009058151</v>
      </c>
      <c r="AC40" s="10">
        <v>50549.700791666837</v>
      </c>
      <c r="AD40" s="10">
        <v>54499.335574275538</v>
      </c>
      <c r="AE40" s="10">
        <v>58448.970356884223</v>
      </c>
      <c r="AF40" s="10">
        <v>62398.605139492938</v>
      </c>
      <c r="AG40" s="10">
        <v>66348.239922101624</v>
      </c>
    </row>
    <row r="41" spans="3:33" x14ac:dyDescent="0.25">
      <c r="C41" s="6">
        <v>0.85</v>
      </c>
      <c r="D41" s="10">
        <v>-47944.316599637503</v>
      </c>
      <c r="E41" s="10">
        <v>-43747.829643115765</v>
      </c>
      <c r="F41" s="10">
        <v>-39551.342686594027</v>
      </c>
      <c r="G41" s="10">
        <v>-35354.85573007229</v>
      </c>
      <c r="H41" s="10">
        <v>-31158.368773550548</v>
      </c>
      <c r="I41" s="10">
        <v>-26961.881817028807</v>
      </c>
      <c r="J41" s="10">
        <v>-22765.394860507073</v>
      </c>
      <c r="K41" s="10">
        <v>-18568.907903985331</v>
      </c>
      <c r="L41" s="10">
        <v>-14372.420947463594</v>
      </c>
      <c r="M41" s="10">
        <v>-10175.933990941856</v>
      </c>
      <c r="N41" s="10">
        <v>-5979.4470344201181</v>
      </c>
      <c r="O41" s="10">
        <v>-1782.9600778983731</v>
      </c>
      <c r="P41" s="10">
        <v>2413.5268786233573</v>
      </c>
      <c r="Q41" s="10">
        <v>6610.0138351450951</v>
      </c>
      <c r="R41" s="10">
        <v>10806.50079166684</v>
      </c>
      <c r="S41" s="10">
        <v>15002.987748188578</v>
      </c>
      <c r="T41" s="10">
        <v>19199.474704710316</v>
      </c>
      <c r="U41" s="10">
        <v>23395.961661232053</v>
      </c>
      <c r="V41" s="10">
        <v>27592.448617753791</v>
      </c>
      <c r="W41" s="10">
        <v>31788.935574275529</v>
      </c>
      <c r="X41" s="10">
        <v>35985.422530797281</v>
      </c>
      <c r="Y41" s="10">
        <v>40181.909487319004</v>
      </c>
      <c r="Z41" s="10">
        <v>44378.396443840742</v>
      </c>
      <c r="AA41" s="10">
        <v>48574.883400362494</v>
      </c>
      <c r="AB41" s="10">
        <v>52771.370356884232</v>
      </c>
      <c r="AC41" s="10">
        <v>56967.857313405955</v>
      </c>
      <c r="AD41" s="10">
        <v>61164.344269927693</v>
      </c>
      <c r="AE41" s="10">
        <v>65360.831226449431</v>
      </c>
      <c r="AF41" s="10">
        <v>69557.318182971183</v>
      </c>
      <c r="AG41" s="10">
        <v>73753.805139492921</v>
      </c>
    </row>
    <row r="42" spans="3:33" x14ac:dyDescent="0.25">
      <c r="C42" s="6">
        <v>0.9</v>
      </c>
      <c r="D42" s="10">
        <v>-47697.464425724458</v>
      </c>
      <c r="E42" s="10">
        <v>-43254.125295289676</v>
      </c>
      <c r="F42" s="10">
        <v>-38810.786164854893</v>
      </c>
      <c r="G42" s="10">
        <v>-34367.447034420111</v>
      </c>
      <c r="H42" s="10">
        <v>-29924.107903985328</v>
      </c>
      <c r="I42" s="10">
        <v>-25480.768773550546</v>
      </c>
      <c r="J42" s="10">
        <v>-21037.429643115767</v>
      </c>
      <c r="K42" s="10">
        <v>-16594.090512680981</v>
      </c>
      <c r="L42" s="10">
        <v>-12150.751382246199</v>
      </c>
      <c r="M42" s="10">
        <v>-7707.4122518114164</v>
      </c>
      <c r="N42" s="10">
        <v>-3264.0731213766339</v>
      </c>
      <c r="O42" s="10">
        <v>1179.2660090581485</v>
      </c>
      <c r="P42" s="10">
        <v>5622.6051394929309</v>
      </c>
      <c r="Q42" s="10">
        <v>10065.944269927706</v>
      </c>
      <c r="R42" s="10">
        <v>14509.283400362503</v>
      </c>
      <c r="S42" s="10">
        <v>18952.622530797278</v>
      </c>
      <c r="T42" s="10">
        <v>23395.961661232053</v>
      </c>
      <c r="U42" s="10">
        <v>27839.300791666843</v>
      </c>
      <c r="V42" s="10">
        <v>32282.639922101618</v>
      </c>
      <c r="W42" s="10">
        <v>36725.979052536408</v>
      </c>
      <c r="X42" s="10">
        <v>41169.318182971198</v>
      </c>
      <c r="Y42" s="10">
        <v>45612.657313405973</v>
      </c>
      <c r="Z42" s="10">
        <v>50055.996443840748</v>
      </c>
      <c r="AA42" s="10">
        <v>54499.335574275538</v>
      </c>
      <c r="AB42" s="10">
        <v>58942.674704710313</v>
      </c>
      <c r="AC42" s="10">
        <v>63386.013835145102</v>
      </c>
      <c r="AD42" s="10">
        <v>67829.352965579877</v>
      </c>
      <c r="AE42" s="10">
        <v>72272.692096014653</v>
      </c>
      <c r="AF42" s="10">
        <v>76716.031226449457</v>
      </c>
      <c r="AG42" s="10">
        <v>81159.370356884247</v>
      </c>
    </row>
    <row r="43" spans="3:33" x14ac:dyDescent="0.25">
      <c r="C43" s="6">
        <v>0.95</v>
      </c>
      <c r="D43" s="10">
        <v>-47450.612251811413</v>
      </c>
      <c r="E43" s="10">
        <v>-42760.420947463586</v>
      </c>
      <c r="F43" s="10">
        <v>-38070.229643115759</v>
      </c>
      <c r="G43" s="10">
        <v>-33380.038338767939</v>
      </c>
      <c r="H43" s="10">
        <v>-28689.847034420116</v>
      </c>
      <c r="I43" s="10">
        <v>-23999.655730072285</v>
      </c>
      <c r="J43" s="10">
        <v>-19309.464425724465</v>
      </c>
      <c r="K43" s="10">
        <v>-14619.273121376638</v>
      </c>
      <c r="L43" s="10">
        <v>-9929.0818170288112</v>
      </c>
      <c r="M43" s="10">
        <v>-5238.8905126809914</v>
      </c>
      <c r="N43" s="10">
        <v>-548.699208333157</v>
      </c>
      <c r="O43" s="10">
        <v>4141.4920960146701</v>
      </c>
      <c r="P43" s="10">
        <v>8831.6834003624899</v>
      </c>
      <c r="Q43" s="10">
        <v>13521.87470471031</v>
      </c>
      <c r="R43" s="10">
        <v>18212.066009058151</v>
      </c>
      <c r="S43" s="10">
        <v>22902.257313405964</v>
      </c>
      <c r="T43" s="10">
        <v>27592.448617753791</v>
      </c>
      <c r="U43" s="10">
        <v>32282.639922101618</v>
      </c>
      <c r="V43" s="10">
        <v>36972.831226449445</v>
      </c>
      <c r="W43" s="10">
        <v>41663.022530797258</v>
      </c>
      <c r="X43" s="10">
        <v>46353.213835145099</v>
      </c>
      <c r="Y43" s="10">
        <v>51043.405139492927</v>
      </c>
      <c r="Z43" s="10">
        <v>55733.596443840739</v>
      </c>
      <c r="AA43" s="10">
        <v>60423.787748188581</v>
      </c>
      <c r="AB43" s="10">
        <v>65113.979052536393</v>
      </c>
      <c r="AC43" s="10">
        <v>69804.17035688422</v>
      </c>
      <c r="AD43" s="10">
        <v>74494.361661232033</v>
      </c>
      <c r="AE43" s="10">
        <v>79184.55296557986</v>
      </c>
      <c r="AF43" s="10">
        <v>83874.744269927716</v>
      </c>
      <c r="AG43" s="10">
        <v>88564.935574275543</v>
      </c>
    </row>
    <row r="44" spans="3:33" x14ac:dyDescent="0.25">
      <c r="C44" s="6">
        <v>1</v>
      </c>
      <c r="D44" s="10">
        <v>-47203.760077898369</v>
      </c>
      <c r="E44" s="10">
        <v>-42266.716599637504</v>
      </c>
      <c r="F44" s="10">
        <v>-37329.673121376632</v>
      </c>
      <c r="G44" s="10">
        <v>-32392.629643115764</v>
      </c>
      <c r="H44" s="10">
        <v>-27455.586164854896</v>
      </c>
      <c r="I44" s="10">
        <v>-22518.542686594024</v>
      </c>
      <c r="J44" s="10">
        <v>-17581.49920833316</v>
      </c>
      <c r="K44" s="10">
        <v>-12644.455730072288</v>
      </c>
      <c r="L44" s="10">
        <v>-7707.4122518114164</v>
      </c>
      <c r="M44" s="10">
        <v>-2770.3687735505519</v>
      </c>
      <c r="N44" s="10">
        <v>2166.6747047103199</v>
      </c>
      <c r="O44" s="10">
        <v>7103.7181829711917</v>
      </c>
      <c r="P44" s="10">
        <v>12040.761661232056</v>
      </c>
      <c r="Q44" s="10">
        <v>16977.805139492921</v>
      </c>
      <c r="R44" s="10">
        <v>21914.8486177538</v>
      </c>
      <c r="S44" s="10">
        <v>26851.892096014664</v>
      </c>
      <c r="T44" s="10">
        <v>31788.935574275529</v>
      </c>
      <c r="U44" s="10">
        <v>36725.979052536408</v>
      </c>
      <c r="V44" s="10">
        <v>41663.022530797272</v>
      </c>
      <c r="W44" s="10">
        <v>46600.066009058137</v>
      </c>
      <c r="X44" s="10">
        <v>51537.109487319016</v>
      </c>
      <c r="Y44" s="10">
        <v>56474.15296557988</v>
      </c>
      <c r="Z44" s="10">
        <v>61411.196443840745</v>
      </c>
      <c r="AA44" s="10">
        <v>66348.239922101624</v>
      </c>
      <c r="AB44" s="10">
        <v>71285.283400362488</v>
      </c>
      <c r="AC44" s="10">
        <v>76222.326878623353</v>
      </c>
      <c r="AD44" s="10">
        <v>81159.370356884217</v>
      </c>
      <c r="AE44" s="10">
        <v>86096.413835145082</v>
      </c>
      <c r="AF44" s="10">
        <v>91033.457313405976</v>
      </c>
      <c r="AG44" s="10">
        <v>95970.50079166684</v>
      </c>
    </row>
  </sheetData>
  <conditionalFormatting sqref="D24:AG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9D61-D4A7-4E23-B1D1-9BCA2220D828}">
  <dimension ref="C1:AK51"/>
  <sheetViews>
    <sheetView showGridLines="0" zoomScale="90" zoomScaleNormal="90" workbookViewId="0">
      <selection activeCell="D7" sqref="D7"/>
    </sheetView>
  </sheetViews>
  <sheetFormatPr defaultRowHeight="15" x14ac:dyDescent="0.25"/>
  <cols>
    <col min="4" max="4" width="54.5703125" bestFit="1" customWidth="1"/>
    <col min="5" max="5" width="15.28515625" customWidth="1"/>
    <col min="6" max="6" width="39" customWidth="1"/>
    <col min="7" max="7" width="22.140625" bestFit="1" customWidth="1"/>
    <col min="8" max="27" width="14.42578125" bestFit="1" customWidth="1"/>
    <col min="28" max="31" width="14.85546875" bestFit="1" customWidth="1"/>
    <col min="32" max="32" width="14.42578125" bestFit="1" customWidth="1"/>
    <col min="33" max="37" width="14.85546875" bestFit="1" customWidth="1"/>
  </cols>
  <sheetData>
    <row r="1" spans="3:37" ht="39" customHeight="1" x14ac:dyDescent="0.35">
      <c r="C1" s="36" t="s">
        <v>75</v>
      </c>
      <c r="D1" s="36"/>
    </row>
    <row r="2" spans="3:37" ht="20.25" thickBot="1" x14ac:dyDescent="0.35">
      <c r="D2" s="37" t="s">
        <v>91</v>
      </c>
    </row>
    <row r="3" spans="3:37" ht="15.75" thickTop="1" x14ac:dyDescent="0.25">
      <c r="D3" s="55" t="s">
        <v>101</v>
      </c>
      <c r="E3" s="22">
        <f>'L.A Fitness Model'!E13</f>
        <v>52140.803556159241</v>
      </c>
      <c r="F3" s="93" t="s">
        <v>93</v>
      </c>
    </row>
    <row r="4" spans="3:37" x14ac:dyDescent="0.25">
      <c r="D4" s="56" t="s">
        <v>102</v>
      </c>
      <c r="E4" s="23">
        <f>'L.A Fitness Model'!E14</f>
        <v>298090.65314895572</v>
      </c>
      <c r="F4" s="94" t="s">
        <v>94</v>
      </c>
      <c r="G4" s="1" t="s">
        <v>83</v>
      </c>
      <c r="H4" s="95" t="s">
        <v>82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</row>
    <row r="5" spans="3:37" x14ac:dyDescent="0.25">
      <c r="D5" s="56" t="s">
        <v>103</v>
      </c>
      <c r="E5" s="23">
        <f>'L.A Fitness Model'!E15</f>
        <v>7868.8753648409893</v>
      </c>
      <c r="F5" t="s">
        <v>95</v>
      </c>
      <c r="G5" s="85">
        <f>E23</f>
        <v>293315.0727837244</v>
      </c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0">
        <v>9</v>
      </c>
      <c r="Q5" s="10">
        <v>10</v>
      </c>
      <c r="R5" s="10">
        <v>11</v>
      </c>
      <c r="S5" s="10">
        <v>12</v>
      </c>
      <c r="T5" s="10">
        <v>13</v>
      </c>
      <c r="U5" s="10">
        <v>14</v>
      </c>
      <c r="V5" s="10">
        <v>15</v>
      </c>
      <c r="W5" s="10">
        <v>16</v>
      </c>
      <c r="X5" s="10">
        <v>17</v>
      </c>
      <c r="Y5" s="10">
        <v>18</v>
      </c>
      <c r="Z5" s="10">
        <v>19</v>
      </c>
      <c r="AA5" s="10">
        <v>20</v>
      </c>
      <c r="AB5" s="10">
        <v>21</v>
      </c>
      <c r="AC5" s="10">
        <v>22</v>
      </c>
      <c r="AD5" s="10">
        <v>23</v>
      </c>
      <c r="AE5" s="10">
        <v>24</v>
      </c>
      <c r="AF5" s="10">
        <v>25</v>
      </c>
      <c r="AG5" s="10">
        <v>26</v>
      </c>
      <c r="AH5" s="10">
        <v>27</v>
      </c>
      <c r="AI5" s="10">
        <v>28</v>
      </c>
      <c r="AJ5" s="10">
        <v>29</v>
      </c>
      <c r="AK5" s="10">
        <v>30</v>
      </c>
    </row>
    <row r="6" spans="3:37" x14ac:dyDescent="0.25">
      <c r="D6" s="56" t="s">
        <v>98</v>
      </c>
      <c r="E6" s="24">
        <f>'Monthly Members'!M8</f>
        <v>4937.0434782608691</v>
      </c>
      <c r="F6" t="s">
        <v>97</v>
      </c>
      <c r="G6" s="6">
        <f>0</f>
        <v>0</v>
      </c>
      <c r="H6" s="10">
        <f t="dataTable" ref="H6:AK26" dt2D="1" dtr="1" r1="E8" r2="E9" ca="1"/>
        <v>253818.72495763743</v>
      </c>
      <c r="I6" s="10">
        <v>253818.72495763743</v>
      </c>
      <c r="J6" s="10">
        <v>253818.72495763743</v>
      </c>
      <c r="K6" s="10">
        <v>253818.72495763743</v>
      </c>
      <c r="L6" s="10">
        <v>253818.72495763743</v>
      </c>
      <c r="M6" s="10">
        <v>253818.72495763743</v>
      </c>
      <c r="N6" s="10">
        <v>253818.72495763743</v>
      </c>
      <c r="O6" s="10">
        <v>253818.72495763743</v>
      </c>
      <c r="P6" s="10">
        <v>253818.72495763743</v>
      </c>
      <c r="Q6" s="10">
        <v>253818.72495763743</v>
      </c>
      <c r="R6" s="10">
        <v>253818.72495763743</v>
      </c>
      <c r="S6" s="10">
        <v>253818.72495763743</v>
      </c>
      <c r="T6" s="10">
        <v>253818.72495763743</v>
      </c>
      <c r="U6" s="10">
        <v>253818.72495763743</v>
      </c>
      <c r="V6" s="10">
        <v>253818.72495763743</v>
      </c>
      <c r="W6" s="10">
        <v>253818.72495763743</v>
      </c>
      <c r="X6" s="10">
        <v>253818.72495763743</v>
      </c>
      <c r="Y6" s="10">
        <v>253818.72495763743</v>
      </c>
      <c r="Z6" s="10">
        <v>253818.72495763743</v>
      </c>
      <c r="AA6" s="10">
        <v>253818.72495763743</v>
      </c>
      <c r="AB6" s="10">
        <v>253818.72495763743</v>
      </c>
      <c r="AC6" s="10">
        <v>253818.72495763743</v>
      </c>
      <c r="AD6" s="10">
        <v>253818.72495763743</v>
      </c>
      <c r="AE6" s="10">
        <v>253818.72495763743</v>
      </c>
      <c r="AF6" s="10">
        <v>253818.72495763743</v>
      </c>
      <c r="AG6" s="10">
        <v>253818.72495763743</v>
      </c>
      <c r="AH6" s="10">
        <v>253818.72495763743</v>
      </c>
      <c r="AI6" s="10">
        <v>253818.72495763743</v>
      </c>
      <c r="AJ6" s="10">
        <v>253818.72495763743</v>
      </c>
      <c r="AK6" s="10">
        <v>253818.72495763743</v>
      </c>
    </row>
    <row r="7" spans="3:37" x14ac:dyDescent="0.25">
      <c r="D7" s="53" t="s">
        <v>76</v>
      </c>
      <c r="E7" s="23">
        <f>E4/E6</f>
        <v>60.378373101539225</v>
      </c>
      <c r="G7" s="6">
        <v>0.05</v>
      </c>
      <c r="H7" s="10">
        <v>254065.57713155047</v>
      </c>
      <c r="I7" s="10">
        <v>254312.42930546351</v>
      </c>
      <c r="J7" s="10">
        <v>254559.28147937654</v>
      </c>
      <c r="K7" s="10">
        <v>254806.13365328958</v>
      </c>
      <c r="L7" s="10">
        <v>255052.98582720268</v>
      </c>
      <c r="M7" s="10">
        <v>255299.83800111571</v>
      </c>
      <c r="N7" s="10">
        <v>255546.69017502875</v>
      </c>
      <c r="O7" s="10">
        <v>255793.54234894179</v>
      </c>
      <c r="P7" s="10">
        <v>256040.39452285483</v>
      </c>
      <c r="Q7" s="10">
        <v>256287.24669676786</v>
      </c>
      <c r="R7" s="10">
        <v>256534.0988706809</v>
      </c>
      <c r="S7" s="10">
        <v>256780.95104459394</v>
      </c>
      <c r="T7" s="10">
        <v>257027.80321850698</v>
      </c>
      <c r="U7" s="10">
        <v>257274.65539242001</v>
      </c>
      <c r="V7" s="10">
        <v>257521.50756633311</v>
      </c>
      <c r="W7" s="10">
        <v>257768.35974024615</v>
      </c>
      <c r="X7" s="10">
        <v>258015.21191415918</v>
      </c>
      <c r="Y7" s="10">
        <v>258262.06408807222</v>
      </c>
      <c r="Z7" s="10">
        <v>258508.91626198526</v>
      </c>
      <c r="AA7" s="10">
        <v>258755.7684358983</v>
      </c>
      <c r="AB7" s="10">
        <v>259002.62060981133</v>
      </c>
      <c r="AC7" s="10">
        <v>259249.47278372437</v>
      </c>
      <c r="AD7" s="10">
        <v>259496.32495763741</v>
      </c>
      <c r="AE7" s="10">
        <v>259743.1771315505</v>
      </c>
      <c r="AF7" s="10">
        <v>259990.02930546354</v>
      </c>
      <c r="AG7" s="10">
        <v>260236.88147937658</v>
      </c>
      <c r="AH7" s="10">
        <v>260483.73365328962</v>
      </c>
      <c r="AI7" s="10">
        <v>260730.58582720265</v>
      </c>
      <c r="AJ7" s="10">
        <v>260977.43800111569</v>
      </c>
      <c r="AK7" s="10">
        <v>261224.29017502873</v>
      </c>
    </row>
    <row r="8" spans="3:37" x14ac:dyDescent="0.25">
      <c r="D8" s="53" t="s">
        <v>79</v>
      </c>
      <c r="E8" s="25">
        <f>'Digital Method'!D16</f>
        <v>0.4</v>
      </c>
      <c r="G8" s="6">
        <f>0.1</f>
        <v>0.1</v>
      </c>
      <c r="H8" s="10">
        <v>254312.42930546351</v>
      </c>
      <c r="I8" s="10">
        <v>254806.13365328958</v>
      </c>
      <c r="J8" s="10">
        <v>255299.83800111571</v>
      </c>
      <c r="K8" s="10">
        <v>255793.54234894179</v>
      </c>
      <c r="L8" s="10">
        <v>256287.24669676786</v>
      </c>
      <c r="M8" s="10">
        <v>256780.95104459394</v>
      </c>
      <c r="N8" s="10">
        <v>257274.65539242001</v>
      </c>
      <c r="O8" s="10">
        <v>257768.35974024615</v>
      </c>
      <c r="P8" s="10">
        <v>258262.06408807222</v>
      </c>
      <c r="Q8" s="10">
        <v>258755.7684358983</v>
      </c>
      <c r="R8" s="10">
        <v>259249.47278372437</v>
      </c>
      <c r="S8" s="10">
        <v>259743.1771315505</v>
      </c>
      <c r="T8" s="10">
        <v>260236.88147937658</v>
      </c>
      <c r="U8" s="10">
        <v>260730.58582720265</v>
      </c>
      <c r="V8" s="10">
        <v>261224.29017502873</v>
      </c>
      <c r="W8" s="10">
        <v>261717.9945228548</v>
      </c>
      <c r="X8" s="10">
        <v>262211.69887068094</v>
      </c>
      <c r="Y8" s="10">
        <v>262705.40321850701</v>
      </c>
      <c r="Z8" s="10">
        <v>263199.10756633308</v>
      </c>
      <c r="AA8" s="10">
        <v>263692.81191415916</v>
      </c>
      <c r="AB8" s="10">
        <v>264186.51626198523</v>
      </c>
      <c r="AC8" s="10">
        <v>264680.22060981137</v>
      </c>
      <c r="AD8" s="10">
        <v>265173.92495763744</v>
      </c>
      <c r="AE8" s="10">
        <v>265667.62930546352</v>
      </c>
      <c r="AF8" s="10">
        <v>266161.33365328959</v>
      </c>
      <c r="AG8" s="10">
        <v>266655.03800111567</v>
      </c>
      <c r="AH8" s="10">
        <v>267148.7423489418</v>
      </c>
      <c r="AI8" s="10">
        <v>267642.44669676787</v>
      </c>
      <c r="AJ8" s="10">
        <v>268136.15104459395</v>
      </c>
      <c r="AK8" s="10">
        <v>268629.85539242002</v>
      </c>
    </row>
    <row r="9" spans="3:37" ht="15.75" thickBot="1" x14ac:dyDescent="0.3">
      <c r="D9" s="54" t="s">
        <v>80</v>
      </c>
      <c r="E9" s="26">
        <f>'Digital Method'!D17</f>
        <v>20</v>
      </c>
      <c r="G9" s="6">
        <v>0.15</v>
      </c>
      <c r="H9" s="10">
        <v>254559.28147937654</v>
      </c>
      <c r="I9" s="10">
        <v>255299.83800111571</v>
      </c>
      <c r="J9" s="10">
        <v>256040.39452285483</v>
      </c>
      <c r="K9" s="10">
        <v>256780.95104459394</v>
      </c>
      <c r="L9" s="10">
        <v>257521.50756633311</v>
      </c>
      <c r="M9" s="10">
        <v>258262.06408807222</v>
      </c>
      <c r="N9" s="10">
        <v>259002.62060981133</v>
      </c>
      <c r="O9" s="10">
        <v>259743.17713155044</v>
      </c>
      <c r="P9" s="10">
        <v>260483.73365328962</v>
      </c>
      <c r="Q9" s="10">
        <v>261224.29017502873</v>
      </c>
      <c r="R9" s="10">
        <v>261964.84669676784</v>
      </c>
      <c r="S9" s="10">
        <v>262705.40321850701</v>
      </c>
      <c r="T9" s="10">
        <v>263445.95974024612</v>
      </c>
      <c r="U9" s="10">
        <v>264186.51626198523</v>
      </c>
      <c r="V9" s="10">
        <v>264927.0727837244</v>
      </c>
      <c r="W9" s="10">
        <v>265667.62930546352</v>
      </c>
      <c r="X9" s="10">
        <v>266408.18582720263</v>
      </c>
      <c r="Y9" s="10">
        <v>267148.7423489418</v>
      </c>
      <c r="Z9" s="10">
        <v>267889.29887068091</v>
      </c>
      <c r="AA9" s="10">
        <v>268629.85539242002</v>
      </c>
      <c r="AB9" s="10">
        <v>269370.41191415919</v>
      </c>
      <c r="AC9" s="10">
        <v>270110.96843589831</v>
      </c>
      <c r="AD9" s="10">
        <v>270851.52495763742</v>
      </c>
      <c r="AE9" s="10">
        <v>271592.08147937653</v>
      </c>
      <c r="AF9" s="10">
        <v>272332.6380011157</v>
      </c>
      <c r="AG9" s="10">
        <v>273073.19452285481</v>
      </c>
      <c r="AH9" s="10">
        <v>273813.75104459393</v>
      </c>
      <c r="AI9" s="10">
        <v>274554.3075663331</v>
      </c>
      <c r="AJ9" s="10">
        <v>275294.86408807221</v>
      </c>
      <c r="AK9" s="10">
        <v>276035.42060981132</v>
      </c>
    </row>
    <row r="10" spans="3:37" ht="15.75" thickBot="1" x14ac:dyDescent="0.3">
      <c r="G10" s="6">
        <v>0.2</v>
      </c>
      <c r="H10" s="10">
        <v>254806.13365328958</v>
      </c>
      <c r="I10" s="10">
        <v>255793.54234894179</v>
      </c>
      <c r="J10" s="10">
        <v>256780.95104459394</v>
      </c>
      <c r="K10" s="10">
        <v>257768.35974024615</v>
      </c>
      <c r="L10" s="10">
        <v>258755.7684358983</v>
      </c>
      <c r="M10" s="10">
        <v>259743.1771315505</v>
      </c>
      <c r="N10" s="10">
        <v>260730.58582720265</v>
      </c>
      <c r="O10" s="10">
        <v>261717.9945228548</v>
      </c>
      <c r="P10" s="10">
        <v>262705.40321850701</v>
      </c>
      <c r="Q10" s="10">
        <v>263692.81191415916</v>
      </c>
      <c r="R10" s="10">
        <v>264680.22060981137</v>
      </c>
      <c r="S10" s="10">
        <v>265667.62930546352</v>
      </c>
      <c r="T10" s="10">
        <v>266655.03800111567</v>
      </c>
      <c r="U10" s="10">
        <v>267642.44669676787</v>
      </c>
      <c r="V10" s="10">
        <v>268629.85539242002</v>
      </c>
      <c r="W10" s="10">
        <v>269617.26408807223</v>
      </c>
      <c r="X10" s="10">
        <v>270604.67278372438</v>
      </c>
      <c r="Y10" s="10">
        <v>271592.08147937653</v>
      </c>
      <c r="Z10" s="10">
        <v>272579.49017502874</v>
      </c>
      <c r="AA10" s="10">
        <v>273566.89887068089</v>
      </c>
      <c r="AB10" s="10">
        <v>274554.3075663331</v>
      </c>
      <c r="AC10" s="10">
        <v>275541.71626198525</v>
      </c>
      <c r="AD10" s="10">
        <v>276529.12495763745</v>
      </c>
      <c r="AE10" s="10">
        <v>277516.5336532896</v>
      </c>
      <c r="AF10" s="10">
        <v>278503.94234894175</v>
      </c>
      <c r="AG10" s="10">
        <v>279491.35104459396</v>
      </c>
      <c r="AH10" s="10">
        <v>280478.75974024611</v>
      </c>
      <c r="AI10" s="10">
        <v>281466.16843589832</v>
      </c>
      <c r="AJ10" s="10">
        <v>282453.57713155047</v>
      </c>
      <c r="AK10" s="10">
        <v>283440.98582720268</v>
      </c>
    </row>
    <row r="11" spans="3:37" x14ac:dyDescent="0.25">
      <c r="D11" s="81"/>
      <c r="E11" s="82" t="s">
        <v>75</v>
      </c>
      <c r="G11" s="6">
        <v>0.25</v>
      </c>
      <c r="H11" s="10">
        <v>255052.98582720268</v>
      </c>
      <c r="I11" s="10">
        <v>256287.24669676786</v>
      </c>
      <c r="J11" s="10">
        <v>257521.50756633311</v>
      </c>
      <c r="K11" s="10">
        <v>258755.7684358983</v>
      </c>
      <c r="L11" s="10">
        <v>259990.02930546354</v>
      </c>
      <c r="M11" s="10">
        <v>261224.29017502873</v>
      </c>
      <c r="N11" s="10">
        <v>262458.55104459397</v>
      </c>
      <c r="O11" s="10">
        <v>263692.81191415916</v>
      </c>
      <c r="P11" s="10">
        <v>264927.0727837244</v>
      </c>
      <c r="Q11" s="10">
        <v>266161.33365328959</v>
      </c>
      <c r="R11" s="10">
        <v>267395.59452285484</v>
      </c>
      <c r="S11" s="10">
        <v>268629.85539242002</v>
      </c>
      <c r="T11" s="10">
        <v>269864.11626198527</v>
      </c>
      <c r="U11" s="10">
        <v>271098.37713155046</v>
      </c>
      <c r="V11" s="10">
        <v>272332.6380011157</v>
      </c>
      <c r="W11" s="10">
        <v>273566.89887068089</v>
      </c>
      <c r="X11" s="10">
        <v>274801.15974024613</v>
      </c>
      <c r="Y11" s="10">
        <v>276035.42060981132</v>
      </c>
      <c r="Z11" s="10">
        <v>277269.68147937657</v>
      </c>
      <c r="AA11" s="10">
        <v>278503.94234894175</v>
      </c>
      <c r="AB11" s="10">
        <v>279738.203218507</v>
      </c>
      <c r="AC11" s="10">
        <v>280972.46408807219</v>
      </c>
      <c r="AD11" s="10">
        <v>282206.72495763743</v>
      </c>
      <c r="AE11" s="10">
        <v>283440.98582720268</v>
      </c>
      <c r="AF11" s="10">
        <v>284675.24669676786</v>
      </c>
      <c r="AG11" s="10">
        <v>285909.50756633305</v>
      </c>
      <c r="AH11" s="10">
        <v>287143.7684358983</v>
      </c>
      <c r="AI11" s="10">
        <v>288378.02930546354</v>
      </c>
      <c r="AJ11" s="10">
        <v>289612.29017502873</v>
      </c>
      <c r="AK11" s="10">
        <v>290846.55104459397</v>
      </c>
    </row>
    <row r="12" spans="3:37" x14ac:dyDescent="0.25">
      <c r="D12" s="53" t="s">
        <v>77</v>
      </c>
      <c r="E12" s="75">
        <f>'Monthly Members'!M8</f>
        <v>4937.0434782608691</v>
      </c>
      <c r="G12" s="6">
        <v>0.3</v>
      </c>
      <c r="H12" s="10">
        <v>255299.83800111571</v>
      </c>
      <c r="I12" s="10">
        <v>256780.95104459394</v>
      </c>
      <c r="J12" s="10">
        <v>258262.06408807222</v>
      </c>
      <c r="K12" s="10">
        <v>259743.17713155044</v>
      </c>
      <c r="L12" s="10">
        <v>261224.29017502873</v>
      </c>
      <c r="M12" s="10">
        <v>262705.40321850701</v>
      </c>
      <c r="N12" s="10">
        <v>264186.51626198523</v>
      </c>
      <c r="O12" s="10">
        <v>265667.62930546352</v>
      </c>
      <c r="P12" s="10">
        <v>267148.7423489418</v>
      </c>
      <c r="Q12" s="10">
        <v>268629.85539242002</v>
      </c>
      <c r="R12" s="10">
        <v>270110.96843589831</v>
      </c>
      <c r="S12" s="10">
        <v>271592.08147937653</v>
      </c>
      <c r="T12" s="10">
        <v>273073.19452285481</v>
      </c>
      <c r="U12" s="10">
        <v>274554.3075663331</v>
      </c>
      <c r="V12" s="10">
        <v>276035.42060981132</v>
      </c>
      <c r="W12" s="10">
        <v>277516.5336532896</v>
      </c>
      <c r="X12" s="10">
        <v>278997.64669676789</v>
      </c>
      <c r="Y12" s="10">
        <v>280478.75974024611</v>
      </c>
      <c r="Z12" s="10">
        <v>281959.87278372439</v>
      </c>
      <c r="AA12" s="10">
        <v>283440.98582720262</v>
      </c>
      <c r="AB12" s="10">
        <v>284922.0988706809</v>
      </c>
      <c r="AC12" s="10">
        <v>286403.21191415918</v>
      </c>
      <c r="AD12" s="10">
        <v>287884.32495763741</v>
      </c>
      <c r="AE12" s="10">
        <v>289365.43800111569</v>
      </c>
      <c r="AF12" s="10">
        <v>290846.55104459397</v>
      </c>
      <c r="AG12" s="10">
        <v>292327.6640880722</v>
      </c>
      <c r="AH12" s="10">
        <v>293808.77713155048</v>
      </c>
      <c r="AI12" s="10">
        <v>295289.8901750287</v>
      </c>
      <c r="AJ12" s="10">
        <v>296771.00321850699</v>
      </c>
      <c r="AK12" s="10">
        <v>298252.11626198527</v>
      </c>
    </row>
    <row r="13" spans="3:37" x14ac:dyDescent="0.25">
      <c r="D13" s="76" t="s">
        <v>89</v>
      </c>
      <c r="E13" s="75">
        <f>E6*E8</f>
        <v>1974.8173913043477</v>
      </c>
      <c r="G13" s="6">
        <v>0.35</v>
      </c>
      <c r="H13" s="10">
        <v>255546.69017502875</v>
      </c>
      <c r="I13" s="10">
        <v>257274.65539242001</v>
      </c>
      <c r="J13" s="10">
        <v>259002.62060981133</v>
      </c>
      <c r="K13" s="10">
        <v>260730.58582720265</v>
      </c>
      <c r="L13" s="10">
        <v>262458.55104459397</v>
      </c>
      <c r="M13" s="10">
        <v>264186.51626198523</v>
      </c>
      <c r="N13" s="10">
        <v>265914.48147937655</v>
      </c>
      <c r="O13" s="10">
        <v>267642.44669676787</v>
      </c>
      <c r="P13" s="10">
        <v>269370.41191415919</v>
      </c>
      <c r="Q13" s="10">
        <v>271098.37713155046</v>
      </c>
      <c r="R13" s="10">
        <v>272826.34234894178</v>
      </c>
      <c r="S13" s="10">
        <v>274554.3075663331</v>
      </c>
      <c r="T13" s="10">
        <v>276282.27278372436</v>
      </c>
      <c r="U13" s="10">
        <v>278010.23800111568</v>
      </c>
      <c r="V13" s="10">
        <v>279738.203218507</v>
      </c>
      <c r="W13" s="10">
        <v>281466.16843589832</v>
      </c>
      <c r="X13" s="10">
        <v>283194.13365328958</v>
      </c>
      <c r="Y13" s="10">
        <v>284922.0988706809</v>
      </c>
      <c r="Z13" s="10">
        <v>286650.06408807222</v>
      </c>
      <c r="AA13" s="10">
        <v>288378.02930546354</v>
      </c>
      <c r="AB13" s="10">
        <v>290105.9945228548</v>
      </c>
      <c r="AC13" s="10">
        <v>291833.95974024612</v>
      </c>
      <c r="AD13" s="10">
        <v>293561.92495763744</v>
      </c>
      <c r="AE13" s="10">
        <v>295289.8901750287</v>
      </c>
      <c r="AF13" s="10">
        <v>297017.85539242002</v>
      </c>
      <c r="AG13" s="10">
        <v>298745.82060981134</v>
      </c>
      <c r="AH13" s="10">
        <v>300473.78582720261</v>
      </c>
      <c r="AI13" s="10">
        <v>302201.75104459393</v>
      </c>
      <c r="AJ13" s="10">
        <v>303929.71626198525</v>
      </c>
      <c r="AK13" s="10">
        <v>305657.68147937657</v>
      </c>
    </row>
    <row r="14" spans="3:37" x14ac:dyDescent="0.25">
      <c r="D14" s="76"/>
      <c r="E14" s="75"/>
      <c r="G14" s="6">
        <v>0.4</v>
      </c>
      <c r="H14" s="10">
        <v>255793.54234894179</v>
      </c>
      <c r="I14" s="10">
        <v>257768.35974024615</v>
      </c>
      <c r="J14" s="10">
        <v>259743.1771315505</v>
      </c>
      <c r="K14" s="10">
        <v>261717.9945228548</v>
      </c>
      <c r="L14" s="10">
        <v>263692.81191415916</v>
      </c>
      <c r="M14" s="10">
        <v>265667.62930546352</v>
      </c>
      <c r="N14" s="10">
        <v>267642.44669676787</v>
      </c>
      <c r="O14" s="10">
        <v>269617.26408807223</v>
      </c>
      <c r="P14" s="10">
        <v>271592.08147937653</v>
      </c>
      <c r="Q14" s="10">
        <v>273566.89887068089</v>
      </c>
      <c r="R14" s="10">
        <v>275541.71626198525</v>
      </c>
      <c r="S14" s="10">
        <v>277516.5336532896</v>
      </c>
      <c r="T14" s="10">
        <v>279491.35104459396</v>
      </c>
      <c r="U14" s="10">
        <v>281466.16843589832</v>
      </c>
      <c r="V14" s="10">
        <v>283440.98582720268</v>
      </c>
      <c r="W14" s="10">
        <v>285415.80321850698</v>
      </c>
      <c r="X14" s="10">
        <v>287390.62060981133</v>
      </c>
      <c r="Y14" s="10">
        <v>289365.43800111569</v>
      </c>
      <c r="Z14" s="10">
        <v>291340.25539242005</v>
      </c>
      <c r="AA14" s="10">
        <v>293315.0727837244</v>
      </c>
      <c r="AB14" s="10">
        <v>295289.8901750287</v>
      </c>
      <c r="AC14" s="10">
        <v>297264.70756633306</v>
      </c>
      <c r="AD14" s="10">
        <v>299239.52495763742</v>
      </c>
      <c r="AE14" s="10">
        <v>301214.34234894178</v>
      </c>
      <c r="AF14" s="10">
        <v>303189.15974024613</v>
      </c>
      <c r="AG14" s="10">
        <v>305163.97713155049</v>
      </c>
      <c r="AH14" s="10">
        <v>307138.79452285485</v>
      </c>
      <c r="AI14" s="10">
        <v>309113.61191415915</v>
      </c>
      <c r="AJ14" s="10">
        <v>311088.42930546351</v>
      </c>
      <c r="AK14" s="10">
        <v>313063.24669676786</v>
      </c>
    </row>
    <row r="15" spans="3:37" x14ac:dyDescent="0.25">
      <c r="D15" s="53"/>
      <c r="E15" s="77"/>
      <c r="G15" s="6">
        <v>0.45</v>
      </c>
      <c r="H15" s="10">
        <v>256040.39452285483</v>
      </c>
      <c r="I15" s="10">
        <v>258262.06408807222</v>
      </c>
      <c r="J15" s="10">
        <v>260483.73365328962</v>
      </c>
      <c r="K15" s="10">
        <v>262705.40321850701</v>
      </c>
      <c r="L15" s="10">
        <v>264927.0727837244</v>
      </c>
      <c r="M15" s="10">
        <v>267148.7423489418</v>
      </c>
      <c r="N15" s="10">
        <v>269370.41191415919</v>
      </c>
      <c r="O15" s="10">
        <v>271592.08147937653</v>
      </c>
      <c r="P15" s="10">
        <v>273813.75104459393</v>
      </c>
      <c r="Q15" s="10">
        <v>276035.42060981132</v>
      </c>
      <c r="R15" s="10">
        <v>278257.09017502872</v>
      </c>
      <c r="S15" s="10">
        <v>280478.75974024611</v>
      </c>
      <c r="T15" s="10">
        <v>282700.42930546351</v>
      </c>
      <c r="U15" s="10">
        <v>284922.0988706809</v>
      </c>
      <c r="V15" s="10">
        <v>287143.7684358983</v>
      </c>
      <c r="W15" s="10">
        <v>289365.43800111569</v>
      </c>
      <c r="X15" s="10">
        <v>291587.10756633308</v>
      </c>
      <c r="Y15" s="10">
        <v>293808.77713155048</v>
      </c>
      <c r="Z15" s="10">
        <v>296030.44669676787</v>
      </c>
      <c r="AA15" s="10">
        <v>298252.11626198527</v>
      </c>
      <c r="AB15" s="10">
        <v>300473.78582720266</v>
      </c>
      <c r="AC15" s="10">
        <v>302695.45539242006</v>
      </c>
      <c r="AD15" s="10">
        <v>304917.1249576374</v>
      </c>
      <c r="AE15" s="10">
        <v>307138.79452285485</v>
      </c>
      <c r="AF15" s="10">
        <v>309360.46408807219</v>
      </c>
      <c r="AG15" s="10">
        <v>311582.13365328958</v>
      </c>
      <c r="AH15" s="10">
        <v>313803.80321850698</v>
      </c>
      <c r="AI15" s="10">
        <v>316025.47278372437</v>
      </c>
      <c r="AJ15" s="10">
        <v>318247.14234894176</v>
      </c>
      <c r="AK15" s="10">
        <v>320468.81191415916</v>
      </c>
    </row>
    <row r="16" spans="3:37" x14ac:dyDescent="0.25">
      <c r="D16" s="53" t="s">
        <v>38</v>
      </c>
      <c r="E16" s="78">
        <f>SUM(E17:E19)</f>
        <v>345455.87633988366</v>
      </c>
      <c r="G16" s="6">
        <v>0.5</v>
      </c>
      <c r="H16" s="10">
        <v>256287.24669676786</v>
      </c>
      <c r="I16" s="10">
        <v>258755.7684358983</v>
      </c>
      <c r="J16" s="10">
        <v>261224.29017502873</v>
      </c>
      <c r="K16" s="10">
        <v>263692.81191415916</v>
      </c>
      <c r="L16" s="10">
        <v>266161.33365328959</v>
      </c>
      <c r="M16" s="10">
        <v>268629.85539242002</v>
      </c>
      <c r="N16" s="10">
        <v>271098.37713155046</v>
      </c>
      <c r="O16" s="10">
        <v>273566.89887068089</v>
      </c>
      <c r="P16" s="10">
        <v>276035.42060981132</v>
      </c>
      <c r="Q16" s="10">
        <v>278503.94234894175</v>
      </c>
      <c r="R16" s="10">
        <v>280972.46408807219</v>
      </c>
      <c r="S16" s="10">
        <v>283440.98582720268</v>
      </c>
      <c r="T16" s="10">
        <v>285909.50756633305</v>
      </c>
      <c r="U16" s="10">
        <v>288378.02930546354</v>
      </c>
      <c r="V16" s="10">
        <v>290846.55104459397</v>
      </c>
      <c r="W16" s="10">
        <v>293315.0727837244</v>
      </c>
      <c r="X16" s="10">
        <v>295783.59452285484</v>
      </c>
      <c r="Y16" s="10">
        <v>298252.11626198527</v>
      </c>
      <c r="Z16" s="10">
        <v>300720.6380011157</v>
      </c>
      <c r="AA16" s="10">
        <v>303189.15974024613</v>
      </c>
      <c r="AB16" s="10">
        <v>305657.68147937657</v>
      </c>
      <c r="AC16" s="10">
        <v>308126.203218507</v>
      </c>
      <c r="AD16" s="10">
        <v>310594.72495763743</v>
      </c>
      <c r="AE16" s="10">
        <v>313063.24669676786</v>
      </c>
      <c r="AF16" s="10">
        <v>315531.7684358983</v>
      </c>
      <c r="AG16" s="10">
        <v>318000.29017502873</v>
      </c>
      <c r="AH16" s="10">
        <v>320468.81191415916</v>
      </c>
      <c r="AI16" s="10">
        <v>322937.33365328959</v>
      </c>
      <c r="AJ16" s="10">
        <v>325405.85539242002</v>
      </c>
      <c r="AK16" s="10">
        <v>327874.37713155046</v>
      </c>
    </row>
    <row r="17" spans="4:37" x14ac:dyDescent="0.25">
      <c r="D17" s="76" t="s">
        <v>73</v>
      </c>
      <c r="E17" s="78">
        <f>E12*E7</f>
        <v>298090.65314895572</v>
      </c>
      <c r="G17" s="6">
        <v>0.55000000000000004</v>
      </c>
      <c r="H17" s="10">
        <v>256534.0988706809</v>
      </c>
      <c r="I17" s="10">
        <v>259249.47278372437</v>
      </c>
      <c r="J17" s="10">
        <v>261964.84669676784</v>
      </c>
      <c r="K17" s="10">
        <v>264680.22060981137</v>
      </c>
      <c r="L17" s="10">
        <v>267395.59452285484</v>
      </c>
      <c r="M17" s="10">
        <v>270110.96843589831</v>
      </c>
      <c r="N17" s="10">
        <v>272826.34234894178</v>
      </c>
      <c r="O17" s="10">
        <v>275541.71626198525</v>
      </c>
      <c r="P17" s="10">
        <v>278257.09017502872</v>
      </c>
      <c r="Q17" s="10">
        <v>280972.46408807219</v>
      </c>
      <c r="R17" s="10">
        <v>283687.83800111571</v>
      </c>
      <c r="S17" s="10">
        <v>286403.21191415918</v>
      </c>
      <c r="T17" s="10">
        <v>289118.58582720265</v>
      </c>
      <c r="U17" s="10">
        <v>291833.95974024612</v>
      </c>
      <c r="V17" s="10">
        <v>294549.33365328959</v>
      </c>
      <c r="W17" s="10">
        <v>297264.70756633306</v>
      </c>
      <c r="X17" s="10">
        <v>299980.08147937653</v>
      </c>
      <c r="Y17" s="10">
        <v>302695.45539242006</v>
      </c>
      <c r="Z17" s="10">
        <v>305410.82930546353</v>
      </c>
      <c r="AA17" s="10">
        <v>308126.203218507</v>
      </c>
      <c r="AB17" s="10">
        <v>310841.57713155047</v>
      </c>
      <c r="AC17" s="10">
        <v>313556.95104459394</v>
      </c>
      <c r="AD17" s="10">
        <v>316272.32495763741</v>
      </c>
      <c r="AE17" s="10">
        <v>318987.69887068094</v>
      </c>
      <c r="AF17" s="10">
        <v>321703.0727837244</v>
      </c>
      <c r="AG17" s="10">
        <v>324418.44669676787</v>
      </c>
      <c r="AH17" s="10">
        <v>327133.82060981134</v>
      </c>
      <c r="AI17" s="10">
        <v>329849.19452285481</v>
      </c>
      <c r="AJ17" s="10">
        <v>332564.56843589828</v>
      </c>
      <c r="AK17" s="10">
        <v>335279.94234894181</v>
      </c>
    </row>
    <row r="18" spans="4:37" x14ac:dyDescent="0.25">
      <c r="D18" s="76" t="s">
        <v>30</v>
      </c>
      <c r="E18" s="78">
        <f>E5</f>
        <v>7868.8753648409893</v>
      </c>
      <c r="G18" s="6">
        <v>0.6</v>
      </c>
      <c r="H18" s="10">
        <v>256780.95104459394</v>
      </c>
      <c r="I18" s="10">
        <v>259743.17713155044</v>
      </c>
      <c r="J18" s="10">
        <v>262705.40321850701</v>
      </c>
      <c r="K18" s="10">
        <v>265667.62930546352</v>
      </c>
      <c r="L18" s="10">
        <v>268629.85539242002</v>
      </c>
      <c r="M18" s="10">
        <v>271592.08147937653</v>
      </c>
      <c r="N18" s="10">
        <v>274554.3075663331</v>
      </c>
      <c r="O18" s="10">
        <v>277516.5336532896</v>
      </c>
      <c r="P18" s="10">
        <v>280478.75974024611</v>
      </c>
      <c r="Q18" s="10">
        <v>283440.98582720262</v>
      </c>
      <c r="R18" s="10">
        <v>286403.21191415918</v>
      </c>
      <c r="S18" s="10">
        <v>289365.43800111569</v>
      </c>
      <c r="T18" s="10">
        <v>292327.6640880722</v>
      </c>
      <c r="U18" s="10">
        <v>295289.8901750287</v>
      </c>
      <c r="V18" s="10">
        <v>298252.11626198527</v>
      </c>
      <c r="W18" s="10">
        <v>301214.34234894178</v>
      </c>
      <c r="X18" s="10">
        <v>304176.56843589828</v>
      </c>
      <c r="Y18" s="10">
        <v>307138.79452285485</v>
      </c>
      <c r="Z18" s="10">
        <v>310101.02060981136</v>
      </c>
      <c r="AA18" s="10">
        <v>313063.24669676786</v>
      </c>
      <c r="AB18" s="10">
        <v>316025.47278372437</v>
      </c>
      <c r="AC18" s="10">
        <v>318987.69887068088</v>
      </c>
      <c r="AD18" s="10">
        <v>321949.92495763744</v>
      </c>
      <c r="AE18" s="10">
        <v>324912.15104459395</v>
      </c>
      <c r="AF18" s="10">
        <v>327874.37713155046</v>
      </c>
      <c r="AG18" s="10">
        <v>330836.60321850696</v>
      </c>
      <c r="AH18" s="10">
        <v>333798.82930546347</v>
      </c>
      <c r="AI18" s="10">
        <v>336761.05539242004</v>
      </c>
      <c r="AJ18" s="10">
        <v>339723.28147937654</v>
      </c>
      <c r="AK18" s="10">
        <v>342685.50756633305</v>
      </c>
    </row>
    <row r="19" spans="4:37" x14ac:dyDescent="0.25">
      <c r="D19" s="76" t="s">
        <v>78</v>
      </c>
      <c r="E19" s="78">
        <f>E13*E9</f>
        <v>39496.347826086952</v>
      </c>
      <c r="G19" s="6">
        <v>0.65</v>
      </c>
      <c r="H19" s="10">
        <v>257027.80321850698</v>
      </c>
      <c r="I19" s="10">
        <v>260236.88147937658</v>
      </c>
      <c r="J19" s="10">
        <v>263445.95974024612</v>
      </c>
      <c r="K19" s="10">
        <v>266655.03800111567</v>
      </c>
      <c r="L19" s="10">
        <v>269864.11626198527</v>
      </c>
      <c r="M19" s="10">
        <v>273073.19452285481</v>
      </c>
      <c r="N19" s="10">
        <v>276282.27278372436</v>
      </c>
      <c r="O19" s="10">
        <v>279491.35104459396</v>
      </c>
      <c r="P19" s="10">
        <v>282700.42930546351</v>
      </c>
      <c r="Q19" s="10">
        <v>285909.50756633305</v>
      </c>
      <c r="R19" s="10">
        <v>289118.58582720265</v>
      </c>
      <c r="S19" s="10">
        <v>292327.6640880722</v>
      </c>
      <c r="T19" s="10">
        <v>295536.7423489418</v>
      </c>
      <c r="U19" s="10">
        <v>298745.82060981134</v>
      </c>
      <c r="V19" s="10">
        <v>301954.89887068089</v>
      </c>
      <c r="W19" s="10">
        <v>305163.97713155049</v>
      </c>
      <c r="X19" s="10">
        <v>308373.05539242004</v>
      </c>
      <c r="Y19" s="10">
        <v>311582.13365328958</v>
      </c>
      <c r="Z19" s="10">
        <v>314791.21191415918</v>
      </c>
      <c r="AA19" s="10">
        <v>318000.29017502873</v>
      </c>
      <c r="AB19" s="10">
        <v>321209.36843589833</v>
      </c>
      <c r="AC19" s="10">
        <v>324418.44669676787</v>
      </c>
      <c r="AD19" s="10">
        <v>327627.52495763742</v>
      </c>
      <c r="AE19" s="10">
        <v>330836.60321850702</v>
      </c>
      <c r="AF19" s="10">
        <v>334045.68147937657</v>
      </c>
      <c r="AG19" s="10">
        <v>337254.75974024611</v>
      </c>
      <c r="AH19" s="10">
        <v>340463.83800111571</v>
      </c>
      <c r="AI19" s="10">
        <v>343672.91626198526</v>
      </c>
      <c r="AJ19" s="10">
        <v>346881.9945228548</v>
      </c>
      <c r="AK19" s="10">
        <v>350091.0727837244</v>
      </c>
    </row>
    <row r="20" spans="4:37" x14ac:dyDescent="0.25">
      <c r="D20" s="76"/>
      <c r="E20" s="78"/>
      <c r="G20" s="6">
        <v>0.7</v>
      </c>
      <c r="H20" s="10">
        <v>257274.65539242001</v>
      </c>
      <c r="I20" s="10">
        <v>260730.58582720265</v>
      </c>
      <c r="J20" s="10">
        <v>264186.51626198523</v>
      </c>
      <c r="K20" s="10">
        <v>267642.44669676787</v>
      </c>
      <c r="L20" s="10">
        <v>271098.37713155046</v>
      </c>
      <c r="M20" s="10">
        <v>274554.3075663331</v>
      </c>
      <c r="N20" s="10">
        <v>278010.23800111568</v>
      </c>
      <c r="O20" s="10">
        <v>281466.16843589832</v>
      </c>
      <c r="P20" s="10">
        <v>284922.0988706809</v>
      </c>
      <c r="Q20" s="10">
        <v>288378.02930546354</v>
      </c>
      <c r="R20" s="10">
        <v>291833.95974024612</v>
      </c>
      <c r="S20" s="10">
        <v>295289.8901750287</v>
      </c>
      <c r="T20" s="10">
        <v>298745.82060981134</v>
      </c>
      <c r="U20" s="10">
        <v>302201.75104459393</v>
      </c>
      <c r="V20" s="10">
        <v>305657.68147937657</v>
      </c>
      <c r="W20" s="10">
        <v>309113.61191415915</v>
      </c>
      <c r="X20" s="10">
        <v>312569.54234894179</v>
      </c>
      <c r="Y20" s="10">
        <v>316025.47278372437</v>
      </c>
      <c r="Z20" s="10">
        <v>319481.40321850695</v>
      </c>
      <c r="AA20" s="10">
        <v>322937.33365328959</v>
      </c>
      <c r="AB20" s="10">
        <v>326393.26408807223</v>
      </c>
      <c r="AC20" s="10">
        <v>329849.19452285481</v>
      </c>
      <c r="AD20" s="10">
        <v>333305.1249576374</v>
      </c>
      <c r="AE20" s="10">
        <v>336761.05539242004</v>
      </c>
      <c r="AF20" s="10">
        <v>340216.98582720262</v>
      </c>
      <c r="AG20" s="10">
        <v>343672.91626198526</v>
      </c>
      <c r="AH20" s="10">
        <v>347128.84669676784</v>
      </c>
      <c r="AI20" s="10">
        <v>350584.77713155048</v>
      </c>
      <c r="AJ20" s="10">
        <v>354040.70756633306</v>
      </c>
      <c r="AK20" s="10">
        <v>357496.6380011157</v>
      </c>
    </row>
    <row r="21" spans="4:37" x14ac:dyDescent="0.25">
      <c r="D21" s="53" t="s">
        <v>31</v>
      </c>
      <c r="E21" s="78">
        <f>'L.A Fitness Model'!J23</f>
        <v>52140.803556159241</v>
      </c>
      <c r="G21" s="6">
        <v>0.75</v>
      </c>
      <c r="H21" s="10">
        <v>257521.50756633311</v>
      </c>
      <c r="I21" s="10">
        <v>261224.29017502873</v>
      </c>
      <c r="J21" s="10">
        <v>264927.0727837244</v>
      </c>
      <c r="K21" s="10">
        <v>268629.85539242002</v>
      </c>
      <c r="L21" s="10">
        <v>272332.6380011157</v>
      </c>
      <c r="M21" s="10">
        <v>276035.42060981132</v>
      </c>
      <c r="N21" s="10">
        <v>279738.203218507</v>
      </c>
      <c r="O21" s="10">
        <v>283440.98582720268</v>
      </c>
      <c r="P21" s="10">
        <v>287143.7684358983</v>
      </c>
      <c r="Q21" s="10">
        <v>290846.55104459391</v>
      </c>
      <c r="R21" s="10">
        <v>294549.33365328959</v>
      </c>
      <c r="S21" s="10">
        <v>298252.11626198527</v>
      </c>
      <c r="T21" s="10">
        <v>301954.89887068089</v>
      </c>
      <c r="U21" s="10">
        <v>305657.68147937657</v>
      </c>
      <c r="V21" s="10">
        <v>309360.46408807219</v>
      </c>
      <c r="W21" s="10">
        <v>313063.24669676786</v>
      </c>
      <c r="X21" s="10">
        <v>316766.02930546354</v>
      </c>
      <c r="Y21" s="10">
        <v>320468.81191415916</v>
      </c>
      <c r="Z21" s="10">
        <v>324171.59452285478</v>
      </c>
      <c r="AA21" s="10">
        <v>327874.37713155046</v>
      </c>
      <c r="AB21" s="10">
        <v>331577.15974024613</v>
      </c>
      <c r="AC21" s="10">
        <v>335279.94234894175</v>
      </c>
      <c r="AD21" s="10">
        <v>338982.72495763743</v>
      </c>
      <c r="AE21" s="10">
        <v>342685.50756633305</v>
      </c>
      <c r="AF21" s="10">
        <v>346388.29017502873</v>
      </c>
      <c r="AG21" s="10">
        <v>350091.0727837244</v>
      </c>
      <c r="AH21" s="10">
        <v>353793.85539242002</v>
      </c>
      <c r="AI21" s="10">
        <v>357496.63800111564</v>
      </c>
      <c r="AJ21" s="10">
        <v>361199.42060981132</v>
      </c>
      <c r="AK21" s="10">
        <v>364902.203218507</v>
      </c>
    </row>
    <row r="22" spans="4:37" x14ac:dyDescent="0.25">
      <c r="D22" s="53"/>
      <c r="E22" s="78"/>
      <c r="G22" s="6">
        <v>0.8</v>
      </c>
      <c r="H22" s="10">
        <v>257768.35974024615</v>
      </c>
      <c r="I22" s="10">
        <v>261717.9945228548</v>
      </c>
      <c r="J22" s="10">
        <v>265667.62930546352</v>
      </c>
      <c r="K22" s="10">
        <v>269617.26408807223</v>
      </c>
      <c r="L22" s="10">
        <v>273566.89887068089</v>
      </c>
      <c r="M22" s="10">
        <v>277516.5336532896</v>
      </c>
      <c r="N22" s="10">
        <v>281466.16843589832</v>
      </c>
      <c r="O22" s="10">
        <v>285415.80321850698</v>
      </c>
      <c r="P22" s="10">
        <v>289365.43800111569</v>
      </c>
      <c r="Q22" s="10">
        <v>293315.0727837244</v>
      </c>
      <c r="R22" s="10">
        <v>297264.70756633306</v>
      </c>
      <c r="S22" s="10">
        <v>301214.34234894178</v>
      </c>
      <c r="T22" s="10">
        <v>305163.97713155049</v>
      </c>
      <c r="U22" s="10">
        <v>309113.61191415915</v>
      </c>
      <c r="V22" s="10">
        <v>313063.24669676786</v>
      </c>
      <c r="W22" s="10">
        <v>317012.88147937658</v>
      </c>
      <c r="X22" s="10">
        <v>320962.51626198523</v>
      </c>
      <c r="Y22" s="10">
        <v>324912.15104459395</v>
      </c>
      <c r="Z22" s="10">
        <v>328861.78582720266</v>
      </c>
      <c r="AA22" s="10">
        <v>332811.42060981132</v>
      </c>
      <c r="AB22" s="10">
        <v>336761.05539242004</v>
      </c>
      <c r="AC22" s="10">
        <v>340710.69017502875</v>
      </c>
      <c r="AD22" s="10">
        <v>344660.32495763741</v>
      </c>
      <c r="AE22" s="10">
        <v>348609.95974024612</v>
      </c>
      <c r="AF22" s="10">
        <v>352559.59452285484</v>
      </c>
      <c r="AG22" s="10">
        <v>356509.22930546349</v>
      </c>
      <c r="AH22" s="10">
        <v>360458.86408807221</v>
      </c>
      <c r="AI22" s="10">
        <v>364408.49887068092</v>
      </c>
      <c r="AJ22" s="10">
        <v>368358.13365328964</v>
      </c>
      <c r="AK22" s="10">
        <v>372307.7684358983</v>
      </c>
    </row>
    <row r="23" spans="4:37" ht="15.75" thickBot="1" x14ac:dyDescent="0.3">
      <c r="D23" s="79" t="s">
        <v>40</v>
      </c>
      <c r="E23" s="80">
        <f>E16-E21</f>
        <v>293315.0727837244</v>
      </c>
      <c r="G23" s="6">
        <v>0.85</v>
      </c>
      <c r="H23" s="10">
        <v>258015.21191415918</v>
      </c>
      <c r="I23" s="10">
        <v>262211.69887068094</v>
      </c>
      <c r="J23" s="10">
        <v>266408.18582720263</v>
      </c>
      <c r="K23" s="10">
        <v>270604.67278372438</v>
      </c>
      <c r="L23" s="10">
        <v>274801.15974024613</v>
      </c>
      <c r="M23" s="10">
        <v>278997.64669676789</v>
      </c>
      <c r="N23" s="10">
        <v>283194.13365328958</v>
      </c>
      <c r="O23" s="10">
        <v>287390.62060981133</v>
      </c>
      <c r="P23" s="10">
        <v>291587.10756633308</v>
      </c>
      <c r="Q23" s="10">
        <v>295783.59452285484</v>
      </c>
      <c r="R23" s="10">
        <v>299980.08147937653</v>
      </c>
      <c r="S23" s="10">
        <v>304176.56843589828</v>
      </c>
      <c r="T23" s="10">
        <v>308373.05539242004</v>
      </c>
      <c r="U23" s="10">
        <v>312569.54234894179</v>
      </c>
      <c r="V23" s="10">
        <v>316766.02930546354</v>
      </c>
      <c r="W23" s="10">
        <v>320962.51626198523</v>
      </c>
      <c r="X23" s="10">
        <v>325159.00321850699</v>
      </c>
      <c r="Y23" s="10">
        <v>329355.49017502874</v>
      </c>
      <c r="Z23" s="10">
        <v>333551.97713155043</v>
      </c>
      <c r="AA23" s="10">
        <v>337748.46408807219</v>
      </c>
      <c r="AB23" s="10">
        <v>341944.95104459394</v>
      </c>
      <c r="AC23" s="10">
        <v>346141.43800111569</v>
      </c>
      <c r="AD23" s="10">
        <v>350337.92495763744</v>
      </c>
      <c r="AE23" s="10">
        <v>354534.41191415919</v>
      </c>
      <c r="AF23" s="10">
        <v>358730.89887068089</v>
      </c>
      <c r="AG23" s="10">
        <v>362927.38582720264</v>
      </c>
      <c r="AH23" s="10">
        <v>367123.87278372434</v>
      </c>
      <c r="AI23" s="10">
        <v>371320.35974024609</v>
      </c>
      <c r="AJ23" s="10">
        <v>375516.84669676784</v>
      </c>
      <c r="AK23" s="10">
        <v>379713.33365328959</v>
      </c>
    </row>
    <row r="24" spans="4:37" x14ac:dyDescent="0.25">
      <c r="G24" s="6">
        <v>0.9</v>
      </c>
      <c r="H24" s="10">
        <v>258262.06408807222</v>
      </c>
      <c r="I24" s="10">
        <v>262705.40321850701</v>
      </c>
      <c r="J24" s="10">
        <v>267148.7423489418</v>
      </c>
      <c r="K24" s="10">
        <v>271592.08147937653</v>
      </c>
      <c r="L24" s="10">
        <v>276035.42060981132</v>
      </c>
      <c r="M24" s="10">
        <v>280478.75974024611</v>
      </c>
      <c r="N24" s="10">
        <v>284922.0988706809</v>
      </c>
      <c r="O24" s="10">
        <v>289365.43800111569</v>
      </c>
      <c r="P24" s="10">
        <v>293808.77713155048</v>
      </c>
      <c r="Q24" s="10">
        <v>298252.11626198527</v>
      </c>
      <c r="R24" s="10">
        <v>302695.45539242006</v>
      </c>
      <c r="S24" s="10">
        <v>307138.79452285485</v>
      </c>
      <c r="T24" s="10">
        <v>311582.13365328958</v>
      </c>
      <c r="U24" s="10">
        <v>316025.47278372437</v>
      </c>
      <c r="V24" s="10">
        <v>320468.81191415916</v>
      </c>
      <c r="W24" s="10">
        <v>324912.15104459395</v>
      </c>
      <c r="X24" s="10">
        <v>329355.49017502874</v>
      </c>
      <c r="Y24" s="10">
        <v>333798.82930546353</v>
      </c>
      <c r="Z24" s="10">
        <v>338242.16843589826</v>
      </c>
      <c r="AA24" s="10">
        <v>342685.50756633305</v>
      </c>
      <c r="AB24" s="10">
        <v>347128.84669676784</v>
      </c>
      <c r="AC24" s="10">
        <v>351572.18582720263</v>
      </c>
      <c r="AD24" s="10">
        <v>356015.52495763742</v>
      </c>
      <c r="AE24" s="10">
        <v>360458.86408807221</v>
      </c>
      <c r="AF24" s="10">
        <v>364902.203218507</v>
      </c>
      <c r="AG24" s="10">
        <v>369345.54234894179</v>
      </c>
      <c r="AH24" s="10">
        <v>373788.88147937658</v>
      </c>
      <c r="AI24" s="10">
        <v>378232.22060981131</v>
      </c>
      <c r="AJ24" s="10">
        <v>382675.55974024616</v>
      </c>
      <c r="AK24" s="10">
        <v>387118.89887068095</v>
      </c>
    </row>
    <row r="25" spans="4:37" x14ac:dyDescent="0.25">
      <c r="G25" s="6">
        <f>0.95</f>
        <v>0.95</v>
      </c>
      <c r="H25" s="10">
        <v>258508.91626198526</v>
      </c>
      <c r="I25" s="10">
        <v>263199.10756633308</v>
      </c>
      <c r="J25" s="10">
        <v>267889.29887068091</v>
      </c>
      <c r="K25" s="10">
        <v>272579.49017502874</v>
      </c>
      <c r="L25" s="10">
        <v>277269.68147937657</v>
      </c>
      <c r="M25" s="10">
        <v>281959.87278372439</v>
      </c>
      <c r="N25" s="10">
        <v>286650.06408807222</v>
      </c>
      <c r="O25" s="10">
        <v>291340.25539242005</v>
      </c>
      <c r="P25" s="10">
        <v>296030.44669676787</v>
      </c>
      <c r="Q25" s="10">
        <v>300720.6380011157</v>
      </c>
      <c r="R25" s="10">
        <v>305410.82930546353</v>
      </c>
      <c r="S25" s="10">
        <v>310101.02060981136</v>
      </c>
      <c r="T25" s="10">
        <v>314791.21191415918</v>
      </c>
      <c r="U25" s="10">
        <v>319481.40321850695</v>
      </c>
      <c r="V25" s="10">
        <v>324171.59452285484</v>
      </c>
      <c r="W25" s="10">
        <v>328861.78582720261</v>
      </c>
      <c r="X25" s="10">
        <v>333551.97713155043</v>
      </c>
      <c r="Y25" s="10">
        <v>338242.16843589826</v>
      </c>
      <c r="Z25" s="10">
        <v>342932.35974024609</v>
      </c>
      <c r="AA25" s="10">
        <v>347622.55104459391</v>
      </c>
      <c r="AB25" s="10">
        <v>352312.74234894174</v>
      </c>
      <c r="AC25" s="10">
        <v>357002.93365328957</v>
      </c>
      <c r="AD25" s="10">
        <v>361693.1249576374</v>
      </c>
      <c r="AE25" s="10">
        <v>366383.31626198522</v>
      </c>
      <c r="AF25" s="10">
        <v>371073.50756633305</v>
      </c>
      <c r="AG25" s="10">
        <v>375763.69887068088</v>
      </c>
      <c r="AH25" s="10">
        <v>380453.8901750287</v>
      </c>
      <c r="AI25" s="10">
        <v>385144.08147937653</v>
      </c>
      <c r="AJ25" s="10">
        <v>389834.27278372436</v>
      </c>
      <c r="AK25" s="10">
        <v>394524.46408807219</v>
      </c>
    </row>
    <row r="26" spans="4:37" x14ac:dyDescent="0.25">
      <c r="G26" s="6">
        <v>1</v>
      </c>
      <c r="H26" s="10">
        <v>258755.7684358983</v>
      </c>
      <c r="I26" s="10">
        <v>263692.81191415916</v>
      </c>
      <c r="J26" s="10">
        <v>268629.85539242002</v>
      </c>
      <c r="K26" s="10">
        <v>273566.89887068089</v>
      </c>
      <c r="L26" s="10">
        <v>278503.94234894175</v>
      </c>
      <c r="M26" s="10">
        <v>283440.98582720268</v>
      </c>
      <c r="N26" s="10">
        <v>288378.02930546354</v>
      </c>
      <c r="O26" s="10">
        <v>293315.0727837244</v>
      </c>
      <c r="P26" s="10">
        <v>298252.11626198527</v>
      </c>
      <c r="Q26" s="10">
        <v>303189.15974024613</v>
      </c>
      <c r="R26" s="10">
        <v>308126.203218507</v>
      </c>
      <c r="S26" s="10">
        <v>313063.24669676786</v>
      </c>
      <c r="T26" s="10">
        <v>318000.29017502873</v>
      </c>
      <c r="U26" s="10">
        <v>322937.33365328959</v>
      </c>
      <c r="V26" s="10">
        <v>327874.37713155046</v>
      </c>
      <c r="W26" s="10">
        <v>332811.42060981132</v>
      </c>
      <c r="X26" s="10">
        <v>337748.46408807219</v>
      </c>
      <c r="Y26" s="10">
        <v>342685.50756633305</v>
      </c>
      <c r="Z26" s="10">
        <v>347622.55104459391</v>
      </c>
      <c r="AA26" s="10">
        <v>352559.59452285478</v>
      </c>
      <c r="AB26" s="10">
        <v>357496.6380011157</v>
      </c>
      <c r="AC26" s="10">
        <v>362433.68147937657</v>
      </c>
      <c r="AD26" s="10">
        <v>367370.72495763743</v>
      </c>
      <c r="AE26" s="10">
        <v>372307.7684358983</v>
      </c>
      <c r="AF26" s="10">
        <v>377244.81191415916</v>
      </c>
      <c r="AG26" s="10">
        <v>382181.85539242002</v>
      </c>
      <c r="AH26" s="10">
        <v>387118.89887068089</v>
      </c>
      <c r="AI26" s="10">
        <v>392055.94234894175</v>
      </c>
      <c r="AJ26" s="10">
        <v>396992.98582720268</v>
      </c>
      <c r="AK26" s="10">
        <v>401930.02930546354</v>
      </c>
    </row>
    <row r="27" spans="4:37" x14ac:dyDescent="0.25">
      <c r="G27" s="10"/>
    </row>
    <row r="28" spans="4:37" x14ac:dyDescent="0.25">
      <c r="G28" s="10"/>
    </row>
    <row r="29" spans="4:37" x14ac:dyDescent="0.25">
      <c r="G29" s="10"/>
    </row>
    <row r="30" spans="4:37" x14ac:dyDescent="0.25">
      <c r="G30" s="27"/>
    </row>
    <row r="31" spans="4:37" x14ac:dyDescent="0.25">
      <c r="F31" s="83" t="s">
        <v>90</v>
      </c>
      <c r="G31" s="80">
        <f>E23</f>
        <v>293315.0727837244</v>
      </c>
    </row>
    <row r="32" spans="4:37" x14ac:dyDescent="0.25">
      <c r="F32" s="47">
        <v>300</v>
      </c>
      <c r="G32" s="84">
        <f t="dataTable" ref="G32:G51" dt2D="0" dtr="0" r1="E6"/>
        <v>4863749.7886739308</v>
      </c>
    </row>
    <row r="33" spans="6:7" x14ac:dyDescent="0.25">
      <c r="F33" s="47">
        <v>600</v>
      </c>
      <c r="G33" s="84">
        <v>2413338.9302413063</v>
      </c>
    </row>
    <row r="34" spans="6:7" x14ac:dyDescent="0.25">
      <c r="F34" s="47">
        <v>900</v>
      </c>
      <c r="G34" s="84">
        <v>1598135.3107637649</v>
      </c>
    </row>
    <row r="35" spans="6:7" x14ac:dyDescent="0.25">
      <c r="F35" s="47">
        <v>1200</v>
      </c>
      <c r="G35" s="84">
        <v>1191733.5010249941</v>
      </c>
    </row>
    <row r="36" spans="6:7" x14ac:dyDescent="0.25">
      <c r="F36" s="47">
        <v>1500</v>
      </c>
      <c r="G36" s="84">
        <v>948852.41518173146</v>
      </c>
    </row>
    <row r="37" spans="6:7" x14ac:dyDescent="0.25">
      <c r="F37" s="47">
        <v>1800</v>
      </c>
      <c r="G37" s="84">
        <v>787731.69128622324</v>
      </c>
    </row>
    <row r="38" spans="6:7" x14ac:dyDescent="0.25">
      <c r="F38" s="47">
        <v>2100</v>
      </c>
      <c r="G38" s="84">
        <v>673331.17421800306</v>
      </c>
    </row>
    <row r="39" spans="6:7" x14ac:dyDescent="0.25">
      <c r="F39" s="47">
        <v>2400</v>
      </c>
      <c r="G39" s="84">
        <v>588130.78641683783</v>
      </c>
    </row>
    <row r="40" spans="6:7" x14ac:dyDescent="0.25">
      <c r="F40" s="47">
        <v>2700</v>
      </c>
      <c r="G40" s="84">
        <v>522397.15146037599</v>
      </c>
    </row>
    <row r="41" spans="6:7" x14ac:dyDescent="0.25">
      <c r="F41" s="47">
        <v>3000</v>
      </c>
      <c r="G41" s="84">
        <v>470290.24349520658</v>
      </c>
    </row>
    <row r="42" spans="6:7" x14ac:dyDescent="0.25">
      <c r="F42" s="47">
        <v>3300</v>
      </c>
      <c r="G42" s="84">
        <v>428093.68243279523</v>
      </c>
    </row>
    <row r="43" spans="6:7" x14ac:dyDescent="0.25">
      <c r="F43" s="47">
        <v>3600</v>
      </c>
      <c r="G43" s="84">
        <v>393329.88154745247</v>
      </c>
    </row>
    <row r="44" spans="6:7" x14ac:dyDescent="0.25">
      <c r="F44" s="47">
        <v>3900</v>
      </c>
      <c r="G44" s="84">
        <v>364283.58849062398</v>
      </c>
    </row>
    <row r="45" spans="6:7" x14ac:dyDescent="0.25">
      <c r="F45" s="47">
        <v>4200</v>
      </c>
      <c r="G45" s="84">
        <v>339729.62301334238</v>
      </c>
    </row>
    <row r="46" spans="6:7" x14ac:dyDescent="0.25">
      <c r="F46" s="47">
        <v>4500</v>
      </c>
      <c r="G46" s="84">
        <v>318769.51959969831</v>
      </c>
    </row>
    <row r="47" spans="6:7" x14ac:dyDescent="0.25">
      <c r="F47" s="47">
        <v>4800</v>
      </c>
      <c r="G47" s="84">
        <v>300729.42911275977</v>
      </c>
    </row>
    <row r="48" spans="6:7" x14ac:dyDescent="0.25">
      <c r="F48" s="47">
        <v>5100</v>
      </c>
      <c r="G48" s="84">
        <v>285094.05515369633</v>
      </c>
    </row>
    <row r="49" spans="6:7" x14ac:dyDescent="0.25">
      <c r="F49" s="47">
        <v>5400</v>
      </c>
      <c r="G49" s="84">
        <v>271462.61163452885</v>
      </c>
    </row>
    <row r="50" spans="6:7" x14ac:dyDescent="0.25">
      <c r="F50" s="47">
        <v>5700</v>
      </c>
      <c r="G50" s="84">
        <v>259518.68848580011</v>
      </c>
    </row>
    <row r="51" spans="6:7" x14ac:dyDescent="0.25">
      <c r="F51" s="47">
        <v>6000</v>
      </c>
      <c r="G51" s="84">
        <v>249009.1576519442</v>
      </c>
    </row>
  </sheetData>
  <mergeCells count="1">
    <mergeCell ref="H4:AK4"/>
  </mergeCells>
  <conditionalFormatting sqref="H6:AK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5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{E4025121-7775-4322-9E78-B9003C24E6C1}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025121-7775-4322-9E78-B9003C24E6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B500-2937-428E-886F-270A80AFBC46}">
  <dimension ref="A1:O57"/>
  <sheetViews>
    <sheetView showGridLines="0" zoomScale="90" zoomScaleNormal="90" workbookViewId="0">
      <selection activeCell="V30" sqref="V30"/>
    </sheetView>
  </sheetViews>
  <sheetFormatPr defaultRowHeight="15" x14ac:dyDescent="0.25"/>
  <cols>
    <col min="1" max="1" width="10.5703125" customWidth="1"/>
    <col min="2" max="2" width="10.85546875" bestFit="1" customWidth="1"/>
    <col min="4" max="4" width="16.85546875" style="5" bestFit="1" customWidth="1"/>
    <col min="5" max="5" width="13" customWidth="1"/>
    <col min="6" max="6" width="14.28515625" customWidth="1"/>
    <col min="7" max="7" width="14.85546875" customWidth="1"/>
    <col min="8" max="8" width="14.85546875" bestFit="1" customWidth="1"/>
    <col min="9" max="9" width="17.42578125" customWidth="1"/>
    <col min="10" max="10" width="14.28515625" bestFit="1" customWidth="1"/>
    <col min="11" max="11" width="10.5703125" customWidth="1"/>
    <col min="12" max="12" width="15.28515625" customWidth="1"/>
    <col min="13" max="13" width="11.140625" bestFit="1" customWidth="1"/>
    <col min="14" max="14" width="17.28515625" bestFit="1" customWidth="1"/>
    <col min="15" max="15" width="17.85546875" bestFit="1" customWidth="1"/>
  </cols>
  <sheetData>
    <row r="1" spans="1:15" ht="43.5" customHeight="1" thickBot="1" x14ac:dyDescent="0.4">
      <c r="A1" s="36" t="s">
        <v>73</v>
      </c>
      <c r="B1" s="36"/>
      <c r="C1" s="36"/>
      <c r="D1" s="52"/>
      <c r="G1" s="37" t="s">
        <v>88</v>
      </c>
      <c r="H1" s="37"/>
      <c r="I1" s="37"/>
      <c r="N1" s="7" t="s">
        <v>27</v>
      </c>
      <c r="O1" s="66">
        <f>AVERAGE(K6:K26)</f>
        <v>30674.701175730494</v>
      </c>
    </row>
    <row r="2" spans="1:15" ht="30.75" thickTop="1" x14ac:dyDescent="0.25">
      <c r="A2" s="29" t="s">
        <v>32</v>
      </c>
      <c r="B2" s="29" t="s">
        <v>0</v>
      </c>
      <c r="C2" s="29" t="s">
        <v>17</v>
      </c>
      <c r="D2" s="29" t="s">
        <v>18</v>
      </c>
      <c r="E2" s="29" t="s">
        <v>25</v>
      </c>
      <c r="F2" s="29" t="s">
        <v>19</v>
      </c>
      <c r="G2" s="30" t="s">
        <v>26</v>
      </c>
      <c r="H2" s="31" t="s">
        <v>20</v>
      </c>
      <c r="I2" s="31" t="s">
        <v>21</v>
      </c>
      <c r="J2" s="31" t="s">
        <v>22</v>
      </c>
      <c r="K2" s="31" t="s">
        <v>23</v>
      </c>
      <c r="L2" s="32" t="s">
        <v>24</v>
      </c>
      <c r="N2" s="8" t="s">
        <v>28</v>
      </c>
      <c r="O2" s="67">
        <f>AVERAGE(L6:L26)</f>
        <v>0.13296780444518422</v>
      </c>
    </row>
    <row r="3" spans="1:15" ht="15.75" thickBot="1" x14ac:dyDescent="0.3">
      <c r="A3" s="96" t="s">
        <v>13</v>
      </c>
      <c r="B3" s="40" t="s">
        <v>1</v>
      </c>
      <c r="C3" s="57">
        <v>1</v>
      </c>
      <c r="D3" s="102">
        <v>300000</v>
      </c>
      <c r="E3" s="40">
        <v>1</v>
      </c>
      <c r="F3" s="40">
        <f>VLOOKUP(E3,$M$6:$N$18,2,0)</f>
        <v>1.2491096866096865</v>
      </c>
      <c r="G3" s="44">
        <f>D3/F3</f>
        <v>240171.06200997863</v>
      </c>
      <c r="H3" s="44"/>
      <c r="I3" s="40"/>
      <c r="J3" s="40"/>
      <c r="K3" s="40"/>
      <c r="L3" s="40"/>
      <c r="N3" s="9" t="s">
        <v>29</v>
      </c>
      <c r="O3" s="68">
        <f>I27</f>
        <v>298090.65314895572</v>
      </c>
    </row>
    <row r="4" spans="1:15" ht="15.75" thickBot="1" x14ac:dyDescent="0.3">
      <c r="A4" s="96"/>
      <c r="B4" s="40" t="s">
        <v>2</v>
      </c>
      <c r="C4" s="57">
        <v>2</v>
      </c>
      <c r="D4" s="42">
        <v>290000</v>
      </c>
      <c r="E4" s="40">
        <v>2</v>
      </c>
      <c r="F4" s="40">
        <f t="shared" ref="F4:F27" si="0">VLOOKUP(E4,$M$6:$N$18,2,0)</f>
        <v>1.1753917378917378</v>
      </c>
      <c r="G4" s="44">
        <f t="shared" ref="G4:G26" si="1">D4/F4</f>
        <v>246726.25359793974</v>
      </c>
      <c r="H4" s="40"/>
      <c r="I4" s="40"/>
      <c r="J4" s="40"/>
      <c r="K4" s="40"/>
      <c r="L4" s="40"/>
    </row>
    <row r="5" spans="1:15" ht="15.75" thickBot="1" x14ac:dyDescent="0.3">
      <c r="A5" s="96"/>
      <c r="B5" s="40" t="s">
        <v>3</v>
      </c>
      <c r="C5" s="57">
        <v>3</v>
      </c>
      <c r="D5" s="42">
        <v>230000</v>
      </c>
      <c r="E5" s="40">
        <v>3</v>
      </c>
      <c r="F5" s="40">
        <f t="shared" si="0"/>
        <v>0.90099715099715094</v>
      </c>
      <c r="G5" s="44">
        <f t="shared" si="1"/>
        <v>255272.72727272729</v>
      </c>
      <c r="H5" s="40"/>
      <c r="I5" s="40"/>
      <c r="J5" s="40"/>
      <c r="K5" s="40"/>
      <c r="L5" s="40"/>
      <c r="M5" s="31" t="s">
        <v>25</v>
      </c>
      <c r="N5" s="31" t="s">
        <v>19</v>
      </c>
    </row>
    <row r="6" spans="1:15" x14ac:dyDescent="0.25">
      <c r="A6" s="96" t="s">
        <v>14</v>
      </c>
      <c r="B6" s="40" t="s">
        <v>4</v>
      </c>
      <c r="C6" s="57">
        <v>4</v>
      </c>
      <c r="D6" s="42">
        <v>280000</v>
      </c>
      <c r="E6" s="40">
        <v>4</v>
      </c>
      <c r="F6" s="40">
        <f t="shared" si="0"/>
        <v>1.1201032763532763</v>
      </c>
      <c r="G6" s="44">
        <f t="shared" si="1"/>
        <v>249976.94936809476</v>
      </c>
      <c r="H6" s="44">
        <f>AVERAGE(G3:G5)</f>
        <v>247390.01429354856</v>
      </c>
      <c r="I6" s="44">
        <f>H6*F6</f>
        <v>277102.36554728763</v>
      </c>
      <c r="J6" s="44">
        <f>D6-H6</f>
        <v>32609.985706451436</v>
      </c>
      <c r="K6" s="40">
        <f>ABS(J6)</f>
        <v>32609.985706451436</v>
      </c>
      <c r="L6" s="59">
        <f>K6/D6</f>
        <v>0.11646423466589799</v>
      </c>
      <c r="M6" s="60">
        <v>1</v>
      </c>
      <c r="N6" s="61">
        <f t="shared" ref="N6:N17" si="2">AVERAGEIF($E$4:$E$34,M6,$D$4:$D$34)/AVERAGE($D$4:$D$34)</f>
        <v>1.2491096866096865</v>
      </c>
    </row>
    <row r="7" spans="1:15" x14ac:dyDescent="0.25">
      <c r="A7" s="96"/>
      <c r="B7" s="40" t="s">
        <v>5</v>
      </c>
      <c r="C7" s="57">
        <v>5</v>
      </c>
      <c r="D7" s="42">
        <v>270000</v>
      </c>
      <c r="E7" s="40">
        <v>5</v>
      </c>
      <c r="F7" s="40">
        <f t="shared" si="0"/>
        <v>1.0852920227920226</v>
      </c>
      <c r="G7" s="44">
        <f t="shared" si="1"/>
        <v>248780.96800656279</v>
      </c>
      <c r="H7" s="44">
        <f t="shared" ref="H7:H27" si="3">AVERAGE(G4:G6)</f>
        <v>250658.64341292062</v>
      </c>
      <c r="I7" s="44">
        <f t="shared" ref="I7:I27" si="4">H7*F7</f>
        <v>272037.82613991294</v>
      </c>
      <c r="J7" s="44">
        <f t="shared" ref="J7:J26" si="5">D7-H7</f>
        <v>19341.356587079383</v>
      </c>
      <c r="K7" s="40">
        <f t="shared" ref="K7:K26" si="6">ABS(J7)</f>
        <v>19341.356587079383</v>
      </c>
      <c r="L7" s="59">
        <f t="shared" ref="L7:L26" si="7">K7/D7</f>
        <v>7.1634654026219935E-2</v>
      </c>
      <c r="M7" s="62">
        <v>2</v>
      </c>
      <c r="N7" s="63">
        <f t="shared" si="2"/>
        <v>1.1753917378917378</v>
      </c>
    </row>
    <row r="8" spans="1:15" x14ac:dyDescent="0.25">
      <c r="A8" s="96"/>
      <c r="B8" s="40" t="s">
        <v>6</v>
      </c>
      <c r="C8" s="57">
        <v>6</v>
      </c>
      <c r="D8" s="42">
        <v>210000</v>
      </c>
      <c r="E8" s="40">
        <v>6</v>
      </c>
      <c r="F8" s="40">
        <f t="shared" si="0"/>
        <v>0.82932692307692302</v>
      </c>
      <c r="G8" s="44">
        <f t="shared" si="1"/>
        <v>253217.39130434784</v>
      </c>
      <c r="H8" s="44">
        <f t="shared" si="3"/>
        <v>251343.54821579496</v>
      </c>
      <c r="I8" s="44">
        <f t="shared" si="4"/>
        <v>208445.97147704149</v>
      </c>
      <c r="J8" s="44">
        <f t="shared" si="5"/>
        <v>-41343.548215794959</v>
      </c>
      <c r="K8" s="40">
        <f t="shared" si="6"/>
        <v>41343.548215794959</v>
      </c>
      <c r="L8" s="59">
        <f t="shared" si="7"/>
        <v>0.19687403912283313</v>
      </c>
      <c r="M8" s="62">
        <v>3</v>
      </c>
      <c r="N8" s="63">
        <f t="shared" si="2"/>
        <v>0.90099715099715094</v>
      </c>
    </row>
    <row r="9" spans="1:15" x14ac:dyDescent="0.25">
      <c r="A9" s="96" t="s">
        <v>15</v>
      </c>
      <c r="B9" s="40" t="s">
        <v>7</v>
      </c>
      <c r="C9" s="57">
        <v>7</v>
      </c>
      <c r="D9" s="42">
        <v>195000</v>
      </c>
      <c r="E9" s="40">
        <v>7</v>
      </c>
      <c r="F9" s="40">
        <f t="shared" si="0"/>
        <v>0.78837250712250706</v>
      </c>
      <c r="G9" s="44">
        <f t="shared" si="1"/>
        <v>247345.00282326373</v>
      </c>
      <c r="H9" s="44">
        <f t="shared" si="3"/>
        <v>250658.43622633512</v>
      </c>
      <c r="I9" s="44">
        <f t="shared" si="4"/>
        <v>197612.21979916288</v>
      </c>
      <c r="J9" s="44">
        <f t="shared" si="5"/>
        <v>-55658.436226335121</v>
      </c>
      <c r="K9" s="40">
        <f t="shared" si="6"/>
        <v>55658.436226335121</v>
      </c>
      <c r="L9" s="59">
        <f t="shared" si="7"/>
        <v>0.28542787808376985</v>
      </c>
      <c r="M9" s="62">
        <v>4</v>
      </c>
      <c r="N9" s="63">
        <f t="shared" si="2"/>
        <v>1.1201032763532763</v>
      </c>
    </row>
    <row r="10" spans="1:15" x14ac:dyDescent="0.25">
      <c r="A10" s="96"/>
      <c r="B10" s="40" t="s">
        <v>8</v>
      </c>
      <c r="C10" s="57">
        <v>8</v>
      </c>
      <c r="D10" s="42">
        <v>205000</v>
      </c>
      <c r="E10" s="40">
        <v>8</v>
      </c>
      <c r="F10" s="40">
        <f t="shared" si="0"/>
        <v>0.82113603988603989</v>
      </c>
      <c r="G10" s="44">
        <f t="shared" si="1"/>
        <v>249654.12555567603</v>
      </c>
      <c r="H10" s="44">
        <f t="shared" si="3"/>
        <v>249781.12071139144</v>
      </c>
      <c r="I10" s="44">
        <f t="shared" si="4"/>
        <v>205104.28029924887</v>
      </c>
      <c r="J10" s="44">
        <f t="shared" si="5"/>
        <v>-44781.120711391442</v>
      </c>
      <c r="K10" s="40">
        <f t="shared" si="6"/>
        <v>44781.120711391442</v>
      </c>
      <c r="L10" s="59">
        <f t="shared" si="7"/>
        <v>0.2184444912750802</v>
      </c>
      <c r="M10" s="62">
        <v>5</v>
      </c>
      <c r="N10" s="63">
        <f t="shared" si="2"/>
        <v>1.0852920227920226</v>
      </c>
    </row>
    <row r="11" spans="1:15" x14ac:dyDescent="0.25">
      <c r="A11" s="96"/>
      <c r="B11" s="40" t="s">
        <v>9</v>
      </c>
      <c r="C11" s="57">
        <v>9</v>
      </c>
      <c r="D11" s="42">
        <v>277000</v>
      </c>
      <c r="E11" s="40">
        <v>9</v>
      </c>
      <c r="F11" s="40">
        <f t="shared" si="0"/>
        <v>1.0074786324786325</v>
      </c>
      <c r="G11" s="44">
        <f t="shared" si="1"/>
        <v>274943.79639448569</v>
      </c>
      <c r="H11" s="44">
        <f t="shared" si="3"/>
        <v>250072.17322776254</v>
      </c>
      <c r="I11" s="44">
        <f t="shared" si="4"/>
        <v>251942.37110446588</v>
      </c>
      <c r="J11" s="44">
        <f t="shared" si="5"/>
        <v>26927.826772237458</v>
      </c>
      <c r="K11" s="40">
        <f t="shared" si="6"/>
        <v>26927.826772237458</v>
      </c>
      <c r="L11" s="59">
        <f t="shared" si="7"/>
        <v>9.7212371018907798E-2</v>
      </c>
      <c r="M11" s="62">
        <v>6</v>
      </c>
      <c r="N11" s="63">
        <f t="shared" si="2"/>
        <v>0.82932692307692302</v>
      </c>
    </row>
    <row r="12" spans="1:15" x14ac:dyDescent="0.25">
      <c r="A12" s="96" t="s">
        <v>16</v>
      </c>
      <c r="B12" s="40" t="s">
        <v>10</v>
      </c>
      <c r="C12" s="57">
        <v>10</v>
      </c>
      <c r="D12" s="42">
        <v>265000</v>
      </c>
      <c r="E12" s="40">
        <v>10</v>
      </c>
      <c r="F12" s="40">
        <f t="shared" si="0"/>
        <v>1.1098646723646723</v>
      </c>
      <c r="G12" s="44">
        <f t="shared" si="1"/>
        <v>238767.84854805071</v>
      </c>
      <c r="H12" s="44">
        <f t="shared" si="3"/>
        <v>257314.30825780847</v>
      </c>
      <c r="I12" s="44">
        <f t="shared" si="4"/>
        <v>285584.06042929488</v>
      </c>
      <c r="J12" s="44">
        <f t="shared" si="5"/>
        <v>7685.6917421915277</v>
      </c>
      <c r="K12" s="40">
        <f t="shared" si="6"/>
        <v>7685.6917421915277</v>
      </c>
      <c r="L12" s="59">
        <f t="shared" si="7"/>
        <v>2.9002610347892557E-2</v>
      </c>
      <c r="M12" s="62">
        <v>7</v>
      </c>
      <c r="N12" s="63">
        <f t="shared" si="2"/>
        <v>0.78837250712250706</v>
      </c>
    </row>
    <row r="13" spans="1:15" x14ac:dyDescent="0.25">
      <c r="A13" s="96"/>
      <c r="B13" s="40" t="s">
        <v>11</v>
      </c>
      <c r="C13" s="57">
        <v>11</v>
      </c>
      <c r="D13" s="42">
        <v>250000</v>
      </c>
      <c r="E13" s="40">
        <v>11</v>
      </c>
      <c r="F13" s="40">
        <f t="shared" si="0"/>
        <v>1.0136217948717949</v>
      </c>
      <c r="G13" s="44">
        <f t="shared" si="1"/>
        <v>246640.31620553357</v>
      </c>
      <c r="H13" s="44">
        <f t="shared" si="3"/>
        <v>254455.25683273748</v>
      </c>
      <c r="I13" s="44">
        <f t="shared" si="4"/>
        <v>257921.39414536292</v>
      </c>
      <c r="J13" s="44">
        <f t="shared" si="5"/>
        <v>-4455.2568327374756</v>
      </c>
      <c r="K13" s="40">
        <f t="shared" si="6"/>
        <v>4455.2568327374756</v>
      </c>
      <c r="L13" s="59">
        <f t="shared" si="7"/>
        <v>1.7821027330949903E-2</v>
      </c>
      <c r="M13" s="62">
        <v>8</v>
      </c>
      <c r="N13" s="63">
        <f t="shared" si="2"/>
        <v>0.82113603988603989</v>
      </c>
    </row>
    <row r="14" spans="1:15" x14ac:dyDescent="0.25">
      <c r="A14" s="96"/>
      <c r="B14" s="40" t="s">
        <v>12</v>
      </c>
      <c r="C14" s="57">
        <v>12</v>
      </c>
      <c r="D14" s="42">
        <v>270000</v>
      </c>
      <c r="E14" s="40">
        <v>12</v>
      </c>
      <c r="F14" s="40">
        <f t="shared" si="0"/>
        <v>1.0238603988603989</v>
      </c>
      <c r="G14" s="44">
        <f t="shared" si="1"/>
        <v>263707.82608695648</v>
      </c>
      <c r="H14" s="44">
        <f t="shared" si="3"/>
        <v>253450.65371602331</v>
      </c>
      <c r="I14" s="44">
        <f t="shared" si="4"/>
        <v>259498.08740511647</v>
      </c>
      <c r="J14" s="44">
        <f t="shared" si="5"/>
        <v>16549.346283976687</v>
      </c>
      <c r="K14" s="40">
        <f t="shared" si="6"/>
        <v>16549.346283976687</v>
      </c>
      <c r="L14" s="59">
        <f t="shared" si="7"/>
        <v>6.1293875125839579E-2</v>
      </c>
      <c r="M14" s="62">
        <v>9</v>
      </c>
      <c r="N14" s="63">
        <f t="shared" si="2"/>
        <v>1.0074786324786325</v>
      </c>
    </row>
    <row r="15" spans="1:15" x14ac:dyDescent="0.25">
      <c r="A15" s="96" t="s">
        <v>13</v>
      </c>
      <c r="B15" s="40" t="s">
        <v>1</v>
      </c>
      <c r="C15" s="57">
        <v>13</v>
      </c>
      <c r="D15" s="42">
        <v>305000</v>
      </c>
      <c r="E15" s="40">
        <v>1</v>
      </c>
      <c r="F15" s="40">
        <f t="shared" si="0"/>
        <v>1.2491096866096865</v>
      </c>
      <c r="G15" s="44">
        <f t="shared" si="1"/>
        <v>244173.9130434783</v>
      </c>
      <c r="H15" s="44">
        <f t="shared" si="3"/>
        <v>249705.33028018023</v>
      </c>
      <c r="I15" s="44">
        <f t="shared" si="4"/>
        <v>311909.34685104416</v>
      </c>
      <c r="J15" s="44">
        <f t="shared" si="5"/>
        <v>55294.669719819765</v>
      </c>
      <c r="K15" s="40">
        <f t="shared" si="6"/>
        <v>55294.669719819765</v>
      </c>
      <c r="L15" s="59">
        <f t="shared" si="7"/>
        <v>0.18129399908137628</v>
      </c>
      <c r="M15" s="62">
        <v>10</v>
      </c>
      <c r="N15" s="63">
        <f t="shared" si="2"/>
        <v>1.1098646723646723</v>
      </c>
    </row>
    <row r="16" spans="1:15" x14ac:dyDescent="0.25">
      <c r="A16" s="96"/>
      <c r="B16" s="40" t="s">
        <v>2</v>
      </c>
      <c r="C16" s="57">
        <v>14</v>
      </c>
      <c r="D16" s="42">
        <v>284000</v>
      </c>
      <c r="E16" s="40">
        <v>2</v>
      </c>
      <c r="F16" s="40">
        <f t="shared" si="0"/>
        <v>1.1753917378917378</v>
      </c>
      <c r="G16" s="44">
        <f t="shared" si="1"/>
        <v>241621.57248901683</v>
      </c>
      <c r="H16" s="44">
        <f t="shared" si="3"/>
        <v>251507.35177865613</v>
      </c>
      <c r="I16" s="44">
        <f t="shared" si="4"/>
        <v>295619.66329966328</v>
      </c>
      <c r="J16" s="44">
        <f t="shared" si="5"/>
        <v>32492.648221343872</v>
      </c>
      <c r="K16" s="40">
        <f t="shared" si="6"/>
        <v>32492.648221343872</v>
      </c>
      <c r="L16" s="59">
        <f t="shared" si="7"/>
        <v>0.11441073317374603</v>
      </c>
      <c r="M16" s="62">
        <v>11</v>
      </c>
      <c r="N16" s="63">
        <f t="shared" si="2"/>
        <v>1.0136217948717949</v>
      </c>
    </row>
    <row r="17" spans="1:14" ht="15.75" thickBot="1" x14ac:dyDescent="0.3">
      <c r="A17" s="96"/>
      <c r="B17" s="40" t="s">
        <v>3</v>
      </c>
      <c r="C17" s="57">
        <v>15</v>
      </c>
      <c r="D17" s="42">
        <v>210000</v>
      </c>
      <c r="E17" s="40">
        <v>3</v>
      </c>
      <c r="F17" s="40">
        <f t="shared" si="0"/>
        <v>0.90099715099715094</v>
      </c>
      <c r="G17" s="44">
        <f t="shared" si="1"/>
        <v>233075.09881422928</v>
      </c>
      <c r="H17" s="44">
        <f t="shared" si="3"/>
        <v>249834.43720648388</v>
      </c>
      <c r="I17" s="44">
        <f t="shared" si="4"/>
        <v>225100.1161440186</v>
      </c>
      <c r="J17" s="44">
        <f t="shared" si="5"/>
        <v>-39834.437206483883</v>
      </c>
      <c r="K17" s="40">
        <f t="shared" si="6"/>
        <v>39834.437206483883</v>
      </c>
      <c r="L17" s="59">
        <f t="shared" si="7"/>
        <v>0.18968779622135182</v>
      </c>
      <c r="M17" s="64">
        <v>12</v>
      </c>
      <c r="N17" s="65">
        <f t="shared" si="2"/>
        <v>1.0238603988603989</v>
      </c>
    </row>
    <row r="18" spans="1:14" x14ac:dyDescent="0.25">
      <c r="A18" s="96" t="s">
        <v>14</v>
      </c>
      <c r="B18" s="40" t="s">
        <v>4</v>
      </c>
      <c r="C18" s="57">
        <v>16</v>
      </c>
      <c r="D18" s="42">
        <f>267000</f>
        <v>267000</v>
      </c>
      <c r="E18" s="40">
        <v>4</v>
      </c>
      <c r="F18" s="40">
        <f t="shared" si="0"/>
        <v>1.1201032763532763</v>
      </c>
      <c r="G18" s="44">
        <f t="shared" si="1"/>
        <v>238370.87671886178</v>
      </c>
      <c r="H18" s="44">
        <f t="shared" si="3"/>
        <v>239623.52811557482</v>
      </c>
      <c r="I18" s="44">
        <f t="shared" si="4"/>
        <v>268403.09893358679</v>
      </c>
      <c r="J18" s="44">
        <f t="shared" si="5"/>
        <v>27376.471884425177</v>
      </c>
      <c r="K18" s="40">
        <f t="shared" si="6"/>
        <v>27376.471884425177</v>
      </c>
      <c r="L18" s="43">
        <f t="shared" si="7"/>
        <v>0.10253360256339017</v>
      </c>
    </row>
    <row r="19" spans="1:14" x14ac:dyDescent="0.25">
      <c r="A19" s="96"/>
      <c r="B19" s="40" t="s">
        <v>5</v>
      </c>
      <c r="C19" s="57">
        <v>17</v>
      </c>
      <c r="D19" s="42">
        <v>260000</v>
      </c>
      <c r="E19" s="40">
        <v>5</v>
      </c>
      <c r="F19" s="40">
        <f t="shared" si="0"/>
        <v>1.0852920227920226</v>
      </c>
      <c r="G19" s="44">
        <f t="shared" si="1"/>
        <v>239566.85808039381</v>
      </c>
      <c r="H19" s="44">
        <f t="shared" si="3"/>
        <v>237689.18267403598</v>
      </c>
      <c r="I19" s="44">
        <f t="shared" si="4"/>
        <v>257962.17386008709</v>
      </c>
      <c r="J19" s="44">
        <f t="shared" si="5"/>
        <v>22310.817325964017</v>
      </c>
      <c r="K19" s="40">
        <f t="shared" si="6"/>
        <v>22310.817325964017</v>
      </c>
      <c r="L19" s="43">
        <f t="shared" si="7"/>
        <v>8.5810835869092369E-2</v>
      </c>
    </row>
    <row r="20" spans="1:14" x14ac:dyDescent="0.25">
      <c r="A20" s="96"/>
      <c r="B20" s="40" t="s">
        <v>6</v>
      </c>
      <c r="C20" s="57">
        <v>18</v>
      </c>
      <c r="D20" s="42">
        <v>195000</v>
      </c>
      <c r="E20" s="40">
        <v>6</v>
      </c>
      <c r="F20" s="40">
        <f t="shared" si="0"/>
        <v>0.82932692307692302</v>
      </c>
      <c r="G20" s="44">
        <f t="shared" si="1"/>
        <v>235130.4347826087</v>
      </c>
      <c r="H20" s="44">
        <f t="shared" si="3"/>
        <v>237004.27787116161</v>
      </c>
      <c r="I20" s="44">
        <f t="shared" si="4"/>
        <v>196554.02852295854</v>
      </c>
      <c r="J20" s="44">
        <f t="shared" si="5"/>
        <v>-42004.277871161612</v>
      </c>
      <c r="K20" s="40">
        <f t="shared" si="6"/>
        <v>42004.277871161612</v>
      </c>
      <c r="L20" s="43">
        <f t="shared" si="7"/>
        <v>0.21540655318544416</v>
      </c>
    </row>
    <row r="21" spans="1:14" x14ac:dyDescent="0.25">
      <c r="A21" s="96" t="s">
        <v>15</v>
      </c>
      <c r="B21" s="40" t="s">
        <v>7</v>
      </c>
      <c r="C21" s="57">
        <v>19</v>
      </c>
      <c r="D21" s="42">
        <v>190000</v>
      </c>
      <c r="E21" s="40">
        <v>7</v>
      </c>
      <c r="F21" s="40">
        <f t="shared" si="0"/>
        <v>0.78837250712250706</v>
      </c>
      <c r="G21" s="44">
        <f t="shared" si="1"/>
        <v>241002.82326369284</v>
      </c>
      <c r="H21" s="44">
        <f t="shared" si="3"/>
        <v>237689.38986062142</v>
      </c>
      <c r="I21" s="44">
        <f t="shared" si="4"/>
        <v>187387.78020083712</v>
      </c>
      <c r="J21" s="44">
        <f t="shared" si="5"/>
        <v>-47689.389860621421</v>
      </c>
      <c r="K21" s="40">
        <f t="shared" si="6"/>
        <v>47689.389860621421</v>
      </c>
      <c r="L21" s="43">
        <f t="shared" si="7"/>
        <v>0.25099678874011272</v>
      </c>
    </row>
    <row r="22" spans="1:14" x14ac:dyDescent="0.25">
      <c r="A22" s="96"/>
      <c r="B22" s="40" t="s">
        <v>8</v>
      </c>
      <c r="C22" s="57">
        <v>20</v>
      </c>
      <c r="D22" s="42">
        <v>196000</v>
      </c>
      <c r="E22" s="40">
        <v>8</v>
      </c>
      <c r="F22" s="40">
        <f t="shared" si="0"/>
        <v>0.82113603988603989</v>
      </c>
      <c r="G22" s="44">
        <f t="shared" si="1"/>
        <v>238693.70053128048</v>
      </c>
      <c r="H22" s="44">
        <f t="shared" si="3"/>
        <v>238566.70537556513</v>
      </c>
      <c r="I22" s="44">
        <f t="shared" si="4"/>
        <v>195895.71970075119</v>
      </c>
      <c r="J22" s="44">
        <f t="shared" si="5"/>
        <v>-42566.705375565129</v>
      </c>
      <c r="K22" s="40">
        <f t="shared" si="6"/>
        <v>42566.705375565129</v>
      </c>
      <c r="L22" s="43">
        <f t="shared" si="7"/>
        <v>0.21717706824267924</v>
      </c>
    </row>
    <row r="23" spans="1:14" x14ac:dyDescent="0.25">
      <c r="A23" s="96"/>
      <c r="B23" s="40" t="s">
        <v>9</v>
      </c>
      <c r="C23" s="57">
        <v>21</v>
      </c>
      <c r="D23" s="42">
        <v>215000</v>
      </c>
      <c r="E23" s="40">
        <v>9</v>
      </c>
      <c r="F23" s="40">
        <f t="shared" si="0"/>
        <v>1.0074786324786325</v>
      </c>
      <c r="G23" s="44">
        <f t="shared" si="1"/>
        <v>213404.02969247085</v>
      </c>
      <c r="H23" s="44">
        <f t="shared" si="3"/>
        <v>238275.652859194</v>
      </c>
      <c r="I23" s="44">
        <f t="shared" si="4"/>
        <v>240057.62889553412</v>
      </c>
      <c r="J23" s="44">
        <f t="shared" si="5"/>
        <v>-23275.652859194</v>
      </c>
      <c r="K23" s="40">
        <f t="shared" si="6"/>
        <v>23275.652859194</v>
      </c>
      <c r="L23" s="43">
        <f t="shared" si="7"/>
        <v>0.10825885050787908</v>
      </c>
    </row>
    <row r="24" spans="1:14" x14ac:dyDescent="0.25">
      <c r="A24" s="96" t="s">
        <v>16</v>
      </c>
      <c r="B24" s="40" t="s">
        <v>10</v>
      </c>
      <c r="C24" s="57">
        <v>22</v>
      </c>
      <c r="D24" s="42">
        <v>277000</v>
      </c>
      <c r="E24" s="40">
        <v>10</v>
      </c>
      <c r="F24" s="40">
        <f t="shared" si="0"/>
        <v>1.1098646723646723</v>
      </c>
      <c r="G24" s="44">
        <f t="shared" si="1"/>
        <v>249579.97753890583</v>
      </c>
      <c r="H24" s="44">
        <f t="shared" si="3"/>
        <v>231033.51782914807</v>
      </c>
      <c r="I24" s="44">
        <f t="shared" si="4"/>
        <v>256415.93957070512</v>
      </c>
      <c r="J24" s="44">
        <f t="shared" si="5"/>
        <v>45966.48217085193</v>
      </c>
      <c r="K24" s="40">
        <f t="shared" si="6"/>
        <v>45966.48217085193</v>
      </c>
      <c r="L24" s="43">
        <f t="shared" si="7"/>
        <v>0.16594397895614416</v>
      </c>
    </row>
    <row r="25" spans="1:14" x14ac:dyDescent="0.25">
      <c r="A25" s="96"/>
      <c r="B25" s="40" t="s">
        <v>11</v>
      </c>
      <c r="C25" s="57">
        <v>23</v>
      </c>
      <c r="D25" s="42">
        <f>245000</f>
        <v>245000</v>
      </c>
      <c r="E25" s="40">
        <v>11</v>
      </c>
      <c r="F25" s="40">
        <f t="shared" si="0"/>
        <v>1.0136217948717949</v>
      </c>
      <c r="G25" s="44">
        <f t="shared" si="1"/>
        <v>241707.50988142291</v>
      </c>
      <c r="H25" s="44">
        <f t="shared" si="3"/>
        <v>233892.56925421907</v>
      </c>
      <c r="I25" s="44">
        <f t="shared" si="4"/>
        <v>237078.60585463714</v>
      </c>
      <c r="J25" s="44">
        <f t="shared" si="5"/>
        <v>11107.430745780934</v>
      </c>
      <c r="K25" s="40">
        <f t="shared" si="6"/>
        <v>11107.430745780934</v>
      </c>
      <c r="L25" s="43">
        <f t="shared" si="7"/>
        <v>4.5336452023595646E-2</v>
      </c>
    </row>
    <row r="26" spans="1:14" x14ac:dyDescent="0.25">
      <c r="A26" s="96"/>
      <c r="B26" s="40" t="s">
        <v>12</v>
      </c>
      <c r="C26" s="57">
        <v>24</v>
      </c>
      <c r="D26" s="42">
        <f>230000</f>
        <v>230000</v>
      </c>
      <c r="E26" s="40">
        <v>12</v>
      </c>
      <c r="F26" s="40">
        <f t="shared" si="0"/>
        <v>1.0238603988603989</v>
      </c>
      <c r="G26" s="44">
        <f t="shared" si="1"/>
        <v>224640</v>
      </c>
      <c r="H26" s="44">
        <f t="shared" si="3"/>
        <v>234897.17237093323</v>
      </c>
      <c r="I26" s="44">
        <f t="shared" si="4"/>
        <v>240501.91259488359</v>
      </c>
      <c r="J26" s="44">
        <f t="shared" si="5"/>
        <v>-4897.1723709332291</v>
      </c>
      <c r="K26" s="40">
        <f t="shared" si="6"/>
        <v>4897.1723709332291</v>
      </c>
      <c r="L26" s="43">
        <f t="shared" si="7"/>
        <v>2.1292053786666213E-2</v>
      </c>
    </row>
    <row r="27" spans="1:14" x14ac:dyDescent="0.25">
      <c r="A27" s="58" t="s">
        <v>13</v>
      </c>
      <c r="B27" s="40" t="s">
        <v>1</v>
      </c>
      <c r="C27" s="57">
        <v>25</v>
      </c>
      <c r="D27" s="42"/>
      <c r="E27" s="40">
        <v>1</v>
      </c>
      <c r="F27" s="40">
        <f t="shared" si="0"/>
        <v>1.2491096866096865</v>
      </c>
      <c r="G27" s="42">
        <f>D27/F27</f>
        <v>0</v>
      </c>
      <c r="H27" s="44">
        <f t="shared" si="3"/>
        <v>238642.49580677625</v>
      </c>
      <c r="I27" s="44">
        <f t="shared" si="4"/>
        <v>298090.65314895572</v>
      </c>
      <c r="J27" s="40"/>
      <c r="K27" s="40"/>
      <c r="L27" s="40"/>
    </row>
    <row r="28" spans="1:14" x14ac:dyDescent="0.25">
      <c r="D28"/>
    </row>
    <row r="29" spans="1:14" x14ac:dyDescent="0.25">
      <c r="D29"/>
    </row>
    <row r="30" spans="1:14" ht="19.5" x14ac:dyDescent="0.3">
      <c r="A30" s="97"/>
      <c r="B30" s="98"/>
    </row>
    <row r="32" spans="1:1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</sheetData>
  <mergeCells count="9">
    <mergeCell ref="A21:A23"/>
    <mergeCell ref="A24:A26"/>
    <mergeCell ref="A30:B30"/>
    <mergeCell ref="A3:A5"/>
    <mergeCell ref="A6:A8"/>
    <mergeCell ref="A9:A11"/>
    <mergeCell ref="A12:A14"/>
    <mergeCell ref="A15:A17"/>
    <mergeCell ref="A18:A20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B2DA-2206-406C-BDA3-4A21B2CF095A}">
  <dimension ref="A1:O32"/>
  <sheetViews>
    <sheetView showGridLines="0" zoomScale="90" zoomScaleNormal="90" workbookViewId="0">
      <selection activeCell="L16" sqref="L16"/>
    </sheetView>
  </sheetViews>
  <sheetFormatPr defaultRowHeight="15" x14ac:dyDescent="0.25"/>
  <cols>
    <col min="1" max="1" width="11.5703125" customWidth="1"/>
    <col min="2" max="2" width="10.85546875" bestFit="1" customWidth="1"/>
    <col min="4" max="4" width="17.140625" style="11" customWidth="1"/>
    <col min="5" max="5" width="12.7109375" customWidth="1"/>
    <col min="6" max="6" width="17.85546875" customWidth="1"/>
    <col min="7" max="7" width="13.42578125" customWidth="1"/>
    <col min="8" max="8" width="43.140625" bestFit="1" customWidth="1"/>
    <col min="9" max="9" width="25.140625" customWidth="1"/>
    <col min="10" max="10" width="11.28515625" bestFit="1" customWidth="1"/>
    <col min="11" max="11" width="16.140625" customWidth="1"/>
    <col min="12" max="12" width="23.28515625" customWidth="1"/>
    <col min="14" max="14" width="19.5703125" customWidth="1"/>
    <col min="15" max="15" width="17.28515625" bestFit="1" customWidth="1"/>
  </cols>
  <sheetData>
    <row r="1" spans="1:15" ht="23.25" x14ac:dyDescent="0.35">
      <c r="A1" s="36" t="s">
        <v>30</v>
      </c>
      <c r="E1" s="36"/>
      <c r="F1" s="36"/>
    </row>
    <row r="3" spans="1:15" ht="20.25" thickBot="1" x14ac:dyDescent="0.35">
      <c r="H3" s="37" t="s">
        <v>88</v>
      </c>
      <c r="I3" s="37"/>
    </row>
    <row r="4" spans="1:15" ht="15.75" thickTop="1" x14ac:dyDescent="0.25">
      <c r="N4" s="48" t="s">
        <v>27</v>
      </c>
      <c r="O4" s="49">
        <f>AVERAGE(K10:K37)</f>
        <v>745.91060012815615</v>
      </c>
    </row>
    <row r="5" spans="1:15" ht="30" x14ac:dyDescent="0.25">
      <c r="A5" s="2" t="s">
        <v>32</v>
      </c>
      <c r="B5" s="2" t="s">
        <v>0</v>
      </c>
      <c r="C5" s="2" t="s">
        <v>17</v>
      </c>
      <c r="D5" s="21" t="s">
        <v>18</v>
      </c>
      <c r="E5" s="2" t="s">
        <v>25</v>
      </c>
      <c r="F5" s="2" t="s">
        <v>19</v>
      </c>
      <c r="G5" s="3" t="s">
        <v>26</v>
      </c>
      <c r="H5" s="4" t="s">
        <v>20</v>
      </c>
      <c r="I5" s="4" t="s">
        <v>21</v>
      </c>
      <c r="J5" s="4" t="s">
        <v>22</v>
      </c>
      <c r="K5" s="4" t="s">
        <v>23</v>
      </c>
      <c r="L5" s="33" t="s">
        <v>24</v>
      </c>
      <c r="N5" s="48" t="s">
        <v>28</v>
      </c>
      <c r="O5" s="50">
        <f>AVERAGE(L10:L37)</f>
        <v>0.11224744193811939</v>
      </c>
    </row>
    <row r="6" spans="1:15" ht="30" x14ac:dyDescent="0.25">
      <c r="A6" s="96" t="s">
        <v>13</v>
      </c>
      <c r="B6" s="40" t="s">
        <v>1</v>
      </c>
      <c r="C6" s="40">
        <v>1</v>
      </c>
      <c r="D6" s="41">
        <f>7500</f>
        <v>7500</v>
      </c>
      <c r="E6" s="40">
        <v>1</v>
      </c>
      <c r="F6" s="40">
        <f>VLOOKUP(E6,$N$10:$O$21,2,0)</f>
        <v>1.1026478055857816</v>
      </c>
      <c r="G6" s="44">
        <f>D6/F6</f>
        <v>6801.8092105263158</v>
      </c>
      <c r="H6" s="40"/>
      <c r="I6" s="40"/>
      <c r="J6" s="40"/>
      <c r="K6" s="40"/>
      <c r="L6" s="40"/>
      <c r="N6" s="48" t="s">
        <v>46</v>
      </c>
      <c r="O6" s="51">
        <f>I30</f>
        <v>7868.8753648409893</v>
      </c>
    </row>
    <row r="7" spans="1:15" x14ac:dyDescent="0.25">
      <c r="A7" s="96"/>
      <c r="B7" s="40" t="s">
        <v>2</v>
      </c>
      <c r="C7" s="40">
        <v>2</v>
      </c>
      <c r="D7" s="41">
        <f>7250</f>
        <v>7250</v>
      </c>
      <c r="E7" s="40">
        <v>2</v>
      </c>
      <c r="F7" s="40">
        <f t="shared" ref="F7:F30" si="0">VLOOKUP(E7,$N$10:$O$21,2,0)</f>
        <v>1.035183170112441</v>
      </c>
      <c r="G7" s="44">
        <f t="shared" ref="G7:G29" si="1">D7/F7</f>
        <v>7003.5914505956553</v>
      </c>
      <c r="H7" s="40"/>
      <c r="I7" s="40"/>
      <c r="J7" s="40"/>
      <c r="K7" s="40"/>
      <c r="L7" s="40"/>
    </row>
    <row r="8" spans="1:15" x14ac:dyDescent="0.25">
      <c r="A8" s="96"/>
      <c r="B8" s="40" t="s">
        <v>3</v>
      </c>
      <c r="C8" s="40">
        <v>3</v>
      </c>
      <c r="D8" s="41">
        <f>7170</f>
        <v>7170</v>
      </c>
      <c r="E8" s="40">
        <v>3</v>
      </c>
      <c r="F8" s="40">
        <f t="shared" si="0"/>
        <v>0.99746100834240115</v>
      </c>
      <c r="G8" s="44">
        <f t="shared" si="1"/>
        <v>7188.2509090909089</v>
      </c>
      <c r="H8" s="40"/>
      <c r="I8" s="40"/>
      <c r="J8" s="40"/>
      <c r="K8" s="40"/>
      <c r="L8" s="40"/>
    </row>
    <row r="9" spans="1:15" x14ac:dyDescent="0.25">
      <c r="A9" s="96" t="s">
        <v>14</v>
      </c>
      <c r="B9" s="40" t="s">
        <v>4</v>
      </c>
      <c r="C9" s="40">
        <v>4</v>
      </c>
      <c r="D9" s="41">
        <f>7000</f>
        <v>7000</v>
      </c>
      <c r="E9" s="40">
        <v>4</v>
      </c>
      <c r="F9" s="40">
        <f t="shared" si="0"/>
        <v>0.84874863982589777</v>
      </c>
      <c r="G9" s="44">
        <f t="shared" si="1"/>
        <v>8247.4358974358965</v>
      </c>
      <c r="H9" s="44">
        <f>AVERAGE(G6:G8)</f>
        <v>6997.883856737626</v>
      </c>
      <c r="I9" s="44">
        <f>H9*F9</f>
        <v>5939.4444050656675</v>
      </c>
      <c r="J9" s="45">
        <f>D9-H9</f>
        <v>2.1161432623739529</v>
      </c>
      <c r="K9" s="40">
        <f>ABS(J9)</f>
        <v>2.1161432623739529</v>
      </c>
      <c r="L9" s="43">
        <f>K9/D9</f>
        <v>3.0230618033913611E-4</v>
      </c>
      <c r="N9" s="46" t="s">
        <v>25</v>
      </c>
      <c r="O9" s="46" t="s">
        <v>19</v>
      </c>
    </row>
    <row r="10" spans="1:15" x14ac:dyDescent="0.25">
      <c r="A10" s="96"/>
      <c r="B10" s="40" t="s">
        <v>5</v>
      </c>
      <c r="C10" s="40">
        <v>5</v>
      </c>
      <c r="D10" s="41">
        <f>7150</f>
        <v>7150</v>
      </c>
      <c r="E10" s="40">
        <v>5</v>
      </c>
      <c r="F10" s="40">
        <f t="shared" si="0"/>
        <v>0.99020674646354734</v>
      </c>
      <c r="G10" s="44">
        <f t="shared" si="1"/>
        <v>7220.7142857142853</v>
      </c>
      <c r="H10" s="44">
        <f t="shared" ref="H10:H29" si="2">AVERAGE(G7:G9)</f>
        <v>7479.7594190408199</v>
      </c>
      <c r="I10" s="44">
        <f t="shared" ref="I10:I30" si="3">H10*F10</f>
        <v>7406.5082386584836</v>
      </c>
      <c r="J10" s="45">
        <f t="shared" ref="J10:J29" si="4">D10-H10</f>
        <v>-329.75941904081992</v>
      </c>
      <c r="K10" s="40">
        <f t="shared" ref="K10:K29" si="5">ABS(J10)</f>
        <v>329.75941904081992</v>
      </c>
      <c r="L10" s="43">
        <f t="shared" ref="L10:L29" si="6">K10/D10</f>
        <v>4.612019846724754E-2</v>
      </c>
      <c r="N10" s="40">
        <v>1</v>
      </c>
      <c r="O10" s="103">
        <f>AVERAGEIF($E$6:$E$29,N10,D6:$D29)/AVERAGE($D$6:$D$29)</f>
        <v>1.1026478055857816</v>
      </c>
    </row>
    <row r="11" spans="1:15" x14ac:dyDescent="0.25">
      <c r="A11" s="96"/>
      <c r="B11" s="40" t="s">
        <v>6</v>
      </c>
      <c r="C11" s="40">
        <v>6</v>
      </c>
      <c r="D11" s="41">
        <f>6900</f>
        <v>6900</v>
      </c>
      <c r="E11" s="40">
        <v>6</v>
      </c>
      <c r="F11" s="40">
        <f t="shared" si="0"/>
        <v>1.0228509249183895</v>
      </c>
      <c r="G11" s="44">
        <f t="shared" si="1"/>
        <v>6745.8510638297876</v>
      </c>
      <c r="H11" s="44">
        <f t="shared" si="2"/>
        <v>7552.1336974136975</v>
      </c>
      <c r="I11" s="44">
        <f t="shared" si="3"/>
        <v>7724.7069375069368</v>
      </c>
      <c r="J11" s="45">
        <f t="shared" si="4"/>
        <v>-652.13369741369752</v>
      </c>
      <c r="K11" s="40">
        <f t="shared" si="5"/>
        <v>652.13369741369752</v>
      </c>
      <c r="L11" s="43">
        <f t="shared" si="6"/>
        <v>9.4512130059956165E-2</v>
      </c>
      <c r="N11" s="40">
        <v>2</v>
      </c>
      <c r="O11" s="103">
        <f>AVERAGEIF($E$6:$E$29,N11,D7:$D30)/AVERAGE($D$6:$D$29)</f>
        <v>1.035183170112441</v>
      </c>
    </row>
    <row r="12" spans="1:15" x14ac:dyDescent="0.25">
      <c r="A12" s="96" t="s">
        <v>15</v>
      </c>
      <c r="B12" s="40" t="s">
        <v>7</v>
      </c>
      <c r="C12" s="40">
        <v>7</v>
      </c>
      <c r="D12" s="41">
        <f>5800</f>
        <v>5800</v>
      </c>
      <c r="E12" s="40">
        <v>7</v>
      </c>
      <c r="F12" s="40">
        <f t="shared" si="0"/>
        <v>1.1171563293434894</v>
      </c>
      <c r="G12" s="44">
        <f t="shared" si="1"/>
        <v>5191.7532467532465</v>
      </c>
      <c r="H12" s="44">
        <f t="shared" si="2"/>
        <v>7404.6670823266568</v>
      </c>
      <c r="I12" s="44">
        <f t="shared" si="3"/>
        <v>8272.1706977026133</v>
      </c>
      <c r="J12" s="45">
        <f t="shared" si="4"/>
        <v>-1604.6670823266568</v>
      </c>
      <c r="K12" s="40">
        <f t="shared" si="5"/>
        <v>1604.6670823266568</v>
      </c>
      <c r="L12" s="43">
        <f t="shared" si="6"/>
        <v>0.27666673833218219</v>
      </c>
      <c r="N12" s="40">
        <v>3</v>
      </c>
      <c r="O12" s="103">
        <f>AVERAGEIF($E$6:$E$29,N12,D8:$D31)/AVERAGE($D$6:$D$29)</f>
        <v>0.99746100834240115</v>
      </c>
    </row>
    <row r="13" spans="1:15" x14ac:dyDescent="0.25">
      <c r="A13" s="96"/>
      <c r="B13" s="40" t="s">
        <v>8</v>
      </c>
      <c r="C13" s="40">
        <v>8</v>
      </c>
      <c r="D13" s="41">
        <f>6600</f>
        <v>6600</v>
      </c>
      <c r="E13" s="40">
        <v>8</v>
      </c>
      <c r="F13" s="40">
        <f t="shared" si="0"/>
        <v>1.0301051867972433</v>
      </c>
      <c r="G13" s="44">
        <f t="shared" si="1"/>
        <v>6407.1126760563384</v>
      </c>
      <c r="H13" s="44">
        <f t="shared" si="2"/>
        <v>6386.1061987657731</v>
      </c>
      <c r="I13" s="44">
        <f t="shared" si="3"/>
        <v>6578.36111878665</v>
      </c>
      <c r="J13" s="45">
        <f t="shared" si="4"/>
        <v>213.89380123422688</v>
      </c>
      <c r="K13" s="40">
        <f t="shared" si="5"/>
        <v>213.89380123422688</v>
      </c>
      <c r="L13" s="43">
        <f t="shared" si="6"/>
        <v>3.2408151702155587E-2</v>
      </c>
      <c r="N13" s="40">
        <v>4</v>
      </c>
      <c r="O13" s="103">
        <f>AVERAGEIF($E$6:$E$29,N13,D9:$D32)/AVERAGE($D$6:$D$29)</f>
        <v>0.84874863982589777</v>
      </c>
    </row>
    <row r="14" spans="1:15" x14ac:dyDescent="0.25">
      <c r="A14" s="96"/>
      <c r="B14" s="40" t="s">
        <v>9</v>
      </c>
      <c r="C14" s="40">
        <v>9</v>
      </c>
      <c r="D14" s="41">
        <f>6550</f>
        <v>6550</v>
      </c>
      <c r="E14" s="40">
        <v>9</v>
      </c>
      <c r="F14" s="40">
        <f t="shared" si="0"/>
        <v>0.9575625680087051</v>
      </c>
      <c r="G14" s="44">
        <f t="shared" si="1"/>
        <v>6840.284090909091</v>
      </c>
      <c r="H14" s="44">
        <f t="shared" si="2"/>
        <v>6114.9056622131247</v>
      </c>
      <c r="I14" s="44">
        <f t="shared" si="3"/>
        <v>5855.4047690397711</v>
      </c>
      <c r="J14" s="45">
        <f t="shared" si="4"/>
        <v>435.09433778687526</v>
      </c>
      <c r="K14" s="40">
        <f t="shared" si="5"/>
        <v>435.09433778687526</v>
      </c>
      <c r="L14" s="43">
        <f t="shared" si="6"/>
        <v>6.6426616456011486E-2</v>
      </c>
      <c r="N14" s="40">
        <v>5</v>
      </c>
      <c r="O14" s="103">
        <f>AVERAGEIF($E$6:$E$29,N14,D10:$D33)/AVERAGE($D$6:$D$29)</f>
        <v>0.99020674646354734</v>
      </c>
    </row>
    <row r="15" spans="1:15" x14ac:dyDescent="0.25">
      <c r="A15" s="96" t="s">
        <v>16</v>
      </c>
      <c r="B15" s="40" t="s">
        <v>10</v>
      </c>
      <c r="C15" s="40">
        <v>10</v>
      </c>
      <c r="D15" s="41">
        <f>7800</f>
        <v>7800</v>
      </c>
      <c r="E15" s="40">
        <v>10</v>
      </c>
      <c r="F15" s="40">
        <f t="shared" si="0"/>
        <v>0.85600290170475157</v>
      </c>
      <c r="G15" s="44">
        <f t="shared" si="1"/>
        <v>9112.1186440677957</v>
      </c>
      <c r="H15" s="44">
        <f t="shared" si="2"/>
        <v>6146.3833379062262</v>
      </c>
      <c r="I15" s="44">
        <f t="shared" si="3"/>
        <v>5261.3219722374661</v>
      </c>
      <c r="J15" s="45">
        <f t="shared" si="4"/>
        <v>1653.6166620937738</v>
      </c>
      <c r="K15" s="40">
        <f t="shared" si="5"/>
        <v>1653.6166620937738</v>
      </c>
      <c r="L15" s="43">
        <f t="shared" si="6"/>
        <v>0.21200213616586844</v>
      </c>
      <c r="N15" s="40">
        <v>6</v>
      </c>
      <c r="O15" s="103">
        <f>AVERAGEIF($E$6:$E$29,N15,D11:$D34)/AVERAGE($D$6:$D$29)</f>
        <v>1.0228509249183895</v>
      </c>
    </row>
    <row r="16" spans="1:15" x14ac:dyDescent="0.25">
      <c r="A16" s="96"/>
      <c r="B16" s="40" t="s">
        <v>11</v>
      </c>
      <c r="C16" s="40">
        <v>11</v>
      </c>
      <c r="D16" s="41">
        <f>7300</f>
        <v>7300</v>
      </c>
      <c r="E16" s="40">
        <v>11</v>
      </c>
      <c r="F16" s="40">
        <f t="shared" si="0"/>
        <v>1.0301051867972433</v>
      </c>
      <c r="G16" s="44">
        <f t="shared" si="1"/>
        <v>7086.6549295774657</v>
      </c>
      <c r="H16" s="44">
        <f t="shared" si="2"/>
        <v>7453.171803677742</v>
      </c>
      <c r="I16" s="44">
        <f t="shared" si="3"/>
        <v>7677.5509330594068</v>
      </c>
      <c r="J16" s="45">
        <f t="shared" si="4"/>
        <v>-153.17180367774199</v>
      </c>
      <c r="K16" s="40">
        <f t="shared" si="5"/>
        <v>153.17180367774199</v>
      </c>
      <c r="L16" s="43">
        <f t="shared" si="6"/>
        <v>2.0982438859964658E-2</v>
      </c>
      <c r="N16" s="40">
        <v>7</v>
      </c>
      <c r="O16" s="103">
        <f>AVERAGEIF($E$6:$E$29,N16,D12:$D35)/AVERAGE($D$6:$D$29)</f>
        <v>1.1171563293434894</v>
      </c>
    </row>
    <row r="17" spans="1:15" x14ac:dyDescent="0.25">
      <c r="A17" s="96"/>
      <c r="B17" s="40" t="s">
        <v>12</v>
      </c>
      <c r="C17" s="40">
        <v>12</v>
      </c>
      <c r="D17" s="41">
        <f>6000</f>
        <v>6000</v>
      </c>
      <c r="E17" s="40">
        <v>12</v>
      </c>
      <c r="F17" s="40">
        <f t="shared" si="0"/>
        <v>0.98657961552412043</v>
      </c>
      <c r="G17" s="44">
        <f t="shared" si="1"/>
        <v>6081.6176470588234</v>
      </c>
      <c r="H17" s="44">
        <f t="shared" si="2"/>
        <v>7679.6858881847847</v>
      </c>
      <c r="I17" s="44">
        <f t="shared" si="3"/>
        <v>7576.6215509113581</v>
      </c>
      <c r="J17" s="45">
        <f t="shared" si="4"/>
        <v>-1679.6858881847847</v>
      </c>
      <c r="K17" s="40">
        <f t="shared" si="5"/>
        <v>1679.6858881847847</v>
      </c>
      <c r="L17" s="43">
        <f t="shared" si="6"/>
        <v>0.27994764803079747</v>
      </c>
      <c r="N17" s="40">
        <v>8</v>
      </c>
      <c r="O17" s="103">
        <f>AVERAGEIF($E$6:$E$29,N17,D13:$D36)/AVERAGE($D$6:$D$29)</f>
        <v>1.0301051867972433</v>
      </c>
    </row>
    <row r="18" spans="1:15" x14ac:dyDescent="0.25">
      <c r="A18" s="96" t="s">
        <v>13</v>
      </c>
      <c r="B18" s="40" t="s">
        <v>1</v>
      </c>
      <c r="C18" s="40">
        <v>13</v>
      </c>
      <c r="D18" s="41">
        <f>7700</f>
        <v>7700</v>
      </c>
      <c r="E18" s="40">
        <v>1</v>
      </c>
      <c r="F18" s="40">
        <f t="shared" si="0"/>
        <v>1.1026478055857816</v>
      </c>
      <c r="G18" s="44">
        <f t="shared" si="1"/>
        <v>6983.1907894736851</v>
      </c>
      <c r="H18" s="44">
        <f t="shared" si="2"/>
        <v>7426.7970735680283</v>
      </c>
      <c r="I18" s="44">
        <f t="shared" si="3"/>
        <v>8189.1414957006909</v>
      </c>
      <c r="J18" s="45">
        <f t="shared" si="4"/>
        <v>273.20292643197172</v>
      </c>
      <c r="K18" s="40">
        <f t="shared" si="5"/>
        <v>273.20292643197172</v>
      </c>
      <c r="L18" s="43">
        <f t="shared" si="6"/>
        <v>3.5480899536619703E-2</v>
      </c>
      <c r="N18" s="40">
        <v>9</v>
      </c>
      <c r="O18" s="103">
        <f>AVERAGEIF($E$6:$E$29,N18,D14:$D37)/AVERAGE($D$6:$D$29)</f>
        <v>0.9575625680087051</v>
      </c>
    </row>
    <row r="19" spans="1:15" x14ac:dyDescent="0.25">
      <c r="A19" s="96"/>
      <c r="B19" s="40" t="s">
        <v>2</v>
      </c>
      <c r="C19" s="40">
        <v>14</v>
      </c>
      <c r="D19" s="41">
        <f>7350</f>
        <v>7350</v>
      </c>
      <c r="E19" s="40">
        <v>2</v>
      </c>
      <c r="F19" s="40">
        <f t="shared" si="0"/>
        <v>1.035183170112441</v>
      </c>
      <c r="G19" s="44">
        <f t="shared" si="1"/>
        <v>7100.1927119831817</v>
      </c>
      <c r="H19" s="44">
        <f t="shared" si="2"/>
        <v>6717.1544553699905</v>
      </c>
      <c r="I19" s="44">
        <f t="shared" si="3"/>
        <v>6953.4852432448133</v>
      </c>
      <c r="J19" s="45">
        <f t="shared" si="4"/>
        <v>632.8455446300095</v>
      </c>
      <c r="K19" s="40">
        <f t="shared" si="5"/>
        <v>632.8455446300095</v>
      </c>
      <c r="L19" s="43">
        <f t="shared" si="6"/>
        <v>8.6101434643538713E-2</v>
      </c>
      <c r="N19" s="40">
        <v>10</v>
      </c>
      <c r="O19" s="103">
        <f>AVERAGEIF($E$6:$E$29,N19,D15:$D38)/AVERAGE($D$6:$D$29)</f>
        <v>0.85600290170475157</v>
      </c>
    </row>
    <row r="20" spans="1:15" x14ac:dyDescent="0.25">
      <c r="A20" s="96"/>
      <c r="B20" s="40" t="s">
        <v>3</v>
      </c>
      <c r="C20" s="40">
        <v>15</v>
      </c>
      <c r="D20" s="41">
        <f>7100</f>
        <v>7100</v>
      </c>
      <c r="E20" s="40">
        <v>3</v>
      </c>
      <c r="F20" s="40">
        <f t="shared" si="0"/>
        <v>0.99746100834240115</v>
      </c>
      <c r="G20" s="44">
        <f t="shared" si="1"/>
        <v>7118.0727272727272</v>
      </c>
      <c r="H20" s="44">
        <f t="shared" si="2"/>
        <v>6721.6670495052304</v>
      </c>
      <c r="I20" s="44">
        <f t="shared" si="3"/>
        <v>6704.600792941379</v>
      </c>
      <c r="J20" s="45">
        <f t="shared" si="4"/>
        <v>378.33295049476965</v>
      </c>
      <c r="K20" s="40">
        <f t="shared" si="5"/>
        <v>378.33295049476965</v>
      </c>
      <c r="L20" s="43">
        <f t="shared" si="6"/>
        <v>5.3286331055601356E-2</v>
      </c>
      <c r="N20" s="40">
        <v>11</v>
      </c>
      <c r="O20" s="103">
        <f>AVERAGEIF($E$6:$E$29,N20,D16:$D39)/AVERAGE($D$6:$D$29)</f>
        <v>1.0301051867972433</v>
      </c>
    </row>
    <row r="21" spans="1:15" x14ac:dyDescent="0.25">
      <c r="A21" s="96" t="s">
        <v>14</v>
      </c>
      <c r="B21" s="40" t="s">
        <v>4</v>
      </c>
      <c r="C21" s="40">
        <v>16</v>
      </c>
      <c r="D21" s="41">
        <f>6800</f>
        <v>6800</v>
      </c>
      <c r="E21" s="40">
        <v>4</v>
      </c>
      <c r="F21" s="40">
        <f t="shared" si="0"/>
        <v>0.84874863982589777</v>
      </c>
      <c r="G21" s="44">
        <f t="shared" si="1"/>
        <v>8011.7948717948711</v>
      </c>
      <c r="H21" s="44">
        <f t="shared" si="2"/>
        <v>7067.1520762431974</v>
      </c>
      <c r="I21" s="44">
        <f t="shared" si="3"/>
        <v>5998.2357121541827</v>
      </c>
      <c r="J21" s="45">
        <f t="shared" si="4"/>
        <v>-267.15207624319737</v>
      </c>
      <c r="K21" s="40">
        <f t="shared" si="5"/>
        <v>267.15207624319737</v>
      </c>
      <c r="L21" s="43">
        <f t="shared" si="6"/>
        <v>3.9287070035764322E-2</v>
      </c>
      <c r="N21" s="40">
        <v>12</v>
      </c>
      <c r="O21" s="103">
        <f>AVERAGEIF($E$6:$E$29,N21,D17:$D40)/AVERAGE($D$6:$D$29)</f>
        <v>0.98657961552412043</v>
      </c>
    </row>
    <row r="22" spans="1:15" x14ac:dyDescent="0.25">
      <c r="A22" s="96"/>
      <c r="B22" s="40" t="s">
        <v>5</v>
      </c>
      <c r="C22" s="40">
        <v>17</v>
      </c>
      <c r="D22" s="41">
        <f>6600</f>
        <v>6600</v>
      </c>
      <c r="E22" s="40">
        <v>5</v>
      </c>
      <c r="F22" s="40">
        <f t="shared" si="0"/>
        <v>0.99020674646354734</v>
      </c>
      <c r="G22" s="44">
        <f t="shared" si="1"/>
        <v>6665.2747252747249</v>
      </c>
      <c r="H22" s="44">
        <f t="shared" si="2"/>
        <v>7410.0201036835933</v>
      </c>
      <c r="I22" s="44">
        <f t="shared" si="3"/>
        <v>7337.4518980980083</v>
      </c>
      <c r="J22" s="45">
        <f t="shared" si="4"/>
        <v>-810.02010368359333</v>
      </c>
      <c r="K22" s="40">
        <f t="shared" si="5"/>
        <v>810.02010368359333</v>
      </c>
      <c r="L22" s="43">
        <f t="shared" si="6"/>
        <v>0.12273031873993838</v>
      </c>
    </row>
    <row r="23" spans="1:15" x14ac:dyDescent="0.25">
      <c r="A23" s="96"/>
      <c r="B23" s="40" t="s">
        <v>6</v>
      </c>
      <c r="C23" s="40">
        <v>18</v>
      </c>
      <c r="D23" s="41">
        <f>6400</f>
        <v>6400</v>
      </c>
      <c r="E23" s="40">
        <v>6</v>
      </c>
      <c r="F23" s="40">
        <f t="shared" si="0"/>
        <v>1.0228509249183895</v>
      </c>
      <c r="G23" s="44">
        <f t="shared" si="1"/>
        <v>6257.0212765957449</v>
      </c>
      <c r="H23" s="44">
        <f t="shared" si="2"/>
        <v>7265.0474414474411</v>
      </c>
      <c r="I23" s="44">
        <f t="shared" si="3"/>
        <v>7431.0604950604938</v>
      </c>
      <c r="J23" s="45">
        <f t="shared" si="4"/>
        <v>-865.04744144744109</v>
      </c>
      <c r="K23" s="40">
        <f t="shared" si="5"/>
        <v>865.04744144744109</v>
      </c>
      <c r="L23" s="43">
        <f t="shared" si="6"/>
        <v>0.13516366272616268</v>
      </c>
    </row>
    <row r="24" spans="1:15" x14ac:dyDescent="0.25">
      <c r="A24" s="96" t="s">
        <v>15</v>
      </c>
      <c r="B24" s="40" t="s">
        <v>7</v>
      </c>
      <c r="C24" s="40">
        <v>19</v>
      </c>
      <c r="D24" s="41">
        <f>5900</f>
        <v>5900</v>
      </c>
      <c r="E24" s="40">
        <v>7</v>
      </c>
      <c r="F24" s="40">
        <f t="shared" si="0"/>
        <v>1.1171563293434894</v>
      </c>
      <c r="G24" s="44">
        <f t="shared" si="1"/>
        <v>5281.2662337662332</v>
      </c>
      <c r="H24" s="44">
        <f t="shared" si="2"/>
        <v>6978.0302912217803</v>
      </c>
      <c r="I24" s="44">
        <f t="shared" si="3"/>
        <v>7795.5507061890048</v>
      </c>
      <c r="J24" s="45">
        <f t="shared" si="4"/>
        <v>-1078.0302912217803</v>
      </c>
      <c r="K24" s="40">
        <f t="shared" si="5"/>
        <v>1078.0302912217803</v>
      </c>
      <c r="L24" s="43">
        <f t="shared" si="6"/>
        <v>0.18271699851216616</v>
      </c>
    </row>
    <row r="25" spans="1:15" x14ac:dyDescent="0.25">
      <c r="A25" s="96"/>
      <c r="B25" s="40" t="s">
        <v>8</v>
      </c>
      <c r="C25" s="40">
        <v>20</v>
      </c>
      <c r="D25" s="41">
        <f>7200</f>
        <v>7200</v>
      </c>
      <c r="E25" s="40">
        <v>8</v>
      </c>
      <c r="F25" s="40">
        <f t="shared" si="0"/>
        <v>1.0301051867972433</v>
      </c>
      <c r="G25" s="44">
        <f t="shared" si="1"/>
        <v>6989.5774647887329</v>
      </c>
      <c r="H25" s="44">
        <f t="shared" si="2"/>
        <v>6067.8540785455671</v>
      </c>
      <c r="I25" s="44">
        <f t="shared" si="3"/>
        <v>6250.5279590385962</v>
      </c>
      <c r="J25" s="45">
        <f t="shared" si="4"/>
        <v>1132.1459214544329</v>
      </c>
      <c r="K25" s="40">
        <f t="shared" si="5"/>
        <v>1132.1459214544329</v>
      </c>
      <c r="L25" s="43">
        <f t="shared" si="6"/>
        <v>0.15724248909089347</v>
      </c>
    </row>
    <row r="26" spans="1:15" x14ac:dyDescent="0.25">
      <c r="A26" s="96"/>
      <c r="B26" s="40" t="s">
        <v>9</v>
      </c>
      <c r="C26" s="40">
        <v>21</v>
      </c>
      <c r="D26" s="41">
        <f>7100</f>
        <v>7100</v>
      </c>
      <c r="E26" s="40">
        <v>9</v>
      </c>
      <c r="F26" s="40">
        <f t="shared" si="0"/>
        <v>0.9575625680087051</v>
      </c>
      <c r="G26" s="44">
        <f t="shared" si="1"/>
        <v>7414.659090909091</v>
      </c>
      <c r="H26" s="44">
        <f t="shared" si="2"/>
        <v>6175.9549917169034</v>
      </c>
      <c r="I26" s="44">
        <f t="shared" si="3"/>
        <v>5913.8633217746192</v>
      </c>
      <c r="J26" s="45">
        <f t="shared" si="4"/>
        <v>924.04500828309665</v>
      </c>
      <c r="K26" s="40">
        <f t="shared" si="5"/>
        <v>924.04500828309665</v>
      </c>
      <c r="L26" s="43">
        <f t="shared" si="6"/>
        <v>0.13014718426522487</v>
      </c>
    </row>
    <row r="27" spans="1:15" x14ac:dyDescent="0.25">
      <c r="A27" s="96" t="s">
        <v>16</v>
      </c>
      <c r="B27" s="40" t="s">
        <v>10</v>
      </c>
      <c r="C27" s="40">
        <v>22</v>
      </c>
      <c r="D27" s="41">
        <f>6900</f>
        <v>6900</v>
      </c>
      <c r="E27" s="40">
        <v>10</v>
      </c>
      <c r="F27" s="40">
        <f t="shared" si="0"/>
        <v>0.85600290170475157</v>
      </c>
      <c r="G27" s="44">
        <f t="shared" si="1"/>
        <v>8060.7203389830502</v>
      </c>
      <c r="H27" s="44">
        <f t="shared" si="2"/>
        <v>6561.8342631546866</v>
      </c>
      <c r="I27" s="44">
        <f t="shared" si="3"/>
        <v>5616.9491697660724</v>
      </c>
      <c r="J27" s="45">
        <f t="shared" si="4"/>
        <v>338.1657368453134</v>
      </c>
      <c r="K27" s="40">
        <f t="shared" si="5"/>
        <v>338.1657368453134</v>
      </c>
      <c r="L27" s="43">
        <f t="shared" si="6"/>
        <v>4.9009527079030925E-2</v>
      </c>
    </row>
    <row r="28" spans="1:15" x14ac:dyDescent="0.25">
      <c r="A28" s="96"/>
      <c r="B28" s="40" t="s">
        <v>11</v>
      </c>
      <c r="C28" s="40">
        <v>23</v>
      </c>
      <c r="D28" s="41">
        <f>6800</f>
        <v>6800</v>
      </c>
      <c r="E28" s="40">
        <v>11</v>
      </c>
      <c r="F28" s="40">
        <f t="shared" si="0"/>
        <v>1.0301051867972433</v>
      </c>
      <c r="G28" s="44">
        <f t="shared" si="1"/>
        <v>6601.2676056338032</v>
      </c>
      <c r="H28" s="44">
        <f t="shared" si="2"/>
        <v>7488.3189648936241</v>
      </c>
      <c r="I28" s="44">
        <f t="shared" si="3"/>
        <v>7713.7562061290864</v>
      </c>
      <c r="J28" s="45">
        <f t="shared" si="4"/>
        <v>-688.31896489362407</v>
      </c>
      <c r="K28" s="40">
        <f t="shared" si="5"/>
        <v>688.31896489362407</v>
      </c>
      <c r="L28" s="43">
        <f t="shared" si="6"/>
        <v>0.10122337719023883</v>
      </c>
    </row>
    <row r="29" spans="1:15" x14ac:dyDescent="0.25">
      <c r="A29" s="96"/>
      <c r="B29" s="40" t="s">
        <v>12</v>
      </c>
      <c r="C29" s="40">
        <v>24</v>
      </c>
      <c r="D29" s="41">
        <f>6550</f>
        <v>6550</v>
      </c>
      <c r="E29" s="40">
        <v>12</v>
      </c>
      <c r="F29" s="40">
        <f t="shared" si="0"/>
        <v>0.98657961552412043</v>
      </c>
      <c r="G29" s="44">
        <f t="shared" si="1"/>
        <v>6639.099264705882</v>
      </c>
      <c r="H29" s="44">
        <f t="shared" si="2"/>
        <v>7358.8823451753151</v>
      </c>
      <c r="I29" s="44">
        <f t="shared" si="3"/>
        <v>7260.1233147903004</v>
      </c>
      <c r="J29" s="45">
        <f t="shared" si="4"/>
        <v>-808.88234517531509</v>
      </c>
      <c r="K29" s="40">
        <f t="shared" si="5"/>
        <v>808.88234517531509</v>
      </c>
      <c r="L29" s="43">
        <f t="shared" si="6"/>
        <v>0.1234934878130252</v>
      </c>
    </row>
    <row r="30" spans="1:15" x14ac:dyDescent="0.25">
      <c r="A30" s="96" t="s">
        <v>13</v>
      </c>
      <c r="B30" s="40" t="s">
        <v>1</v>
      </c>
      <c r="C30" s="40">
        <v>25</v>
      </c>
      <c r="D30" s="41"/>
      <c r="E30" s="40">
        <v>1</v>
      </c>
      <c r="F30" s="40">
        <f t="shared" si="0"/>
        <v>1.1026478055857816</v>
      </c>
      <c r="G30" s="42">
        <f>D30/F30</f>
        <v>0</v>
      </c>
      <c r="H30" s="44">
        <f>AVERAGE(H27:H29)</f>
        <v>7136.3451910745425</v>
      </c>
      <c r="I30" s="44">
        <f t="shared" si="3"/>
        <v>7868.8753648409893</v>
      </c>
      <c r="J30" s="40"/>
      <c r="K30" s="40"/>
      <c r="L30" s="40"/>
    </row>
    <row r="31" spans="1:15" x14ac:dyDescent="0.25">
      <c r="A31" s="96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5" x14ac:dyDescent="0.25">
      <c r="A32" s="96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</sheetData>
  <mergeCells count="9">
    <mergeCell ref="A24:A26"/>
    <mergeCell ref="A27:A29"/>
    <mergeCell ref="A30:A32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67A1-9858-4BD3-BC30-E0B7052CB378}">
  <dimension ref="A1:P29"/>
  <sheetViews>
    <sheetView showGridLines="0" zoomScale="90" zoomScaleNormal="90" workbookViewId="0">
      <selection activeCell="J18" sqref="J18"/>
    </sheetView>
  </sheetViews>
  <sheetFormatPr defaultRowHeight="15" x14ac:dyDescent="0.25"/>
  <cols>
    <col min="2" max="2" width="11.42578125" customWidth="1"/>
    <col min="4" max="4" width="12.5703125" bestFit="1" customWidth="1"/>
    <col min="5" max="5" width="10.5703125" bestFit="1" customWidth="1"/>
    <col min="6" max="6" width="12.28515625" bestFit="1" customWidth="1"/>
    <col min="7" max="7" width="13.5703125" bestFit="1" customWidth="1"/>
    <col min="8" max="8" width="10.7109375" bestFit="1" customWidth="1"/>
    <col min="10" max="10" width="21.5703125" customWidth="1"/>
    <col min="15" max="15" width="23.7109375" bestFit="1" customWidth="1"/>
    <col min="16" max="16" width="17.7109375" bestFit="1" customWidth="1"/>
  </cols>
  <sheetData>
    <row r="1" spans="1:16" ht="19.5" x14ac:dyDescent="0.3">
      <c r="A1" s="99" t="s">
        <v>31</v>
      </c>
      <c r="B1" s="100"/>
    </row>
    <row r="2" spans="1:16" ht="20.25" thickBot="1" x14ac:dyDescent="0.35">
      <c r="D2" s="38" t="s">
        <v>85</v>
      </c>
      <c r="E2" s="38"/>
      <c r="F2" s="37"/>
      <c r="G2" s="39"/>
    </row>
    <row r="3" spans="1:16" ht="15.75" thickTop="1" x14ac:dyDescent="0.25">
      <c r="O3" s="28" t="s">
        <v>27</v>
      </c>
      <c r="P3" s="14">
        <f>AVERAGE(I6:I28)</f>
        <v>7191.4034311809492</v>
      </c>
    </row>
    <row r="4" spans="1:16" ht="30" x14ac:dyDescent="0.25">
      <c r="A4" s="2"/>
      <c r="B4" s="2" t="s">
        <v>32</v>
      </c>
      <c r="C4" s="2" t="s">
        <v>17</v>
      </c>
      <c r="D4" s="2" t="s">
        <v>33</v>
      </c>
      <c r="E4" s="2" t="s">
        <v>34</v>
      </c>
      <c r="F4" s="2" t="s">
        <v>35</v>
      </c>
      <c r="G4" s="3" t="s">
        <v>20</v>
      </c>
      <c r="H4" s="4" t="s">
        <v>22</v>
      </c>
      <c r="I4" s="4" t="s">
        <v>23</v>
      </c>
      <c r="J4" s="33" t="s">
        <v>24</v>
      </c>
      <c r="O4" s="34" t="s">
        <v>28</v>
      </c>
      <c r="P4" s="15">
        <f>AVERAGE(J6:J28)</f>
        <v>0.13393222626458939</v>
      </c>
    </row>
    <row r="5" spans="1:16" ht="30.75" thickBot="1" x14ac:dyDescent="0.3">
      <c r="A5" s="96"/>
      <c r="B5" s="96" t="s">
        <v>13</v>
      </c>
      <c r="C5" s="40">
        <v>1</v>
      </c>
      <c r="D5" s="41">
        <f>60000</f>
        <v>60000</v>
      </c>
      <c r="E5" s="42">
        <f>D5</f>
        <v>60000</v>
      </c>
      <c r="F5" s="40">
        <f>0</f>
        <v>0</v>
      </c>
      <c r="G5" s="40"/>
      <c r="H5" s="40"/>
      <c r="I5" s="40"/>
      <c r="J5" s="40"/>
      <c r="O5" s="35" t="s">
        <v>46</v>
      </c>
      <c r="P5" s="16">
        <f>G29</f>
        <v>52140.803556159241</v>
      </c>
    </row>
    <row r="6" spans="1:16" ht="15.75" thickBot="1" x14ac:dyDescent="0.3">
      <c r="A6" s="96"/>
      <c r="B6" s="96"/>
      <c r="C6" s="40">
        <v>2</v>
      </c>
      <c r="D6" s="41">
        <f>58000</f>
        <v>58000</v>
      </c>
      <c r="E6" s="42">
        <f>$P$7*D6+(1-$P$7)*G6</f>
        <v>58200</v>
      </c>
      <c r="F6" s="42">
        <f>$P$8*(E6-E5)+(1-$P$8)*G6</f>
        <v>4379.9999999999991</v>
      </c>
      <c r="G6" s="42">
        <f>SUM(E5:F5)</f>
        <v>60000</v>
      </c>
      <c r="H6" s="42">
        <f>D6-G6</f>
        <v>-2000</v>
      </c>
      <c r="I6" s="40">
        <f>ABS(H6)</f>
        <v>2000</v>
      </c>
      <c r="J6" s="43">
        <f>I6/D6</f>
        <v>3.4482758620689655E-2</v>
      </c>
    </row>
    <row r="7" spans="1:16" ht="15.75" thickBot="1" x14ac:dyDescent="0.3">
      <c r="A7" s="96"/>
      <c r="B7" s="96"/>
      <c r="C7" s="40">
        <v>3</v>
      </c>
      <c r="D7" s="41">
        <f>59000</f>
        <v>59000</v>
      </c>
      <c r="E7" s="42">
        <f t="shared" ref="E7:E13" si="0">$P$7*D7+(1-$P$7)*G7</f>
        <v>59358</v>
      </c>
      <c r="F7" s="42">
        <f t="shared" ref="F7:F12" si="1">$P$8*(E7-E6)+(1-$P$8)*G7</f>
        <v>7300.199999999998</v>
      </c>
      <c r="G7" s="42">
        <f t="shared" ref="G7:G12" si="2">SUM(E6:F6)</f>
        <v>62580</v>
      </c>
      <c r="H7" s="42">
        <f t="shared" ref="H7:H13" si="3">D7-G7</f>
        <v>-3580</v>
      </c>
      <c r="I7" s="40">
        <f t="shared" ref="I7:I28" si="4">ABS(H7)</f>
        <v>3580</v>
      </c>
      <c r="J7" s="43">
        <f t="shared" ref="J7:J13" si="5">I7/D7</f>
        <v>6.0677966101694916E-2</v>
      </c>
      <c r="O7" s="28" t="s">
        <v>86</v>
      </c>
      <c r="P7" s="12">
        <v>0.9</v>
      </c>
    </row>
    <row r="8" spans="1:16" ht="15.75" thickBot="1" x14ac:dyDescent="0.3">
      <c r="A8" s="96"/>
      <c r="B8" s="96" t="s">
        <v>14</v>
      </c>
      <c r="C8" s="40">
        <v>4</v>
      </c>
      <c r="D8" s="41">
        <f>55000</f>
        <v>55000</v>
      </c>
      <c r="E8" s="42">
        <f t="shared" si="0"/>
        <v>56165.82</v>
      </c>
      <c r="F8" s="42">
        <f t="shared" si="1"/>
        <v>3792.8579999999974</v>
      </c>
      <c r="G8" s="42">
        <f t="shared" si="2"/>
        <v>66658.2</v>
      </c>
      <c r="H8" s="42">
        <f t="shared" si="3"/>
        <v>-11658.199999999997</v>
      </c>
      <c r="I8" s="40">
        <f t="shared" si="4"/>
        <v>11658.199999999997</v>
      </c>
      <c r="J8" s="43">
        <f t="shared" si="5"/>
        <v>0.21196727272727267</v>
      </c>
      <c r="O8" s="28" t="s">
        <v>87</v>
      </c>
      <c r="P8" s="13">
        <v>0.9</v>
      </c>
    </row>
    <row r="9" spans="1:16" x14ac:dyDescent="0.25">
      <c r="A9" s="96"/>
      <c r="B9" s="96"/>
      <c r="C9" s="40">
        <v>5</v>
      </c>
      <c r="D9" s="41">
        <f>54000</f>
        <v>54000</v>
      </c>
      <c r="E9" s="42">
        <f t="shared" si="0"/>
        <v>54595.8678</v>
      </c>
      <c r="F9" s="42">
        <f t="shared" si="1"/>
        <v>4582.9108199999991</v>
      </c>
      <c r="G9" s="42">
        <f t="shared" si="2"/>
        <v>59958.678</v>
      </c>
      <c r="H9" s="42">
        <f t="shared" si="3"/>
        <v>-5958.6779999999999</v>
      </c>
      <c r="I9" s="40">
        <f t="shared" si="4"/>
        <v>5958.6779999999999</v>
      </c>
      <c r="J9" s="43">
        <f t="shared" si="5"/>
        <v>0.11034588888888888</v>
      </c>
    </row>
    <row r="10" spans="1:16" x14ac:dyDescent="0.25">
      <c r="A10" s="96"/>
      <c r="B10" s="96"/>
      <c r="C10" s="40">
        <v>6</v>
      </c>
      <c r="D10" s="41">
        <f>56000</f>
        <v>56000</v>
      </c>
      <c r="E10" s="42">
        <f t="shared" si="0"/>
        <v>56317.877862000001</v>
      </c>
      <c r="F10" s="42">
        <f t="shared" si="1"/>
        <v>7467.6869177999997</v>
      </c>
      <c r="G10" s="42">
        <f t="shared" si="2"/>
        <v>59178.778619999997</v>
      </c>
      <c r="H10" s="42">
        <f t="shared" si="3"/>
        <v>-3178.7786199999973</v>
      </c>
      <c r="I10" s="40">
        <f t="shared" si="4"/>
        <v>3178.7786199999973</v>
      </c>
      <c r="J10" s="43">
        <f t="shared" si="5"/>
        <v>5.6763903928571384E-2</v>
      </c>
    </row>
    <row r="11" spans="1:16" x14ac:dyDescent="0.25">
      <c r="A11" s="96"/>
      <c r="B11" s="96" t="s">
        <v>15</v>
      </c>
      <c r="C11" s="40">
        <v>7</v>
      </c>
      <c r="D11" s="41">
        <f>50000</f>
        <v>50000</v>
      </c>
      <c r="E11" s="42">
        <f t="shared" si="0"/>
        <v>51378.556477979997</v>
      </c>
      <c r="F11" s="42">
        <f t="shared" si="1"/>
        <v>1933.167232361995</v>
      </c>
      <c r="G11" s="42">
        <f t="shared" si="2"/>
        <v>63785.564779799999</v>
      </c>
      <c r="H11" s="42">
        <f t="shared" si="3"/>
        <v>-13785.564779799999</v>
      </c>
      <c r="I11" s="40">
        <f t="shared" si="4"/>
        <v>13785.564779799999</v>
      </c>
      <c r="J11" s="43">
        <f t="shared" si="5"/>
        <v>0.27571129559599999</v>
      </c>
    </row>
    <row r="12" spans="1:16" x14ac:dyDescent="0.25">
      <c r="A12" s="96"/>
      <c r="B12" s="96"/>
      <c r="C12" s="40">
        <v>8</v>
      </c>
      <c r="D12" s="41">
        <f>53000</f>
        <v>53000</v>
      </c>
      <c r="E12" s="42">
        <f t="shared" si="0"/>
        <v>53031.172371034198</v>
      </c>
      <c r="F12" s="42">
        <f t="shared" si="1"/>
        <v>6818.5266747829783</v>
      </c>
      <c r="G12" s="42">
        <f t="shared" si="2"/>
        <v>53311.72371034199</v>
      </c>
      <c r="H12" s="42">
        <f t="shared" si="3"/>
        <v>-311.72371034199023</v>
      </c>
      <c r="I12" s="40">
        <f t="shared" si="4"/>
        <v>311.72371034199023</v>
      </c>
      <c r="J12" s="43">
        <f t="shared" si="5"/>
        <v>5.8815794404149099E-3</v>
      </c>
    </row>
    <row r="13" spans="1:16" x14ac:dyDescent="0.25">
      <c r="A13" s="96"/>
      <c r="B13" s="96"/>
      <c r="C13" s="40">
        <v>9</v>
      </c>
      <c r="D13" s="41">
        <f>51000</f>
        <v>51000</v>
      </c>
      <c r="E13" s="42">
        <f t="shared" si="0"/>
        <v>51884.969904581718</v>
      </c>
      <c r="F13" s="44">
        <f>$P$8*(E13-E12)+(1-$P$8)*G13</f>
        <v>4953.387684774485</v>
      </c>
      <c r="G13" s="44">
        <f>SUM(E12:F12)</f>
        <v>59849.699045817179</v>
      </c>
      <c r="H13" s="42">
        <f t="shared" si="3"/>
        <v>-8849.6990458171786</v>
      </c>
      <c r="I13" s="40">
        <f t="shared" si="4"/>
        <v>8849.6990458171786</v>
      </c>
      <c r="J13" s="43">
        <f t="shared" si="5"/>
        <v>0.17352351070229763</v>
      </c>
    </row>
    <row r="14" spans="1:16" x14ac:dyDescent="0.25">
      <c r="A14" s="96"/>
      <c r="B14" s="96" t="s">
        <v>16</v>
      </c>
      <c r="C14" s="40">
        <v>10</v>
      </c>
      <c r="D14" s="41">
        <f>53000</f>
        <v>53000</v>
      </c>
      <c r="E14" s="42">
        <f t="shared" ref="E14:E28" si="6">$P$7*D14+(1-$P$7)*G14</f>
        <v>53383.835758935616</v>
      </c>
      <c r="F14" s="44">
        <f t="shared" ref="F14:F28" si="7">$P$8*(E14-E13)+(1-$P$8)*G14</f>
        <v>7032.8150278541279</v>
      </c>
      <c r="G14" s="44">
        <f t="shared" ref="G14:G28" si="8">SUM(E13:F13)</f>
        <v>56838.357589356201</v>
      </c>
      <c r="H14" s="42">
        <f t="shared" ref="H14:H28" si="9">D14-G14</f>
        <v>-3838.3575893562011</v>
      </c>
      <c r="I14" s="40">
        <f t="shared" si="4"/>
        <v>3838.3575893562011</v>
      </c>
      <c r="J14" s="43">
        <f t="shared" ref="J14:J28" si="10">I14/D14</f>
        <v>7.2421841308607571E-2</v>
      </c>
    </row>
    <row r="15" spans="1:16" x14ac:dyDescent="0.25">
      <c r="A15" s="96"/>
      <c r="B15" s="96"/>
      <c r="C15" s="40">
        <v>11</v>
      </c>
      <c r="D15" s="41">
        <v>49000</v>
      </c>
      <c r="E15" s="42">
        <f t="shared" si="6"/>
        <v>50141.665078678976</v>
      </c>
      <c r="F15" s="44">
        <f t="shared" si="7"/>
        <v>3123.7114664479968</v>
      </c>
      <c r="G15" s="44">
        <f t="shared" si="8"/>
        <v>60416.650786789745</v>
      </c>
      <c r="H15" s="42">
        <f t="shared" si="9"/>
        <v>-11416.650786789745</v>
      </c>
      <c r="I15" s="40">
        <f t="shared" si="4"/>
        <v>11416.650786789745</v>
      </c>
      <c r="J15" s="43">
        <f t="shared" si="10"/>
        <v>0.23299287319979073</v>
      </c>
    </row>
    <row r="16" spans="1:16" x14ac:dyDescent="0.25">
      <c r="A16" s="96"/>
      <c r="B16" s="96"/>
      <c r="C16" s="40">
        <v>12</v>
      </c>
      <c r="D16" s="41">
        <v>50000</v>
      </c>
      <c r="E16" s="42">
        <f t="shared" si="6"/>
        <v>50326.537654512693</v>
      </c>
      <c r="F16" s="44">
        <f t="shared" si="7"/>
        <v>5492.9229727630409</v>
      </c>
      <c r="G16" s="44">
        <f t="shared" si="8"/>
        <v>53265.376545126972</v>
      </c>
      <c r="H16" s="42">
        <f t="shared" si="9"/>
        <v>-3265.3765451269719</v>
      </c>
      <c r="I16" s="40">
        <f t="shared" si="4"/>
        <v>3265.3765451269719</v>
      </c>
      <c r="J16" s="43">
        <f t="shared" si="10"/>
        <v>6.5307530902539435E-2</v>
      </c>
    </row>
    <row r="17" spans="1:10" x14ac:dyDescent="0.25">
      <c r="A17" s="40"/>
      <c r="B17" s="96" t="s">
        <v>13</v>
      </c>
      <c r="C17" s="40">
        <v>13</v>
      </c>
      <c r="D17" s="41">
        <v>62000</v>
      </c>
      <c r="E17" s="42">
        <f t="shared" si="6"/>
        <v>61381.946062727569</v>
      </c>
      <c r="F17" s="44">
        <f t="shared" si="7"/>
        <v>15531.81363012096</v>
      </c>
      <c r="G17" s="44">
        <f t="shared" si="8"/>
        <v>55819.460627275737</v>
      </c>
      <c r="H17" s="42">
        <f t="shared" si="9"/>
        <v>6180.5393727242626</v>
      </c>
      <c r="I17" s="40">
        <f t="shared" si="4"/>
        <v>6180.5393727242626</v>
      </c>
      <c r="J17" s="43">
        <f t="shared" si="10"/>
        <v>9.9686118914907459E-2</v>
      </c>
    </row>
    <row r="18" spans="1:10" x14ac:dyDescent="0.25">
      <c r="A18" s="40"/>
      <c r="B18" s="96"/>
      <c r="C18" s="40">
        <v>14</v>
      </c>
      <c r="D18" s="41">
        <v>59000</v>
      </c>
      <c r="E18" s="42">
        <f t="shared" si="6"/>
        <v>60791.375969284854</v>
      </c>
      <c r="F18" s="44">
        <f t="shared" si="7"/>
        <v>7159.8628851864078</v>
      </c>
      <c r="G18" s="44">
        <f t="shared" si="8"/>
        <v>76913.759692848529</v>
      </c>
      <c r="H18" s="42">
        <f t="shared" si="9"/>
        <v>-17913.759692848529</v>
      </c>
      <c r="I18" s="40">
        <f t="shared" si="4"/>
        <v>17913.759692848529</v>
      </c>
      <c r="J18" s="43">
        <f t="shared" si="10"/>
        <v>0.3036230456415005</v>
      </c>
    </row>
    <row r="19" spans="1:10" x14ac:dyDescent="0.25">
      <c r="A19" s="40"/>
      <c r="B19" s="96"/>
      <c r="C19" s="40">
        <v>15</v>
      </c>
      <c r="D19" s="41">
        <v>57000</v>
      </c>
      <c r="E19" s="42">
        <f t="shared" si="6"/>
        <v>58095.123885447123</v>
      </c>
      <c r="F19" s="44">
        <f t="shared" si="7"/>
        <v>4368.497009993167</v>
      </c>
      <c r="G19" s="44">
        <f t="shared" si="8"/>
        <v>67951.238854471259</v>
      </c>
      <c r="H19" s="42">
        <f t="shared" si="9"/>
        <v>-10951.238854471259</v>
      </c>
      <c r="I19" s="40">
        <f t="shared" si="4"/>
        <v>10951.238854471259</v>
      </c>
      <c r="J19" s="43">
        <f t="shared" si="10"/>
        <v>0.19212699744686421</v>
      </c>
    </row>
    <row r="20" spans="1:10" x14ac:dyDescent="0.25">
      <c r="A20" s="40"/>
      <c r="B20" s="96" t="s">
        <v>14</v>
      </c>
      <c r="C20" s="40">
        <v>16</v>
      </c>
      <c r="D20" s="41">
        <v>55550</v>
      </c>
      <c r="E20" s="42">
        <f t="shared" si="6"/>
        <v>56241.362089544025</v>
      </c>
      <c r="F20" s="44">
        <f t="shared" si="7"/>
        <v>4577.9764732312397</v>
      </c>
      <c r="G20" s="44">
        <f t="shared" si="8"/>
        <v>62463.62089544029</v>
      </c>
      <c r="H20" s="42">
        <f t="shared" si="9"/>
        <v>-6913.62089544029</v>
      </c>
      <c r="I20" s="40">
        <f t="shared" si="4"/>
        <v>6913.62089544029</v>
      </c>
      <c r="J20" s="43">
        <f t="shared" si="10"/>
        <v>0.12445762188011324</v>
      </c>
    </row>
    <row r="21" spans="1:10" x14ac:dyDescent="0.25">
      <c r="A21" s="40"/>
      <c r="B21" s="96"/>
      <c r="C21" s="40">
        <v>17</v>
      </c>
      <c r="D21" s="41">
        <v>56789</v>
      </c>
      <c r="E21" s="42">
        <f t="shared" si="6"/>
        <v>57192.033856277521</v>
      </c>
      <c r="F21" s="44">
        <f t="shared" si="7"/>
        <v>6937.5384463376722</v>
      </c>
      <c r="G21" s="44">
        <f t="shared" si="8"/>
        <v>60819.338562775265</v>
      </c>
      <c r="H21" s="42">
        <f t="shared" si="9"/>
        <v>-4030.338562775265</v>
      </c>
      <c r="I21" s="40">
        <f t="shared" si="4"/>
        <v>4030.338562775265</v>
      </c>
      <c r="J21" s="43">
        <f t="shared" si="10"/>
        <v>7.0970409106962007E-2</v>
      </c>
    </row>
    <row r="22" spans="1:10" x14ac:dyDescent="0.25">
      <c r="A22" s="40"/>
      <c r="B22" s="96"/>
      <c r="C22" s="40">
        <v>18</v>
      </c>
      <c r="D22" s="41">
        <v>54560</v>
      </c>
      <c r="E22" s="42">
        <f t="shared" si="6"/>
        <v>55516.95723026152</v>
      </c>
      <c r="F22" s="44">
        <f t="shared" si="7"/>
        <v>4905.388266847116</v>
      </c>
      <c r="G22" s="44">
        <f t="shared" si="8"/>
        <v>64129.572302615197</v>
      </c>
      <c r="H22" s="42">
        <f t="shared" si="9"/>
        <v>-9569.5723026151973</v>
      </c>
      <c r="I22" s="40">
        <f t="shared" si="4"/>
        <v>9569.5723026151973</v>
      </c>
      <c r="J22" s="43">
        <f t="shared" si="10"/>
        <v>0.17539538677813779</v>
      </c>
    </row>
    <row r="23" spans="1:10" x14ac:dyDescent="0.25">
      <c r="A23" s="40"/>
      <c r="B23" s="96" t="s">
        <v>15</v>
      </c>
      <c r="C23" s="40">
        <v>19</v>
      </c>
      <c r="D23" s="41">
        <f>53750</f>
        <v>53750</v>
      </c>
      <c r="E23" s="42">
        <f t="shared" si="6"/>
        <v>54417.234549710862</v>
      </c>
      <c r="F23" s="44">
        <f t="shared" si="7"/>
        <v>5052.4841372152696</v>
      </c>
      <c r="G23" s="44">
        <f t="shared" si="8"/>
        <v>60422.345497108632</v>
      </c>
      <c r="H23" s="42">
        <f t="shared" si="9"/>
        <v>-6672.3454971086321</v>
      </c>
      <c r="I23" s="40">
        <f t="shared" si="4"/>
        <v>6672.3454971086321</v>
      </c>
      <c r="J23" s="43">
        <f t="shared" si="10"/>
        <v>0.12413666041132339</v>
      </c>
    </row>
    <row r="24" spans="1:10" x14ac:dyDescent="0.25">
      <c r="A24" s="40"/>
      <c r="B24" s="96"/>
      <c r="C24" s="40">
        <v>20</v>
      </c>
      <c r="D24" s="41">
        <v>54000</v>
      </c>
      <c r="E24" s="42">
        <f t="shared" si="6"/>
        <v>54546.971868692613</v>
      </c>
      <c r="F24" s="44">
        <f t="shared" si="7"/>
        <v>6063.7354557761892</v>
      </c>
      <c r="G24" s="44">
        <f t="shared" si="8"/>
        <v>59469.718686926135</v>
      </c>
      <c r="H24" s="42">
        <f t="shared" si="9"/>
        <v>-5469.718686926135</v>
      </c>
      <c r="I24" s="40">
        <f t="shared" si="4"/>
        <v>5469.718686926135</v>
      </c>
      <c r="J24" s="43">
        <f t="shared" si="10"/>
        <v>0.10129108679492843</v>
      </c>
    </row>
    <row r="25" spans="1:10" x14ac:dyDescent="0.25">
      <c r="A25" s="40"/>
      <c r="B25" s="96"/>
      <c r="C25" s="40">
        <v>21</v>
      </c>
      <c r="D25" s="41">
        <v>56000</v>
      </c>
      <c r="E25" s="42">
        <f t="shared" si="6"/>
        <v>56461.070732446882</v>
      </c>
      <c r="F25" s="44">
        <f t="shared" si="7"/>
        <v>7783.7597098257202</v>
      </c>
      <c r="G25" s="44">
        <f t="shared" si="8"/>
        <v>60610.7073244688</v>
      </c>
      <c r="H25" s="42">
        <f t="shared" si="9"/>
        <v>-4610.7073244687999</v>
      </c>
      <c r="I25" s="40">
        <f t="shared" si="4"/>
        <v>4610.7073244687999</v>
      </c>
      <c r="J25" s="43">
        <f t="shared" si="10"/>
        <v>8.2334059365514287E-2</v>
      </c>
    </row>
    <row r="26" spans="1:10" x14ac:dyDescent="0.25">
      <c r="A26" s="40"/>
      <c r="B26" s="96" t="s">
        <v>16</v>
      </c>
      <c r="C26" s="40">
        <v>22</v>
      </c>
      <c r="D26" s="41">
        <v>50750</v>
      </c>
      <c r="E26" s="42">
        <f t="shared" si="6"/>
        <v>52099.483044227258</v>
      </c>
      <c r="F26" s="44">
        <f t="shared" si="7"/>
        <v>2499.0541248295967</v>
      </c>
      <c r="G26" s="44">
        <f t="shared" si="8"/>
        <v>64244.8304422726</v>
      </c>
      <c r="H26" s="42">
        <f t="shared" si="9"/>
        <v>-13494.8304422726</v>
      </c>
      <c r="I26" s="40">
        <f t="shared" si="4"/>
        <v>13494.8304422726</v>
      </c>
      <c r="J26" s="43">
        <f t="shared" si="10"/>
        <v>0.26590798901029755</v>
      </c>
    </row>
    <row r="27" spans="1:10" x14ac:dyDescent="0.25">
      <c r="A27" s="40"/>
      <c r="B27" s="96"/>
      <c r="C27" s="40">
        <v>23</v>
      </c>
      <c r="D27" s="41">
        <v>51000</v>
      </c>
      <c r="E27" s="42">
        <f t="shared" si="6"/>
        <v>51359.853716905687</v>
      </c>
      <c r="F27" s="44">
        <f t="shared" si="7"/>
        <v>4794.1873223162711</v>
      </c>
      <c r="G27" s="44">
        <f t="shared" si="8"/>
        <v>54598.537169056857</v>
      </c>
      <c r="H27" s="42">
        <f t="shared" si="9"/>
        <v>-3598.5371690568572</v>
      </c>
      <c r="I27" s="40">
        <f t="shared" si="4"/>
        <v>3598.5371690568572</v>
      </c>
      <c r="J27" s="43">
        <f t="shared" si="10"/>
        <v>7.0559552334448175E-2</v>
      </c>
    </row>
    <row r="28" spans="1:10" x14ac:dyDescent="0.25">
      <c r="A28" s="40"/>
      <c r="B28" s="96"/>
      <c r="C28" s="40">
        <v>24</v>
      </c>
      <c r="D28" s="41">
        <v>48000</v>
      </c>
      <c r="E28" s="42">
        <f t="shared" si="6"/>
        <v>48815.404103922192</v>
      </c>
      <c r="F28" s="44">
        <f t="shared" si="7"/>
        <v>3325.399452237049</v>
      </c>
      <c r="G28" s="44">
        <f t="shared" si="8"/>
        <v>56154.041039221956</v>
      </c>
      <c r="H28" s="42">
        <f t="shared" si="9"/>
        <v>-8154.0410392219565</v>
      </c>
      <c r="I28" s="40">
        <f t="shared" si="4"/>
        <v>8154.0410392219565</v>
      </c>
      <c r="J28" s="43">
        <f t="shared" si="10"/>
        <v>0.16987585498379076</v>
      </c>
    </row>
    <row r="29" spans="1:10" x14ac:dyDescent="0.25">
      <c r="A29" s="40"/>
      <c r="B29" s="40"/>
      <c r="C29" s="40">
        <v>25</v>
      </c>
      <c r="D29" s="40"/>
      <c r="E29" s="42"/>
      <c r="F29" s="44"/>
      <c r="G29" s="44">
        <f>$E$28+(C29-$C$28)*F28</f>
        <v>52140.803556159241</v>
      </c>
      <c r="H29" s="42"/>
      <c r="I29" s="40"/>
      <c r="J29" s="43"/>
    </row>
  </sheetData>
  <mergeCells count="12">
    <mergeCell ref="B17:B19"/>
    <mergeCell ref="B20:B22"/>
    <mergeCell ref="B23:B25"/>
    <mergeCell ref="B26:B28"/>
    <mergeCell ref="A1:B1"/>
    <mergeCell ref="A5:A8"/>
    <mergeCell ref="A9:A12"/>
    <mergeCell ref="A13:A16"/>
    <mergeCell ref="B5:B7"/>
    <mergeCell ref="B8:B10"/>
    <mergeCell ref="B11:B13"/>
    <mergeCell ref="B14:B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AF8D-86CD-417B-A4B8-3A10B5550F23}">
  <dimension ref="A1:M51"/>
  <sheetViews>
    <sheetView showGridLines="0" tabSelected="1" zoomScale="90" zoomScaleNormal="90" workbookViewId="0">
      <selection activeCell="M8" sqref="M8"/>
    </sheetView>
  </sheetViews>
  <sheetFormatPr defaultRowHeight="15" x14ac:dyDescent="0.25"/>
  <cols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  <col min="10" max="10" width="20.42578125" customWidth="1"/>
    <col min="12" max="12" width="26.7109375" bestFit="1" customWidth="1"/>
    <col min="13" max="13" width="12.7109375" bestFit="1" customWidth="1"/>
  </cols>
  <sheetData>
    <row r="1" spans="1:13" ht="23.25" x14ac:dyDescent="0.35">
      <c r="A1" s="36" t="s">
        <v>81</v>
      </c>
      <c r="B1" s="36"/>
    </row>
    <row r="2" spans="1:13" ht="23.25" x14ac:dyDescent="0.35">
      <c r="C2" s="36"/>
      <c r="D2" s="36"/>
    </row>
    <row r="4" spans="1:13" ht="20.25" thickBot="1" x14ac:dyDescent="0.35">
      <c r="E4" s="37" t="s">
        <v>84</v>
      </c>
      <c r="F4" s="37"/>
    </row>
    <row r="5" spans="1:13" ht="15.75" thickTop="1" x14ac:dyDescent="0.25"/>
    <row r="6" spans="1:13" ht="30" x14ac:dyDescent="0.25">
      <c r="C6" s="2" t="s">
        <v>32</v>
      </c>
      <c r="D6" s="2" t="s">
        <v>0</v>
      </c>
      <c r="E6" s="2" t="s">
        <v>17</v>
      </c>
      <c r="F6" s="2" t="s">
        <v>44</v>
      </c>
      <c r="G6" s="2" t="s">
        <v>20</v>
      </c>
      <c r="H6" s="2" t="s">
        <v>22</v>
      </c>
      <c r="I6" s="2" t="s">
        <v>23</v>
      </c>
      <c r="J6" s="2" t="s">
        <v>45</v>
      </c>
      <c r="L6" s="48" t="s">
        <v>27</v>
      </c>
      <c r="M6" s="69">
        <f>AVERAGE(I7:I30)</f>
        <v>99.692681159420246</v>
      </c>
    </row>
    <row r="7" spans="1:13" x14ac:dyDescent="0.25">
      <c r="C7" s="101" t="s">
        <v>13</v>
      </c>
      <c r="D7" s="72" t="s">
        <v>1</v>
      </c>
      <c r="E7" s="72">
        <v>1</v>
      </c>
      <c r="F7" s="72">
        <v>5250</v>
      </c>
      <c r="G7" s="74">
        <f>$B$50+$B$51*E7</f>
        <v>5098.4799999999996</v>
      </c>
      <c r="H7" s="74">
        <f>F7-G7</f>
        <v>151.52000000000044</v>
      </c>
      <c r="I7" s="74">
        <f>ABS(H7)</f>
        <v>151.52000000000044</v>
      </c>
      <c r="J7" s="73">
        <f>I7/F7</f>
        <v>2.8860952380952463E-2</v>
      </c>
      <c r="L7" s="48" t="s">
        <v>28</v>
      </c>
      <c r="M7" s="70">
        <f>AVERAGE(J7:J30)</f>
        <v>1.9740071102459393E-2</v>
      </c>
    </row>
    <row r="8" spans="1:13" x14ac:dyDescent="0.25">
      <c r="C8" s="101"/>
      <c r="D8" s="72" t="s">
        <v>2</v>
      </c>
      <c r="E8" s="72">
        <v>2</v>
      </c>
      <c r="F8" s="72">
        <v>5225</v>
      </c>
      <c r="G8" s="74">
        <f t="shared" ref="G8:G31" si="0">$B$50+$B$51*E8</f>
        <v>5091.7534782608691</v>
      </c>
      <c r="H8" s="74">
        <f t="shared" ref="H8:H30" si="1">F8-G8</f>
        <v>133.24652173913091</v>
      </c>
      <c r="I8" s="74">
        <f t="shared" ref="I8:I30" si="2">ABS(H8)</f>
        <v>133.24652173913091</v>
      </c>
      <c r="J8" s="73">
        <f t="shared" ref="J8:J30" si="3">I8/F8</f>
        <v>2.5501726648637497E-2</v>
      </c>
      <c r="L8" s="48" t="s">
        <v>46</v>
      </c>
      <c r="M8" s="71">
        <f>G31</f>
        <v>4937.0434782608691</v>
      </c>
    </row>
    <row r="9" spans="1:13" x14ac:dyDescent="0.25">
      <c r="C9" s="101"/>
      <c r="D9" s="72" t="s">
        <v>3</v>
      </c>
      <c r="E9" s="72">
        <v>3</v>
      </c>
      <c r="F9" s="72">
        <v>5150</v>
      </c>
      <c r="G9" s="74">
        <f t="shared" si="0"/>
        <v>5085.0269565217386</v>
      </c>
      <c r="H9" s="74">
        <f t="shared" si="1"/>
        <v>64.973043478261388</v>
      </c>
      <c r="I9" s="74">
        <f t="shared" si="2"/>
        <v>64.973043478261388</v>
      </c>
      <c r="J9" s="73">
        <f t="shared" si="3"/>
        <v>1.261612494723522E-2</v>
      </c>
    </row>
    <row r="10" spans="1:13" x14ac:dyDescent="0.25">
      <c r="C10" s="101" t="s">
        <v>14</v>
      </c>
      <c r="D10" s="72" t="s">
        <v>4</v>
      </c>
      <c r="E10" s="72">
        <v>4</v>
      </c>
      <c r="F10" s="72">
        <v>5095</v>
      </c>
      <c r="G10" s="74">
        <f t="shared" si="0"/>
        <v>5078.3004347826081</v>
      </c>
      <c r="H10" s="74">
        <f t="shared" si="1"/>
        <v>16.699565217391864</v>
      </c>
      <c r="I10" s="74">
        <f t="shared" si="2"/>
        <v>16.699565217391864</v>
      </c>
      <c r="J10" s="73">
        <f t="shared" si="3"/>
        <v>3.2776379229424659E-3</v>
      </c>
    </row>
    <row r="11" spans="1:13" x14ac:dyDescent="0.25">
      <c r="C11" s="101"/>
      <c r="D11" s="72" t="s">
        <v>5</v>
      </c>
      <c r="E11" s="72">
        <v>5</v>
      </c>
      <c r="F11" s="72">
        <v>5025</v>
      </c>
      <c r="G11" s="74">
        <f t="shared" si="0"/>
        <v>5071.5739130434777</v>
      </c>
      <c r="H11" s="74">
        <f t="shared" si="1"/>
        <v>-46.57391304347766</v>
      </c>
      <c r="I11" s="74">
        <f t="shared" si="2"/>
        <v>46.57391304347766</v>
      </c>
      <c r="J11" s="73">
        <f t="shared" si="3"/>
        <v>9.2684404066622206E-3</v>
      </c>
    </row>
    <row r="12" spans="1:13" x14ac:dyDescent="0.25">
      <c r="C12" s="101"/>
      <c r="D12" s="72" t="s">
        <v>6</v>
      </c>
      <c r="E12" s="72">
        <v>6</v>
      </c>
      <c r="F12" s="72">
        <v>4989</v>
      </c>
      <c r="G12" s="74">
        <f t="shared" si="0"/>
        <v>5064.8473913043472</v>
      </c>
      <c r="H12" s="74">
        <f t="shared" si="1"/>
        <v>-75.847391304347184</v>
      </c>
      <c r="I12" s="74">
        <f t="shared" si="2"/>
        <v>75.847391304347184</v>
      </c>
      <c r="J12" s="73">
        <f t="shared" si="3"/>
        <v>1.5202924695198874E-2</v>
      </c>
    </row>
    <row r="13" spans="1:13" x14ac:dyDescent="0.25">
      <c r="C13" s="101" t="s">
        <v>15</v>
      </c>
      <c r="D13" s="72" t="s">
        <v>7</v>
      </c>
      <c r="E13" s="72">
        <v>7</v>
      </c>
      <c r="F13" s="72">
        <v>4930</v>
      </c>
      <c r="G13" s="74">
        <f t="shared" si="0"/>
        <v>5058.1208695652167</v>
      </c>
      <c r="H13" s="74">
        <f t="shared" si="1"/>
        <v>-128.12086956521671</v>
      </c>
      <c r="I13" s="74">
        <f t="shared" si="2"/>
        <v>128.12086956521671</v>
      </c>
      <c r="J13" s="73">
        <f t="shared" si="3"/>
        <v>2.5988005997001361E-2</v>
      </c>
    </row>
    <row r="14" spans="1:13" x14ac:dyDescent="0.25">
      <c r="C14" s="101"/>
      <c r="D14" s="72" t="s">
        <v>8</v>
      </c>
      <c r="E14" s="72">
        <v>8</v>
      </c>
      <c r="F14" s="72">
        <v>4875</v>
      </c>
      <c r="G14" s="74">
        <f t="shared" si="0"/>
        <v>5051.3943478260862</v>
      </c>
      <c r="H14" s="74">
        <f t="shared" si="1"/>
        <v>-176.39434782608623</v>
      </c>
      <c r="I14" s="74">
        <f t="shared" si="2"/>
        <v>176.39434782608623</v>
      </c>
      <c r="J14" s="73">
        <f t="shared" si="3"/>
        <v>3.618345596432538E-2</v>
      </c>
    </row>
    <row r="15" spans="1:13" x14ac:dyDescent="0.25">
      <c r="C15" s="101"/>
      <c r="D15" s="72" t="s">
        <v>9</v>
      </c>
      <c r="E15" s="72">
        <v>9</v>
      </c>
      <c r="F15" s="72">
        <v>4900</v>
      </c>
      <c r="G15" s="74">
        <f t="shared" si="0"/>
        <v>5044.6678260869558</v>
      </c>
      <c r="H15" s="74">
        <f t="shared" si="1"/>
        <v>-144.66782608695576</v>
      </c>
      <c r="I15" s="74">
        <f t="shared" si="2"/>
        <v>144.66782608695576</v>
      </c>
      <c r="J15" s="73">
        <f t="shared" si="3"/>
        <v>2.9524046140195052E-2</v>
      </c>
    </row>
    <row r="16" spans="1:13" x14ac:dyDescent="0.25">
      <c r="C16" s="101" t="s">
        <v>16</v>
      </c>
      <c r="D16" s="72" t="s">
        <v>10</v>
      </c>
      <c r="E16" s="72">
        <v>10</v>
      </c>
      <c r="F16" s="72">
        <v>4925</v>
      </c>
      <c r="G16" s="74">
        <f t="shared" si="0"/>
        <v>5037.9413043478253</v>
      </c>
      <c r="H16" s="74">
        <f t="shared" si="1"/>
        <v>-112.94130434782528</v>
      </c>
      <c r="I16" s="74">
        <f t="shared" si="2"/>
        <v>112.94130434782528</v>
      </c>
      <c r="J16" s="73">
        <f t="shared" si="3"/>
        <v>2.2932244537629497E-2</v>
      </c>
    </row>
    <row r="17" spans="3:10" x14ac:dyDescent="0.25">
      <c r="C17" s="101"/>
      <c r="D17" s="72" t="s">
        <v>11</v>
      </c>
      <c r="E17" s="72">
        <v>11</v>
      </c>
      <c r="F17" s="72">
        <v>4915</v>
      </c>
      <c r="G17" s="74">
        <f t="shared" si="0"/>
        <v>5031.2147826086957</v>
      </c>
      <c r="H17" s="74">
        <f t="shared" si="1"/>
        <v>-116.21478260869571</v>
      </c>
      <c r="I17" s="74">
        <f t="shared" si="2"/>
        <v>116.21478260869571</v>
      </c>
      <c r="J17" s="73">
        <f t="shared" si="3"/>
        <v>2.3644920164536259E-2</v>
      </c>
    </row>
    <row r="18" spans="3:10" x14ac:dyDescent="0.25">
      <c r="C18" s="101"/>
      <c r="D18" s="72" t="s">
        <v>12</v>
      </c>
      <c r="E18" s="72">
        <v>12</v>
      </c>
      <c r="F18" s="72">
        <v>4875</v>
      </c>
      <c r="G18" s="74">
        <f t="shared" si="0"/>
        <v>5024.4882608695652</v>
      </c>
      <c r="H18" s="74">
        <f t="shared" si="1"/>
        <v>-149.48826086956524</v>
      </c>
      <c r="I18" s="74">
        <f t="shared" si="2"/>
        <v>149.48826086956524</v>
      </c>
      <c r="J18" s="73">
        <f t="shared" si="3"/>
        <v>3.0664258639910819E-2</v>
      </c>
    </row>
    <row r="19" spans="3:10" x14ac:dyDescent="0.25">
      <c r="C19" s="101" t="s">
        <v>13</v>
      </c>
      <c r="D19" s="72" t="s">
        <v>1</v>
      </c>
      <c r="E19" s="72">
        <v>13</v>
      </c>
      <c r="F19" s="72">
        <v>5300</v>
      </c>
      <c r="G19" s="74">
        <f t="shared" si="0"/>
        <v>5017.7617391304348</v>
      </c>
      <c r="H19" s="74">
        <f t="shared" si="1"/>
        <v>282.23826086956524</v>
      </c>
      <c r="I19" s="74">
        <f t="shared" si="2"/>
        <v>282.23826086956524</v>
      </c>
      <c r="J19" s="73">
        <f t="shared" si="3"/>
        <v>5.3252502050861364E-2</v>
      </c>
    </row>
    <row r="20" spans="3:10" x14ac:dyDescent="0.25">
      <c r="C20" s="101"/>
      <c r="D20" s="72" t="s">
        <v>2</v>
      </c>
      <c r="E20" s="72">
        <v>14</v>
      </c>
      <c r="F20" s="72">
        <v>5226</v>
      </c>
      <c r="G20" s="74">
        <f t="shared" si="0"/>
        <v>5011.0352173913043</v>
      </c>
      <c r="H20" s="74">
        <f t="shared" si="1"/>
        <v>214.96478260869571</v>
      </c>
      <c r="I20" s="74">
        <f t="shared" si="2"/>
        <v>214.96478260869571</v>
      </c>
      <c r="J20" s="73">
        <f t="shared" si="3"/>
        <v>4.1133712707366189E-2</v>
      </c>
    </row>
    <row r="21" spans="3:10" x14ac:dyDescent="0.25">
      <c r="C21" s="101"/>
      <c r="D21" s="72" t="s">
        <v>3</v>
      </c>
      <c r="E21" s="72">
        <v>15</v>
      </c>
      <c r="F21" s="72">
        <v>5175</v>
      </c>
      <c r="G21" s="74">
        <f t="shared" si="0"/>
        <v>5004.3086956521738</v>
      </c>
      <c r="H21" s="74">
        <f t="shared" si="1"/>
        <v>170.69130434782619</v>
      </c>
      <c r="I21" s="74">
        <f t="shared" si="2"/>
        <v>170.69130434782619</v>
      </c>
      <c r="J21" s="73">
        <f t="shared" si="3"/>
        <v>3.2983826927116169E-2</v>
      </c>
    </row>
    <row r="22" spans="3:10" x14ac:dyDescent="0.25">
      <c r="C22" s="101" t="s">
        <v>14</v>
      </c>
      <c r="D22" s="72" t="s">
        <v>4</v>
      </c>
      <c r="E22" s="72">
        <v>16</v>
      </c>
      <c r="F22" s="72">
        <v>5050</v>
      </c>
      <c r="G22" s="74">
        <f t="shared" si="0"/>
        <v>4997.5821739130433</v>
      </c>
      <c r="H22" s="74">
        <f t="shared" si="1"/>
        <v>52.417826086956666</v>
      </c>
      <c r="I22" s="74">
        <f t="shared" si="2"/>
        <v>52.417826086956666</v>
      </c>
      <c r="J22" s="73">
        <f t="shared" si="3"/>
        <v>1.0379767541971617E-2</v>
      </c>
    </row>
    <row r="23" spans="3:10" x14ac:dyDescent="0.25">
      <c r="C23" s="101"/>
      <c r="D23" s="72" t="s">
        <v>5</v>
      </c>
      <c r="E23" s="72">
        <v>17</v>
      </c>
      <c r="F23" s="72">
        <v>4982</v>
      </c>
      <c r="G23" s="74">
        <f t="shared" si="0"/>
        <v>4990.8556521739129</v>
      </c>
      <c r="H23" s="74">
        <f t="shared" si="1"/>
        <v>-8.8556521739128584</v>
      </c>
      <c r="I23" s="74">
        <f t="shared" si="2"/>
        <v>8.8556521739128584</v>
      </c>
      <c r="J23" s="73">
        <f t="shared" si="3"/>
        <v>1.7775295411306419E-3</v>
      </c>
    </row>
    <row r="24" spans="3:10" x14ac:dyDescent="0.25">
      <c r="C24" s="101"/>
      <c r="D24" s="72" t="s">
        <v>6</v>
      </c>
      <c r="E24" s="72">
        <v>18</v>
      </c>
      <c r="F24" s="72">
        <v>4945</v>
      </c>
      <c r="G24" s="74">
        <f t="shared" si="0"/>
        <v>4984.1291304347824</v>
      </c>
      <c r="H24" s="74">
        <f t="shared" si="1"/>
        <v>-39.129130434782383</v>
      </c>
      <c r="I24" s="74">
        <f t="shared" si="2"/>
        <v>39.129130434782383</v>
      </c>
      <c r="J24" s="73">
        <f t="shared" si="3"/>
        <v>7.9128676308963357E-3</v>
      </c>
    </row>
    <row r="25" spans="3:10" x14ac:dyDescent="0.25">
      <c r="C25" s="101" t="s">
        <v>15</v>
      </c>
      <c r="D25" s="72" t="s">
        <v>7</v>
      </c>
      <c r="E25" s="72">
        <v>19</v>
      </c>
      <c r="F25" s="72">
        <v>4900</v>
      </c>
      <c r="G25" s="74">
        <f t="shared" si="0"/>
        <v>4977.4026086956519</v>
      </c>
      <c r="H25" s="74">
        <f t="shared" si="1"/>
        <v>-77.402608695651907</v>
      </c>
      <c r="I25" s="74">
        <f t="shared" si="2"/>
        <v>77.402608695651907</v>
      </c>
      <c r="J25" s="73">
        <f t="shared" si="3"/>
        <v>1.5796450754214673E-2</v>
      </c>
    </row>
    <row r="26" spans="3:10" x14ac:dyDescent="0.25">
      <c r="C26" s="101"/>
      <c r="D26" s="72" t="s">
        <v>8</v>
      </c>
      <c r="E26" s="72">
        <v>20</v>
      </c>
      <c r="F26" s="72">
        <v>4850</v>
      </c>
      <c r="G26" s="74">
        <f t="shared" si="0"/>
        <v>4970.6760869565214</v>
      </c>
      <c r="H26" s="74">
        <f t="shared" si="1"/>
        <v>-120.67608695652143</v>
      </c>
      <c r="I26" s="74">
        <f t="shared" si="2"/>
        <v>120.67608695652143</v>
      </c>
      <c r="J26" s="73">
        <f t="shared" si="3"/>
        <v>2.4881667413715759E-2</v>
      </c>
    </row>
    <row r="27" spans="3:10" x14ac:dyDescent="0.25">
      <c r="C27" s="101"/>
      <c r="D27" s="72" t="s">
        <v>9</v>
      </c>
      <c r="E27" s="72">
        <v>21</v>
      </c>
      <c r="F27" s="72">
        <v>4975</v>
      </c>
      <c r="G27" s="74">
        <f t="shared" si="0"/>
        <v>4963.949565217391</v>
      </c>
      <c r="H27" s="74">
        <f t="shared" si="1"/>
        <v>11.050434782609045</v>
      </c>
      <c r="I27" s="74">
        <f t="shared" si="2"/>
        <v>11.050434782609045</v>
      </c>
      <c r="J27" s="73">
        <f t="shared" si="3"/>
        <v>2.2211929211274463E-3</v>
      </c>
    </row>
    <row r="28" spans="3:10" x14ac:dyDescent="0.25">
      <c r="C28" s="101" t="s">
        <v>16</v>
      </c>
      <c r="D28" s="72" t="s">
        <v>10</v>
      </c>
      <c r="E28" s="72">
        <v>22</v>
      </c>
      <c r="F28" s="72">
        <v>5000</v>
      </c>
      <c r="G28" s="74">
        <f t="shared" si="0"/>
        <v>4957.2230434782605</v>
      </c>
      <c r="H28" s="74">
        <f t="shared" si="1"/>
        <v>42.776956521739521</v>
      </c>
      <c r="I28" s="74">
        <f t="shared" si="2"/>
        <v>42.776956521739521</v>
      </c>
      <c r="J28" s="73">
        <f t="shared" si="3"/>
        <v>8.5553913043479035E-3</v>
      </c>
    </row>
    <row r="29" spans="3:10" x14ac:dyDescent="0.25">
      <c r="C29" s="101"/>
      <c r="D29" s="72" t="s">
        <v>11</v>
      </c>
      <c r="E29" s="72">
        <v>23</v>
      </c>
      <c r="F29" s="72">
        <v>4980</v>
      </c>
      <c r="G29" s="74">
        <f t="shared" si="0"/>
        <v>4950.49652173913</v>
      </c>
      <c r="H29" s="74">
        <f t="shared" si="1"/>
        <v>29.503478260869997</v>
      </c>
      <c r="I29" s="74">
        <f t="shared" si="2"/>
        <v>29.503478260869997</v>
      </c>
      <c r="J29" s="73">
        <f t="shared" si="3"/>
        <v>5.9243932250742969E-3</v>
      </c>
    </row>
    <row r="30" spans="3:10" x14ac:dyDescent="0.25">
      <c r="C30" s="101"/>
      <c r="D30" s="72" t="s">
        <v>12</v>
      </c>
      <c r="E30" s="72">
        <v>24</v>
      </c>
      <c r="F30" s="72">
        <v>4970</v>
      </c>
      <c r="G30" s="74">
        <f t="shared" si="0"/>
        <v>4943.7699999999995</v>
      </c>
      <c r="H30" s="74">
        <f t="shared" si="1"/>
        <v>26.230000000000473</v>
      </c>
      <c r="I30" s="74">
        <f t="shared" si="2"/>
        <v>26.230000000000473</v>
      </c>
      <c r="J30" s="73">
        <f t="shared" si="3"/>
        <v>5.2776659959759501E-3</v>
      </c>
    </row>
    <row r="31" spans="3:10" x14ac:dyDescent="0.25">
      <c r="C31" s="101" t="s">
        <v>13</v>
      </c>
      <c r="D31" s="72" t="s">
        <v>1</v>
      </c>
      <c r="E31" s="72">
        <v>25</v>
      </c>
      <c r="F31" s="72"/>
      <c r="G31" s="74">
        <f t="shared" si="0"/>
        <v>4937.0434782608691</v>
      </c>
      <c r="H31" s="72"/>
      <c r="I31" s="72"/>
      <c r="J31" s="72"/>
    </row>
    <row r="32" spans="3:10" x14ac:dyDescent="0.25">
      <c r="C32" s="101"/>
      <c r="D32" s="72"/>
      <c r="E32" s="72"/>
      <c r="F32" s="72"/>
      <c r="G32" s="72"/>
      <c r="H32" s="72"/>
      <c r="I32" s="72"/>
      <c r="J32" s="72"/>
    </row>
    <row r="33" spans="1:10" x14ac:dyDescent="0.25">
      <c r="C33" s="101"/>
      <c r="D33" s="72"/>
      <c r="E33" s="72"/>
      <c r="F33" s="72"/>
      <c r="G33" s="72"/>
      <c r="H33" s="72"/>
      <c r="I33" s="72"/>
      <c r="J33" s="72"/>
    </row>
    <row r="34" spans="1:10" x14ac:dyDescent="0.25">
      <c r="A34" t="s">
        <v>47</v>
      </c>
    </row>
    <row r="35" spans="1:10" ht="15.75" thickBot="1" x14ac:dyDescent="0.3"/>
    <row r="36" spans="1:10" x14ac:dyDescent="0.25">
      <c r="A36" s="20" t="s">
        <v>48</v>
      </c>
      <c r="B36" s="20"/>
    </row>
    <row r="37" spans="1:10" x14ac:dyDescent="0.25">
      <c r="A37" s="17" t="s">
        <v>49</v>
      </c>
      <c r="B37" s="17">
        <v>0.35814429915578688</v>
      </c>
    </row>
    <row r="38" spans="1:10" x14ac:dyDescent="0.25">
      <c r="A38" s="17" t="s">
        <v>50</v>
      </c>
      <c r="B38" s="17">
        <v>0.12826733901778975</v>
      </c>
    </row>
    <row r="39" spans="1:10" x14ac:dyDescent="0.25">
      <c r="A39" s="17" t="s">
        <v>51</v>
      </c>
      <c r="B39" s="17">
        <v>8.8643127154962004E-2</v>
      </c>
    </row>
    <row r="40" spans="1:10" x14ac:dyDescent="0.25">
      <c r="A40" s="17" t="s">
        <v>52</v>
      </c>
      <c r="B40" s="17">
        <v>126.78321083411286</v>
      </c>
    </row>
    <row r="41" spans="1:10" ht="15.75" thickBot="1" x14ac:dyDescent="0.3">
      <c r="A41" s="18" t="s">
        <v>53</v>
      </c>
      <c r="B41" s="18">
        <v>24</v>
      </c>
    </row>
    <row r="43" spans="1:10" ht="15.75" thickBot="1" x14ac:dyDescent="0.3">
      <c r="A43" t="s">
        <v>54</v>
      </c>
    </row>
    <row r="44" spans="1:10" x14ac:dyDescent="0.25">
      <c r="A44" s="19"/>
      <c r="B44" s="19" t="s">
        <v>59</v>
      </c>
      <c r="C44" s="19" t="s">
        <v>60</v>
      </c>
      <c r="D44" s="19" t="s">
        <v>61</v>
      </c>
      <c r="E44" s="19" t="s">
        <v>62</v>
      </c>
      <c r="F44" s="19" t="s">
        <v>63</v>
      </c>
    </row>
    <row r="45" spans="1:10" x14ac:dyDescent="0.25">
      <c r="A45" s="17" t="s">
        <v>55</v>
      </c>
      <c r="B45" s="17">
        <v>1</v>
      </c>
      <c r="C45" s="17">
        <v>52033.008913043479</v>
      </c>
      <c r="D45" s="17">
        <v>52033.008913043479</v>
      </c>
      <c r="E45" s="17">
        <v>3.2370950231598146</v>
      </c>
      <c r="F45" s="17">
        <v>8.5721507597770363E-2</v>
      </c>
    </row>
    <row r="46" spans="1:10" x14ac:dyDescent="0.25">
      <c r="A46" s="17" t="s">
        <v>56</v>
      </c>
      <c r="B46" s="17">
        <v>22</v>
      </c>
      <c r="C46" s="17">
        <v>353627.61608695652</v>
      </c>
      <c r="D46" s="17">
        <v>16073.982549407114</v>
      </c>
      <c r="E46" s="17"/>
      <c r="F46" s="17"/>
    </row>
    <row r="47" spans="1:10" ht="15.75" thickBot="1" x14ac:dyDescent="0.3">
      <c r="A47" s="18" t="s">
        <v>57</v>
      </c>
      <c r="B47" s="18">
        <v>23</v>
      </c>
      <c r="C47" s="18">
        <v>405660.625</v>
      </c>
      <c r="D47" s="18"/>
      <c r="E47" s="18"/>
      <c r="F47" s="18"/>
    </row>
    <row r="48" spans="1:10" ht="15.75" thickBot="1" x14ac:dyDescent="0.3"/>
    <row r="49" spans="1:9" x14ac:dyDescent="0.25">
      <c r="A49" s="19"/>
      <c r="B49" s="19" t="s">
        <v>64</v>
      </c>
      <c r="C49" s="19" t="s">
        <v>52</v>
      </c>
      <c r="D49" s="19" t="s">
        <v>65</v>
      </c>
      <c r="E49" s="19" t="s">
        <v>66</v>
      </c>
      <c r="F49" s="19" t="s">
        <v>67</v>
      </c>
      <c r="G49" s="19" t="s">
        <v>68</v>
      </c>
      <c r="H49" s="19" t="s">
        <v>69</v>
      </c>
      <c r="I49" s="19" t="s">
        <v>70</v>
      </c>
    </row>
    <row r="50" spans="1:9" x14ac:dyDescent="0.25">
      <c r="A50" s="17" t="s">
        <v>58</v>
      </c>
      <c r="B50" s="17">
        <v>5105.20652173913</v>
      </c>
      <c r="C50" s="17">
        <v>53.420167476261653</v>
      </c>
      <c r="D50" s="17">
        <v>95.567025768081564</v>
      </c>
      <c r="E50" s="17">
        <v>2.5980788704217537E-30</v>
      </c>
      <c r="F50" s="17">
        <v>4994.4198751271888</v>
      </c>
      <c r="G50" s="17">
        <v>5215.9931683510713</v>
      </c>
      <c r="H50" s="17">
        <v>4994.4198751271888</v>
      </c>
      <c r="I50" s="17">
        <v>5215.9931683510713</v>
      </c>
    </row>
    <row r="51" spans="1:9" ht="15.75" thickBot="1" x14ac:dyDescent="0.3">
      <c r="A51" s="18" t="s">
        <v>17</v>
      </c>
      <c r="B51" s="18">
        <v>-6.7265217391304315</v>
      </c>
      <c r="C51" s="18">
        <v>3.7386329225960697</v>
      </c>
      <c r="D51" s="18">
        <v>-1.7991928810329958</v>
      </c>
      <c r="E51" s="18">
        <v>8.5721507597770516E-2</v>
      </c>
      <c r="F51" s="18">
        <v>-14.479971868081737</v>
      </c>
      <c r="G51" s="18">
        <v>1.0269283898208741</v>
      </c>
      <c r="H51" s="18">
        <v>-14.479971868081737</v>
      </c>
      <c r="I51" s="18">
        <v>1.0269283898208741</v>
      </c>
    </row>
  </sheetData>
  <mergeCells count="9">
    <mergeCell ref="C25:C27"/>
    <mergeCell ref="C28:C30"/>
    <mergeCell ref="C31:C33"/>
    <mergeCell ref="C7:C9"/>
    <mergeCell ref="C10:C12"/>
    <mergeCell ref="C13:C15"/>
    <mergeCell ref="C16:C18"/>
    <mergeCell ref="C19:C21"/>
    <mergeCell ref="C22:C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L.A Fitness Model</vt:lpstr>
      <vt:lpstr>Digital Method</vt:lpstr>
      <vt:lpstr>Blended Model</vt:lpstr>
      <vt:lpstr>Revenue</vt:lpstr>
      <vt:lpstr>Other Revenue</vt:lpstr>
      <vt:lpstr>Expenses</vt:lpstr>
      <vt:lpstr>Monthly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adeola</dc:creator>
  <cp:lastModifiedBy>matt adeola</cp:lastModifiedBy>
  <dcterms:created xsi:type="dcterms:W3CDTF">2021-05-12T14:18:46Z</dcterms:created>
  <dcterms:modified xsi:type="dcterms:W3CDTF">2021-05-15T00:41:07Z</dcterms:modified>
</cp:coreProperties>
</file>