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s\Downloads\TGF\AI\Datasets\"/>
    </mc:Choice>
  </mc:AlternateContent>
  <xr:revisionPtr revIDLastSave="0" documentId="8_{BE5269CD-CB31-4C03-A4CD-A8854363A498}" xr6:coauthVersionLast="47" xr6:coauthVersionMax="47" xr10:uidLastSave="{00000000-0000-0000-0000-000000000000}"/>
  <bookViews>
    <workbookView xWindow="-98" yWindow="-98" windowWidth="21795" windowHeight="12345" activeTab="3" xr2:uid="{C6330D7A-2C36-42AF-82A6-580D4158900F}"/>
  </bookViews>
  <sheets>
    <sheet name="850 TPD" sheetId="4" r:id="rId1"/>
    <sheet name="650 TPD" sheetId="5" r:id="rId2"/>
    <sheet name="OLD" sheetId="6" r:id="rId3"/>
    <sheet name="ECH CT 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8" l="1"/>
  <c r="G14" i="8"/>
  <c r="P12" i="8"/>
  <c r="Q12" i="8"/>
  <c r="I12" i="8"/>
  <c r="G12" i="8"/>
  <c r="Q11" i="8"/>
  <c r="Q10" i="8"/>
  <c r="I10" i="8"/>
  <c r="Q9" i="8"/>
  <c r="I9" i="8"/>
  <c r="Q8" i="8"/>
  <c r="I8" i="8"/>
  <c r="E6" i="8"/>
  <c r="I11" i="8"/>
  <c r="H20" i="4"/>
  <c r="D8" i="4"/>
  <c r="D9" i="4"/>
  <c r="C8" i="4"/>
  <c r="C9" i="4"/>
  <c r="D6" i="4"/>
  <c r="C6" i="4"/>
  <c r="D33" i="4"/>
  <c r="E33" i="4"/>
  <c r="E16" i="5"/>
  <c r="E15" i="5"/>
  <c r="E13" i="5"/>
  <c r="I13" i="5"/>
  <c r="E12" i="5"/>
  <c r="I12" i="5"/>
  <c r="C6" i="5"/>
  <c r="D6" i="5"/>
  <c r="D11" i="4"/>
  <c r="E11" i="4"/>
  <c r="D14" i="4"/>
  <c r="E14" i="4"/>
  <c r="I14" i="4"/>
  <c r="E16" i="4"/>
  <c r="F16" i="4"/>
  <c r="H16" i="4"/>
  <c r="I16" i="4"/>
  <c r="E15" i="4"/>
  <c r="I15" i="4"/>
  <c r="F15" i="4"/>
  <c r="H15" i="4"/>
  <c r="E20" i="4"/>
  <c r="E19" i="4"/>
  <c r="D9" i="5"/>
  <c r="E9" i="5"/>
  <c r="D8" i="5"/>
  <c r="E8" i="5"/>
  <c r="D10" i="5"/>
  <c r="E10" i="5"/>
  <c r="D11" i="5"/>
  <c r="E11" i="5"/>
  <c r="F12" i="5"/>
  <c r="H12" i="5"/>
  <c r="F13" i="5"/>
  <c r="H13" i="5"/>
  <c r="F11" i="5"/>
  <c r="H11" i="5"/>
  <c r="I11" i="5"/>
  <c r="F10" i="5"/>
  <c r="H10" i="5"/>
  <c r="I10" i="5"/>
  <c r="I8" i="5"/>
  <c r="F8" i="5"/>
  <c r="H8" i="5"/>
  <c r="I9" i="5"/>
  <c r="F9" i="5"/>
  <c r="H9" i="5"/>
  <c r="H14" i="5"/>
  <c r="P14" i="8"/>
  <c r="P15" i="8"/>
  <c r="Q17" i="8"/>
  <c r="K14" i="8"/>
  <c r="Q15" i="8"/>
  <c r="F6" i="8"/>
  <c r="K12" i="8"/>
  <c r="D13" i="4"/>
  <c r="E13" i="4"/>
  <c r="I13" i="4"/>
  <c r="E35" i="4"/>
  <c r="I11" i="4"/>
  <c r="F11" i="4"/>
  <c r="H11" i="4"/>
  <c r="D17" i="4"/>
  <c r="E17" i="4"/>
  <c r="F17" i="4"/>
  <c r="H17" i="4"/>
  <c r="F14" i="4"/>
  <c r="H14" i="4"/>
  <c r="D12" i="4"/>
  <c r="E12" i="4"/>
  <c r="F10" i="8"/>
  <c r="G10" i="8"/>
  <c r="F9" i="8"/>
  <c r="G9" i="8"/>
  <c r="F11" i="8"/>
  <c r="G11" i="8"/>
  <c r="F8" i="8"/>
  <c r="G8" i="8"/>
  <c r="F13" i="4"/>
  <c r="H13" i="4"/>
  <c r="F12" i="4"/>
  <c r="H12" i="4"/>
  <c r="H18" i="4"/>
  <c r="I12" i="4"/>
  <c r="P8" i="8"/>
  <c r="K8" i="8"/>
  <c r="K11" i="8"/>
  <c r="P11" i="8"/>
  <c r="K9" i="8"/>
  <c r="P9" i="8"/>
  <c r="P10" i="8"/>
  <c r="K10" i="8"/>
</calcChain>
</file>

<file path=xl/sharedStrings.xml><?xml version="1.0" encoding="utf-8"?>
<sst xmlns="http://schemas.openxmlformats.org/spreadsheetml/2006/main" count="183" uniqueCount="86">
  <si>
    <t>Product</t>
  </si>
  <si>
    <t>Value</t>
  </si>
  <si>
    <t>AQUATREAT-2150</t>
  </si>
  <si>
    <t>AQUATREAT-4612</t>
  </si>
  <si>
    <t>AQUATREAT-3331</t>
  </si>
  <si>
    <t>AQUATREAT-3303</t>
  </si>
  <si>
    <t>AQUATREAT-2501</t>
  </si>
  <si>
    <t xml:space="preserve">TOWER </t>
  </si>
  <si>
    <t>H</t>
  </si>
  <si>
    <t>Qty in kg/3 Months</t>
  </si>
  <si>
    <t>Qty kg/month</t>
  </si>
  <si>
    <t>Qty Kg/day</t>
  </si>
  <si>
    <t>Dose ppm</t>
  </si>
  <si>
    <t>AQUATREAT-399</t>
  </si>
  <si>
    <t>AQUATREAT-1196</t>
  </si>
  <si>
    <t>200 Kg</t>
  </si>
  <si>
    <t>100 Kg</t>
  </si>
  <si>
    <t>400 Kg</t>
  </si>
  <si>
    <t>Precleaning &amp; Passivation Qty</t>
  </si>
  <si>
    <t>15 Kg</t>
  </si>
  <si>
    <t xml:space="preserve">6 Kg </t>
  </si>
  <si>
    <t>120 Kg</t>
  </si>
  <si>
    <t>Qty in kg for 3 Months as per pack size</t>
  </si>
  <si>
    <t>1000 Kg</t>
  </si>
  <si>
    <t>150 Kg</t>
  </si>
  <si>
    <t>50 Kg</t>
  </si>
  <si>
    <t>250 Kg</t>
  </si>
  <si>
    <t>0060  11135</t>
  </si>
  <si>
    <t>00100 18296</t>
  </si>
  <si>
    <t>0020 13344</t>
  </si>
  <si>
    <t>0090  18662</t>
  </si>
  <si>
    <t>0080  11135</t>
  </si>
  <si>
    <t>0030 11130</t>
  </si>
  <si>
    <t>Item Code</t>
  </si>
  <si>
    <t>Price/kg</t>
  </si>
  <si>
    <t>Annual Qty</t>
  </si>
  <si>
    <t>*120 Kg/dose</t>
  </si>
  <si>
    <t>*120 Kg/Dose</t>
  </si>
  <si>
    <t>Total</t>
  </si>
  <si>
    <t>AQUATREAT-6625/6629</t>
  </si>
  <si>
    <t>C</t>
  </si>
  <si>
    <t>Temp</t>
  </si>
  <si>
    <t>*100 Kg/dose</t>
  </si>
  <si>
    <t>*100 Kg/Dose</t>
  </si>
  <si>
    <t>Dosage</t>
  </si>
  <si>
    <t>WT-899</t>
  </si>
  <si>
    <t>bd</t>
  </si>
  <si>
    <t>coc</t>
  </si>
  <si>
    <t>hti</t>
  </si>
  <si>
    <t>EV</t>
  </si>
  <si>
    <t>Present</t>
  </si>
  <si>
    <t>Designed</t>
  </si>
  <si>
    <t>T</t>
  </si>
  <si>
    <t>E</t>
  </si>
  <si>
    <t>B</t>
  </si>
  <si>
    <t>Qty /day in Kg</t>
  </si>
  <si>
    <t>Qty /month in Kg</t>
  </si>
  <si>
    <t>Qty for 3 Months in Kg</t>
  </si>
  <si>
    <t>Annual Qty in Kgs</t>
  </si>
  <si>
    <t>Wex price</t>
  </si>
  <si>
    <t xml:space="preserve">3 Months </t>
  </si>
  <si>
    <t>WEXTREAT-2700 D</t>
  </si>
  <si>
    <t>1930 Kg</t>
  </si>
  <si>
    <t xml:space="preserve"> 773 Kg</t>
  </si>
  <si>
    <t>WEXTREAT-2505 B</t>
  </si>
  <si>
    <t>WEXTREAT-4612</t>
  </si>
  <si>
    <t>*WEXTREAT-7202</t>
  </si>
  <si>
    <t>*66Kg/dose</t>
  </si>
  <si>
    <t>220 Kg</t>
  </si>
  <si>
    <t xml:space="preserve">or </t>
  </si>
  <si>
    <t>Alternate</t>
  </si>
  <si>
    <t>132 Kg</t>
  </si>
  <si>
    <t>* These two biocides to be dosed alternately once in a month.</t>
  </si>
  <si>
    <t>WEXREAT-1191</t>
  </si>
  <si>
    <t xml:space="preserve"> S 1192</t>
  </si>
  <si>
    <t>S 2150</t>
  </si>
  <si>
    <t>S 2501</t>
  </si>
  <si>
    <t>S 8600</t>
  </si>
  <si>
    <t>WT</t>
  </si>
  <si>
    <t>Dosage in Kg</t>
  </si>
  <si>
    <t>per day</t>
  </si>
  <si>
    <t>per 15 d</t>
  </si>
  <si>
    <t>per15 d</t>
  </si>
  <si>
    <t>alt</t>
  </si>
  <si>
    <t>*WEXTREAT-3391</t>
  </si>
  <si>
    <t>*66 Kg/Dose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</si>
</sst>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"/>
  </numFmts>
  <fonts count="22" x14ac:knownFonts="1">
    <font>
      <sz val="10"/>
      <name val="Arial"/>
    </font>
    <font>
      <sz val="10"/>
      <name val="Arial"/>
      <family val="2"/>
    </font>
    <font>
      <sz val="12"/>
      <name val="Calibri"/>
      <family val="2"/>
    </font>
    <font>
      <sz val="10"/>
      <name val="Arial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0"/>
      <name val="Arial"/>
      <family val="2"/>
    </font>
    <font>
      <sz val="11"/>
      <name val="Calibri"/>
      <family val="2"/>
    </font>
    <font>
      <sz val="12"/>
      <name val="Arial"/>
      <family val="2"/>
    </font>
    <font>
      <sz val="14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center" vertical="center" wrapText="1"/>
    </xf>
    <xf numFmtId="179" fontId="11" fillId="0" borderId="5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79" fontId="12" fillId="0" borderId="5" xfId="0" applyNumberFormat="1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3" fillId="0" borderId="1" xfId="0" applyFont="1" applyBorder="1"/>
    <xf numFmtId="0" fontId="8" fillId="0" borderId="0" xfId="0" applyFont="1" applyAlignment="1">
      <alignment vertical="center"/>
    </xf>
    <xf numFmtId="0" fontId="5" fillId="0" borderId="9" xfId="0" applyFont="1" applyBorder="1" applyAlignment="1">
      <alignment horizontal="center" vertical="center" wrapText="1"/>
    </xf>
    <xf numFmtId="179" fontId="12" fillId="0" borderId="10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13" fillId="0" borderId="0" xfId="0" applyFont="1" applyBorder="1"/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79" fontId="11" fillId="0" borderId="2" xfId="0" applyNumberFormat="1" applyFont="1" applyBorder="1" applyAlignment="1">
      <alignment horizontal="center" vertical="center" wrapText="1"/>
    </xf>
    <xf numFmtId="179" fontId="2" fillId="0" borderId="2" xfId="0" applyNumberFormat="1" applyFont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center" wrapText="1"/>
    </xf>
    <xf numFmtId="0" fontId="0" fillId="0" borderId="2" xfId="0" applyBorder="1"/>
    <xf numFmtId="0" fontId="14" fillId="0" borderId="2" xfId="0" applyFont="1" applyBorder="1" applyAlignment="1">
      <alignment horizontal="center" vertical="center"/>
    </xf>
    <xf numFmtId="179" fontId="11" fillId="0" borderId="0" xfId="0" applyNumberFormat="1" applyFont="1" applyBorder="1" applyAlignment="1">
      <alignment horizontal="center" vertical="center" wrapText="1"/>
    </xf>
    <xf numFmtId="179" fontId="12" fillId="0" borderId="0" xfId="0" applyNumberFormat="1" applyFont="1" applyBorder="1" applyAlignment="1">
      <alignment horizontal="center" vertical="center" wrapText="1"/>
    </xf>
    <xf numFmtId="1" fontId="9" fillId="0" borderId="0" xfId="0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179" fontId="15" fillId="0" borderId="0" xfId="0" applyNumberFormat="1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 vertical="center"/>
    </xf>
    <xf numFmtId="2" fontId="16" fillId="0" borderId="0" xfId="0" applyNumberFormat="1" applyFont="1"/>
    <xf numFmtId="0" fontId="6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/>
    <xf numFmtId="1" fontId="7" fillId="0" borderId="0" xfId="0" applyNumberFormat="1" applyFont="1" applyAlignment="1">
      <alignment vertical="center"/>
    </xf>
    <xf numFmtId="0" fontId="1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179" fontId="17" fillId="0" borderId="0" xfId="0" applyNumberFormat="1" applyFont="1" applyAlignment="1">
      <alignment vertical="center"/>
    </xf>
    <xf numFmtId="0" fontId="10" fillId="0" borderId="0" xfId="0" applyFont="1"/>
    <xf numFmtId="2" fontId="17" fillId="0" borderId="0" xfId="0" applyNumberFormat="1" applyFont="1"/>
    <xf numFmtId="2" fontId="17" fillId="0" borderId="0" xfId="0" applyNumberFormat="1" applyFont="1" applyAlignment="1">
      <alignment vertical="center"/>
    </xf>
    <xf numFmtId="0" fontId="15" fillId="0" borderId="0" xfId="1" applyFont="1"/>
    <xf numFmtId="0" fontId="13" fillId="0" borderId="0" xfId="1" applyFont="1" applyAlignment="1">
      <alignment horizontal="center" vertical="center"/>
    </xf>
    <xf numFmtId="0" fontId="13" fillId="0" borderId="0" xfId="1" applyFont="1" applyAlignment="1">
      <alignment horizontal="right"/>
    </xf>
    <xf numFmtId="0" fontId="15" fillId="0" borderId="0" xfId="1" applyFont="1" applyAlignment="1">
      <alignment horizontal="center" vertical="center"/>
    </xf>
    <xf numFmtId="0" fontId="13" fillId="0" borderId="0" xfId="1" applyFont="1"/>
    <xf numFmtId="0" fontId="13" fillId="0" borderId="0" xfId="1" applyFont="1" applyAlignment="1">
      <alignment horizontal="center"/>
    </xf>
    <xf numFmtId="179" fontId="15" fillId="0" borderId="0" xfId="1" applyNumberFormat="1" applyFont="1"/>
    <xf numFmtId="2" fontId="15" fillId="0" borderId="0" xfId="1" applyNumberFormat="1" applyFont="1"/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18" fillId="0" borderId="1" xfId="1" applyFont="1" applyBorder="1"/>
    <xf numFmtId="0" fontId="18" fillId="0" borderId="0" xfId="1" applyFont="1"/>
    <xf numFmtId="0" fontId="19" fillId="0" borderId="1" xfId="1" applyFont="1" applyBorder="1" applyAlignment="1">
      <alignment horizontal="center" vertical="center" wrapText="1"/>
    </xf>
    <xf numFmtId="0" fontId="20" fillId="0" borderId="1" xfId="1" applyFont="1" applyBorder="1" applyAlignment="1">
      <alignment horizontal="center" vertical="center" wrapText="1"/>
    </xf>
    <xf numFmtId="179" fontId="19" fillId="0" borderId="1" xfId="1" applyNumberFormat="1" applyFont="1" applyBorder="1" applyAlignment="1">
      <alignment horizontal="center" vertical="center" wrapText="1"/>
    </xf>
    <xf numFmtId="179" fontId="20" fillId="0" borderId="1" xfId="1" applyNumberFormat="1" applyFont="1" applyBorder="1" applyAlignment="1">
      <alignment horizontal="center" vertical="center" wrapText="1"/>
    </xf>
    <xf numFmtId="179" fontId="21" fillId="0" borderId="1" xfId="1" applyNumberFormat="1" applyFont="1" applyBorder="1" applyAlignment="1">
      <alignment horizontal="center" vertical="center" wrapText="1"/>
    </xf>
    <xf numFmtId="179" fontId="20" fillId="0" borderId="1" xfId="1" applyNumberFormat="1" applyFont="1" applyBorder="1" applyAlignment="1">
      <alignment horizontal="center" vertical="center"/>
    </xf>
    <xf numFmtId="0" fontId="20" fillId="0" borderId="1" xfId="1" applyFont="1" applyBorder="1" applyAlignment="1">
      <alignment horizontal="center" vertical="center"/>
    </xf>
    <xf numFmtId="0" fontId="20" fillId="0" borderId="1" xfId="1" applyFont="1" applyBorder="1"/>
    <xf numFmtId="0" fontId="20" fillId="0" borderId="0" xfId="1" applyFont="1" applyAlignment="1">
      <alignment horizontal="center" vertical="center"/>
    </xf>
    <xf numFmtId="0" fontId="20" fillId="0" borderId="0" xfId="1" applyFont="1"/>
    <xf numFmtId="0" fontId="18" fillId="0" borderId="0" xfId="1" applyFont="1" applyAlignment="1">
      <alignment horizontal="center" vertical="center"/>
    </xf>
    <xf numFmtId="0" fontId="13" fillId="0" borderId="1" xfId="1" applyFont="1" applyBorder="1"/>
    <xf numFmtId="0" fontId="21" fillId="0" borderId="7" xfId="1" applyFont="1" applyBorder="1" applyAlignment="1">
      <alignment horizontal="center" vertical="center" wrapText="1"/>
    </xf>
    <xf numFmtId="179" fontId="21" fillId="0" borderId="5" xfId="1" applyNumberFormat="1" applyFont="1" applyBorder="1" applyAlignment="1">
      <alignment horizontal="center" vertical="center" wrapText="1"/>
    </xf>
    <xf numFmtId="179" fontId="21" fillId="0" borderId="0" xfId="1" applyNumberFormat="1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left"/>
    </xf>
    <xf numFmtId="0" fontId="20" fillId="0" borderId="3" xfId="1" applyFont="1" applyBorder="1" applyAlignment="1">
      <alignment horizontal="left" vertical="center" wrapText="1"/>
    </xf>
    <xf numFmtId="0" fontId="20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C0500BF6-2229-47BC-9E55-F4C34B9055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13</xdr:row>
      <xdr:rowOff>0</xdr:rowOff>
    </xdr:from>
    <xdr:to>
      <xdr:col>19</xdr:col>
      <xdr:colOff>433388</xdr:colOff>
      <xdr:row>79</xdr:row>
      <xdr:rowOff>4763</xdr:rowOff>
    </xdr:to>
    <xdr:pic>
      <xdr:nvPicPr>
        <xdr:cNvPr id="4103" name="Image 5">
          <a:extLst>
            <a:ext uri="{FF2B5EF4-FFF2-40B4-BE49-F238E27FC236}">
              <a16:creationId xmlns:a16="http://schemas.microsoft.com/office/drawing/2014/main" id="{3E92CE5F-CE69-5CA1-50D8-23B6489A58C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" y="2105025"/>
          <a:ext cx="7558088" cy="10691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4BFA2-1867-4A01-A378-A3D78D401FF2}">
  <dimension ref="B3:L35"/>
  <sheetViews>
    <sheetView workbookViewId="0">
      <selection activeCell="L20" sqref="L20"/>
    </sheetView>
  </sheetViews>
  <sheetFormatPr defaultRowHeight="12.75" x14ac:dyDescent="0.35"/>
  <cols>
    <col min="2" max="2" width="23.796875" customWidth="1"/>
    <col min="3" max="3" width="9.06640625" style="32"/>
    <col min="4" max="4" width="15.265625" customWidth="1"/>
    <col min="5" max="5" width="15" customWidth="1"/>
    <col min="6" max="6" width="14.796875" customWidth="1"/>
    <col min="7" max="7" width="6.640625E-2" hidden="1" customWidth="1"/>
    <col min="8" max="8" width="8.19921875" bestFit="1" customWidth="1"/>
    <col min="9" max="9" width="16.86328125" bestFit="1" customWidth="1"/>
    <col min="10" max="10" width="14.53125" bestFit="1" customWidth="1"/>
    <col min="11" max="11" width="19.19921875" bestFit="1" customWidth="1"/>
    <col min="12" max="12" width="8" bestFit="1" customWidth="1"/>
  </cols>
  <sheetData>
    <row r="3" spans="2:12" ht="18" x14ac:dyDescent="0.35">
      <c r="B3" s="41" t="s">
        <v>8</v>
      </c>
      <c r="C3" s="42">
        <v>3000</v>
      </c>
      <c r="D3" s="42">
        <v>3000</v>
      </c>
    </row>
    <row r="4" spans="2:12" ht="18" x14ac:dyDescent="0.35">
      <c r="B4" s="41" t="s">
        <v>40</v>
      </c>
      <c r="C4" s="42">
        <v>14000</v>
      </c>
      <c r="D4" s="42">
        <v>14000</v>
      </c>
    </row>
    <row r="5" spans="2:12" ht="18" x14ac:dyDescent="0.35">
      <c r="B5" s="41" t="s">
        <v>41</v>
      </c>
      <c r="C5" s="42">
        <v>5</v>
      </c>
      <c r="D5" s="42">
        <v>5</v>
      </c>
    </row>
    <row r="6" spans="2:12" ht="18" x14ac:dyDescent="0.45">
      <c r="B6" s="41" t="s">
        <v>49</v>
      </c>
      <c r="C6" s="43">
        <f>C4*C5/555*0.8</f>
        <v>100.90090090090091</v>
      </c>
      <c r="D6" s="44">
        <f>C4*C5*0.00153</f>
        <v>107.1</v>
      </c>
    </row>
    <row r="7" spans="2:12" ht="18" x14ac:dyDescent="0.55000000000000004">
      <c r="B7" s="41" t="s">
        <v>47</v>
      </c>
      <c r="C7" s="43">
        <v>6</v>
      </c>
      <c r="D7" s="45">
        <v>8</v>
      </c>
    </row>
    <row r="8" spans="2:12" ht="18" x14ac:dyDescent="0.35">
      <c r="B8" s="41" t="s">
        <v>46</v>
      </c>
      <c r="C8" s="46">
        <f>C6/C7-1</f>
        <v>15.816816816816818</v>
      </c>
      <c r="D8" s="46">
        <f>D6/D7-1</f>
        <v>12.387499999999999</v>
      </c>
    </row>
    <row r="9" spans="2:12" ht="18.399999999999999" thickBot="1" x14ac:dyDescent="0.4">
      <c r="B9" s="41" t="s">
        <v>48</v>
      </c>
      <c r="C9" s="43">
        <f>C3/C8*0.693</f>
        <v>131.44237706474271</v>
      </c>
      <c r="D9" s="43">
        <f>D3/D8*0.693</f>
        <v>167.83047426841574</v>
      </c>
    </row>
    <row r="10" spans="2:12" ht="41" customHeight="1" thickTop="1" thickBot="1" x14ac:dyDescent="0.4">
      <c r="B10" s="17" t="s">
        <v>0</v>
      </c>
      <c r="C10" s="17" t="s">
        <v>12</v>
      </c>
      <c r="D10" s="17" t="s">
        <v>11</v>
      </c>
      <c r="E10" s="17" t="s">
        <v>10</v>
      </c>
      <c r="F10" s="17" t="s">
        <v>35</v>
      </c>
      <c r="G10" s="18" t="s">
        <v>34</v>
      </c>
      <c r="H10" s="18" t="s">
        <v>1</v>
      </c>
      <c r="I10" s="36" t="s">
        <v>9</v>
      </c>
      <c r="J10" s="35" t="s">
        <v>18</v>
      </c>
      <c r="K10" s="11" t="s">
        <v>22</v>
      </c>
      <c r="L10" s="14" t="s">
        <v>34</v>
      </c>
    </row>
    <row r="11" spans="2:12" ht="27.75" customHeight="1" thickTop="1" thickBot="1" x14ac:dyDescent="0.45">
      <c r="B11" s="19" t="s">
        <v>6</v>
      </c>
      <c r="C11" s="20">
        <v>12</v>
      </c>
      <c r="D11" s="21">
        <f>$C$8*C11*24/1000</f>
        <v>4.5552432432432433</v>
      </c>
      <c r="E11" s="22">
        <f>D11*30</f>
        <v>136.6572972972973</v>
      </c>
      <c r="F11" s="22">
        <f>E11*12</f>
        <v>1639.8875675675677</v>
      </c>
      <c r="G11" s="19">
        <v>140</v>
      </c>
      <c r="H11" s="23">
        <f t="shared" ref="H11:H16" si="0">F11*G11</f>
        <v>229584.25945945948</v>
      </c>
      <c r="I11" s="3">
        <f t="shared" ref="I11:I16" si="1">E11*2</f>
        <v>273.31459459459461</v>
      </c>
      <c r="J11" s="3" t="s">
        <v>16</v>
      </c>
      <c r="K11" s="12" t="s">
        <v>17</v>
      </c>
      <c r="L11" s="13">
        <v>140</v>
      </c>
    </row>
    <row r="12" spans="2:12" ht="33" customHeight="1" thickTop="1" thickBot="1" x14ac:dyDescent="0.45">
      <c r="B12" s="19" t="s">
        <v>14</v>
      </c>
      <c r="C12" s="20">
        <v>35</v>
      </c>
      <c r="D12" s="21">
        <f>$C$8*C12*24/1000</f>
        <v>13.286126126126128</v>
      </c>
      <c r="E12" s="22">
        <f>D12*30</f>
        <v>398.58378378378382</v>
      </c>
      <c r="F12" s="22">
        <f>E12*12</f>
        <v>4783.0054054054053</v>
      </c>
      <c r="G12" s="19">
        <v>192</v>
      </c>
      <c r="H12" s="23">
        <f t="shared" si="0"/>
        <v>918337.03783783782</v>
      </c>
      <c r="I12" s="3">
        <f t="shared" si="1"/>
        <v>797.16756756756763</v>
      </c>
      <c r="J12" s="3" t="s">
        <v>15</v>
      </c>
      <c r="K12" s="12" t="s">
        <v>23</v>
      </c>
      <c r="L12" s="13">
        <v>191.66666666666669</v>
      </c>
    </row>
    <row r="13" spans="2:12" ht="22.5" customHeight="1" thickTop="1" thickBot="1" x14ac:dyDescent="0.45">
      <c r="B13" s="19" t="s">
        <v>2</v>
      </c>
      <c r="C13" s="20">
        <v>5</v>
      </c>
      <c r="D13" s="21">
        <f>$C$8*C13*24/1000</f>
        <v>1.8980180180180179</v>
      </c>
      <c r="E13" s="22">
        <f>D13*30</f>
        <v>56.940540540540539</v>
      </c>
      <c r="F13" s="22">
        <f>E13*12</f>
        <v>683.28648648648641</v>
      </c>
      <c r="G13" s="19">
        <v>178</v>
      </c>
      <c r="H13" s="23">
        <f t="shared" si="0"/>
        <v>121624.99459459458</v>
      </c>
      <c r="I13" s="3">
        <f t="shared" si="1"/>
        <v>113.88108108108108</v>
      </c>
      <c r="J13" s="3" t="s">
        <v>19</v>
      </c>
      <c r="K13" s="12" t="s">
        <v>24</v>
      </c>
      <c r="L13" s="13">
        <v>178</v>
      </c>
    </row>
    <row r="14" spans="2:12" ht="25.5" customHeight="1" thickTop="1" thickBot="1" x14ac:dyDescent="0.45">
      <c r="B14" s="19" t="s">
        <v>3</v>
      </c>
      <c r="C14" s="20">
        <v>4</v>
      </c>
      <c r="D14" s="21">
        <f>$C$8*C14*24/1000</f>
        <v>1.5184144144144145</v>
      </c>
      <c r="E14" s="22">
        <f>D14*30</f>
        <v>45.552432432432433</v>
      </c>
      <c r="F14" s="22">
        <f>E14*12</f>
        <v>546.62918918918922</v>
      </c>
      <c r="G14" s="19">
        <v>171</v>
      </c>
      <c r="H14" s="23">
        <f t="shared" si="0"/>
        <v>93473.591351351351</v>
      </c>
      <c r="I14" s="3">
        <f t="shared" si="1"/>
        <v>91.104864864864865</v>
      </c>
      <c r="J14" s="3" t="s">
        <v>20</v>
      </c>
      <c r="K14" s="12" t="s">
        <v>25</v>
      </c>
      <c r="L14" s="13">
        <v>171.42857142857144</v>
      </c>
    </row>
    <row r="15" spans="2:12" ht="30" customHeight="1" thickTop="1" thickBot="1" x14ac:dyDescent="0.45">
      <c r="B15" s="19" t="s">
        <v>4</v>
      </c>
      <c r="C15" s="20">
        <v>35</v>
      </c>
      <c r="D15" s="21" t="s">
        <v>36</v>
      </c>
      <c r="E15" s="22">
        <f>C15*C3/1000</f>
        <v>105</v>
      </c>
      <c r="F15" s="22">
        <f>E15*6</f>
        <v>630</v>
      </c>
      <c r="G15" s="19">
        <v>156</v>
      </c>
      <c r="H15" s="23">
        <f t="shared" si="0"/>
        <v>98280</v>
      </c>
      <c r="I15" s="3">
        <f t="shared" si="1"/>
        <v>210</v>
      </c>
      <c r="J15" s="3"/>
      <c r="K15" s="12" t="s">
        <v>26</v>
      </c>
      <c r="L15" s="13">
        <v>156</v>
      </c>
    </row>
    <row r="16" spans="2:12" ht="24" customHeight="1" thickTop="1" thickBot="1" x14ac:dyDescent="0.45">
      <c r="B16" s="20" t="s">
        <v>13</v>
      </c>
      <c r="C16" s="20">
        <v>30</v>
      </c>
      <c r="D16" s="21" t="s">
        <v>37</v>
      </c>
      <c r="E16" s="22">
        <f>C3*C16/1000</f>
        <v>90</v>
      </c>
      <c r="F16" s="22">
        <f>E16*6</f>
        <v>540</v>
      </c>
      <c r="G16" s="19">
        <v>180</v>
      </c>
      <c r="H16" s="23">
        <f t="shared" si="0"/>
        <v>97200</v>
      </c>
      <c r="I16" s="3">
        <f t="shared" si="1"/>
        <v>180</v>
      </c>
      <c r="J16" s="3" t="s">
        <v>21</v>
      </c>
      <c r="K16" s="12" t="s">
        <v>17</v>
      </c>
      <c r="L16" s="13">
        <v>180</v>
      </c>
    </row>
    <row r="17" spans="2:12" ht="24" hidden="1" customHeight="1" thickTop="1" thickBot="1" x14ac:dyDescent="0.45">
      <c r="B17" s="20" t="s">
        <v>39</v>
      </c>
      <c r="C17" s="20">
        <v>4</v>
      </c>
      <c r="D17" s="21">
        <f>$C$8*C17*24/1000</f>
        <v>1.5184144144144145</v>
      </c>
      <c r="E17" s="22">
        <f>D17*30</f>
        <v>45.552432432432433</v>
      </c>
      <c r="F17" s="22">
        <f>E17*12</f>
        <v>546.62918918918922</v>
      </c>
      <c r="G17" s="19">
        <v>350</v>
      </c>
      <c r="H17" s="23">
        <f>F17*G17</f>
        <v>191320.21621621621</v>
      </c>
      <c r="I17" s="26"/>
      <c r="J17" s="26"/>
      <c r="K17" s="27"/>
      <c r="L17" s="28"/>
    </row>
    <row r="18" spans="2:12" ht="20.25" customHeight="1" thickTop="1" thickBot="1" x14ac:dyDescent="0.4">
      <c r="B18" s="24"/>
      <c r="C18" s="31"/>
      <c r="D18" s="24"/>
      <c r="E18" s="24"/>
      <c r="F18" s="24"/>
      <c r="G18" s="25" t="s">
        <v>38</v>
      </c>
      <c r="H18" s="23">
        <f>SUM(H11:H16)</f>
        <v>1558499.8832432432</v>
      </c>
    </row>
    <row r="19" spans="2:12" ht="13.15" thickTop="1" x14ac:dyDescent="0.35">
      <c r="E19">
        <f>2100*40/1000</f>
        <v>84</v>
      </c>
    </row>
    <row r="20" spans="2:12" ht="17.25" customHeight="1" x14ac:dyDescent="0.35">
      <c r="D20" s="1" t="s">
        <v>7</v>
      </c>
      <c r="E20">
        <f>14*3</f>
        <v>42</v>
      </c>
      <c r="H20">
        <f>H18/12</f>
        <v>129874.99027027027</v>
      </c>
    </row>
    <row r="21" spans="2:12" ht="18.75" customHeight="1" thickBot="1" x14ac:dyDescent="0.4"/>
    <row r="22" spans="2:12" ht="43.15" thickBot="1" x14ac:dyDescent="0.4">
      <c r="G22" s="8" t="s">
        <v>33</v>
      </c>
      <c r="H22" s="15"/>
      <c r="I22" s="2" t="s">
        <v>0</v>
      </c>
      <c r="J22" s="4" t="s">
        <v>22</v>
      </c>
    </row>
    <row r="23" spans="2:12" ht="16.149999999999999" thickBot="1" x14ac:dyDescent="0.45">
      <c r="G23" s="9" t="s">
        <v>32</v>
      </c>
      <c r="H23" s="16"/>
      <c r="I23" s="6" t="s">
        <v>6</v>
      </c>
      <c r="J23" s="5" t="s">
        <v>17</v>
      </c>
    </row>
    <row r="24" spans="2:12" ht="16.149999999999999" thickBot="1" x14ac:dyDescent="0.45">
      <c r="G24" s="9" t="s">
        <v>30</v>
      </c>
      <c r="H24" s="16"/>
      <c r="I24" s="6" t="s">
        <v>14</v>
      </c>
      <c r="J24" s="5" t="s">
        <v>23</v>
      </c>
    </row>
    <row r="25" spans="2:12" ht="16.149999999999999" thickBot="1" x14ac:dyDescent="0.45">
      <c r="G25" s="9" t="s">
        <v>29</v>
      </c>
      <c r="H25" s="16"/>
      <c r="I25" s="6" t="s">
        <v>2</v>
      </c>
      <c r="J25" s="5" t="s">
        <v>24</v>
      </c>
    </row>
    <row r="26" spans="2:12" ht="16.149999999999999" thickBot="1" x14ac:dyDescent="0.45">
      <c r="G26" s="9" t="s">
        <v>28</v>
      </c>
      <c r="H26" s="16"/>
      <c r="I26" s="6" t="s">
        <v>3</v>
      </c>
      <c r="J26" s="5" t="s">
        <v>25</v>
      </c>
    </row>
    <row r="27" spans="2:12" ht="16.149999999999999" thickBot="1" x14ac:dyDescent="0.45">
      <c r="G27" s="9" t="s">
        <v>27</v>
      </c>
      <c r="H27" s="16"/>
      <c r="I27" s="6" t="s">
        <v>4</v>
      </c>
      <c r="J27" s="5" t="s">
        <v>26</v>
      </c>
    </row>
    <row r="28" spans="2:12" ht="16.149999999999999" thickBot="1" x14ac:dyDescent="0.45">
      <c r="G28" s="9" t="s">
        <v>31</v>
      </c>
      <c r="H28" s="16"/>
      <c r="I28" s="7" t="s">
        <v>13</v>
      </c>
      <c r="J28" s="5" t="s">
        <v>17</v>
      </c>
    </row>
    <row r="31" spans="2:12" x14ac:dyDescent="0.35">
      <c r="I31">
        <v>30</v>
      </c>
    </row>
    <row r="32" spans="2:12" x14ac:dyDescent="0.35">
      <c r="D32" t="s">
        <v>44</v>
      </c>
      <c r="I32">
        <v>11130</v>
      </c>
    </row>
    <row r="33" spans="2:5" ht="14.25" x14ac:dyDescent="0.35">
      <c r="B33" s="10"/>
      <c r="C33" s="40" t="s">
        <v>45</v>
      </c>
      <c r="D33" s="37">
        <f>100*3000/1000*2</f>
        <v>600</v>
      </c>
      <c r="E33" s="38">
        <f>500/0.85</f>
        <v>588.23529411764707</v>
      </c>
    </row>
    <row r="35" spans="2:5" ht="13.15" x14ac:dyDescent="0.35">
      <c r="E35" s="39">
        <f>D33*E33</f>
        <v>352941.17647058825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D4644-CB95-40CC-9F80-6628A9D85E71}">
  <dimension ref="B3:L29"/>
  <sheetViews>
    <sheetView workbookViewId="0">
      <selection activeCell="C4" sqref="C4"/>
    </sheetView>
  </sheetViews>
  <sheetFormatPr defaultRowHeight="12.75" x14ac:dyDescent="0.35"/>
  <cols>
    <col min="2" max="2" width="23.796875" customWidth="1"/>
    <col min="3" max="3" width="9.06640625" style="32"/>
    <col min="4" max="4" width="15.265625" customWidth="1"/>
    <col min="5" max="6" width="15" customWidth="1"/>
    <col min="7" max="8" width="13.33203125" customWidth="1"/>
    <col min="9" max="9" width="19.53125" customWidth="1"/>
    <col min="10" max="10" width="15.19921875" customWidth="1"/>
    <col min="11" max="11" width="9.33203125" customWidth="1"/>
  </cols>
  <sheetData>
    <row r="3" spans="2:12" ht="13.15" x14ac:dyDescent="0.4">
      <c r="B3" s="33" t="s">
        <v>8</v>
      </c>
      <c r="C3" s="29">
        <v>2000</v>
      </c>
    </row>
    <row r="4" spans="2:12" ht="13.15" x14ac:dyDescent="0.4">
      <c r="B4" s="33" t="s">
        <v>40</v>
      </c>
      <c r="C4" s="29">
        <v>6000</v>
      </c>
    </row>
    <row r="5" spans="2:12" ht="13.15" x14ac:dyDescent="0.4">
      <c r="B5" s="33" t="s">
        <v>41</v>
      </c>
      <c r="C5" s="29">
        <v>4</v>
      </c>
    </row>
    <row r="6" spans="2:12" ht="13.5" thickBot="1" x14ac:dyDescent="0.45">
      <c r="C6" s="30">
        <f>C4*C5/555*0.8</f>
        <v>34.594594594594597</v>
      </c>
      <c r="D6" s="34">
        <f>C6/5</f>
        <v>6.9189189189189193</v>
      </c>
    </row>
    <row r="7" spans="2:12" ht="41" customHeight="1" thickTop="1" thickBot="1" x14ac:dyDescent="0.4">
      <c r="B7" s="17" t="s">
        <v>0</v>
      </c>
      <c r="C7" s="17" t="s">
        <v>12</v>
      </c>
      <c r="D7" s="17" t="s">
        <v>11</v>
      </c>
      <c r="E7" s="17" t="s">
        <v>10</v>
      </c>
      <c r="F7" s="17" t="s">
        <v>35</v>
      </c>
      <c r="G7" s="18" t="s">
        <v>34</v>
      </c>
      <c r="H7" s="18" t="s">
        <v>1</v>
      </c>
      <c r="I7" s="36" t="s">
        <v>9</v>
      </c>
      <c r="J7" s="35" t="s">
        <v>18</v>
      </c>
      <c r="K7" s="11" t="s">
        <v>22</v>
      </c>
      <c r="L7" s="14" t="s">
        <v>34</v>
      </c>
    </row>
    <row r="8" spans="2:12" ht="27.75" customHeight="1" thickTop="1" thickBot="1" x14ac:dyDescent="0.45">
      <c r="B8" s="19" t="s">
        <v>6</v>
      </c>
      <c r="C8" s="20">
        <v>12</v>
      </c>
      <c r="D8" s="21">
        <f>$D$6*C8*24/1000</f>
        <v>1.9926486486486488</v>
      </c>
      <c r="E8" s="22">
        <f>D8*30</f>
        <v>59.77945945945946</v>
      </c>
      <c r="F8" s="22">
        <f>E8*12</f>
        <v>717.35351351351346</v>
      </c>
      <c r="G8" s="19">
        <v>140</v>
      </c>
      <c r="H8" s="23">
        <f t="shared" ref="H8:H13" si="0">F8*G8</f>
        <v>100429.49189189188</v>
      </c>
      <c r="I8" s="3">
        <f t="shared" ref="I8:I13" si="1">E8*2</f>
        <v>119.55891891891892</v>
      </c>
      <c r="J8" s="3" t="s">
        <v>16</v>
      </c>
      <c r="K8" s="12" t="s">
        <v>17</v>
      </c>
      <c r="L8" s="13">
        <v>140</v>
      </c>
    </row>
    <row r="9" spans="2:12" ht="33" customHeight="1" thickTop="1" thickBot="1" x14ac:dyDescent="0.45">
      <c r="B9" s="19" t="s">
        <v>14</v>
      </c>
      <c r="C9" s="20">
        <v>60</v>
      </c>
      <c r="D9" s="21">
        <f>$D$6*C9*24/1000</f>
        <v>9.9632432432432427</v>
      </c>
      <c r="E9" s="22">
        <f>D9*30</f>
        <v>298.89729729729726</v>
      </c>
      <c r="F9" s="22">
        <f>E9*12</f>
        <v>3586.7675675675673</v>
      </c>
      <c r="G9" s="19">
        <v>192</v>
      </c>
      <c r="H9" s="23">
        <f t="shared" si="0"/>
        <v>688659.37297297292</v>
      </c>
      <c r="I9" s="3">
        <f t="shared" si="1"/>
        <v>597.79459459459451</v>
      </c>
      <c r="J9" s="3" t="s">
        <v>15</v>
      </c>
      <c r="K9" s="12" t="s">
        <v>23</v>
      </c>
      <c r="L9" s="13">
        <v>191.66666666666669</v>
      </c>
    </row>
    <row r="10" spans="2:12" ht="22.5" customHeight="1" thickTop="1" thickBot="1" x14ac:dyDescent="0.45">
      <c r="B10" s="19" t="s">
        <v>2</v>
      </c>
      <c r="C10" s="20">
        <v>12</v>
      </c>
      <c r="D10" s="21">
        <f>$D$6*C10*24/1000</f>
        <v>1.9926486486486488</v>
      </c>
      <c r="E10" s="22">
        <f>D10*30</f>
        <v>59.77945945945946</v>
      </c>
      <c r="F10" s="22">
        <f>E10*12</f>
        <v>717.35351351351346</v>
      </c>
      <c r="G10" s="19">
        <v>178</v>
      </c>
      <c r="H10" s="23">
        <f t="shared" si="0"/>
        <v>127688.9254054054</v>
      </c>
      <c r="I10" s="3">
        <f t="shared" si="1"/>
        <v>119.55891891891892</v>
      </c>
      <c r="J10" s="3" t="s">
        <v>19</v>
      </c>
      <c r="K10" s="12" t="s">
        <v>24</v>
      </c>
      <c r="L10" s="13">
        <v>178</v>
      </c>
    </row>
    <row r="11" spans="2:12" ht="25.5" customHeight="1" thickTop="1" thickBot="1" x14ac:dyDescent="0.45">
      <c r="B11" s="19" t="s">
        <v>3</v>
      </c>
      <c r="C11" s="20">
        <v>6</v>
      </c>
      <c r="D11" s="21">
        <f>$D$6*C11*24/1000</f>
        <v>0.99632432432432438</v>
      </c>
      <c r="E11" s="22">
        <f>D11*30</f>
        <v>29.88972972972973</v>
      </c>
      <c r="F11" s="22">
        <f>E11*12</f>
        <v>358.67675675675673</v>
      </c>
      <c r="G11" s="19">
        <v>171</v>
      </c>
      <c r="H11" s="23">
        <f t="shared" si="0"/>
        <v>61333.725405405399</v>
      </c>
      <c r="I11" s="3">
        <f t="shared" si="1"/>
        <v>59.77945945945946</v>
      </c>
      <c r="J11" s="3" t="s">
        <v>20</v>
      </c>
      <c r="K11" s="12" t="s">
        <v>25</v>
      </c>
      <c r="L11" s="13">
        <v>171.42857142857144</v>
      </c>
    </row>
    <row r="12" spans="2:12" ht="30" customHeight="1" thickTop="1" thickBot="1" x14ac:dyDescent="0.45">
      <c r="B12" s="19" t="s">
        <v>4</v>
      </c>
      <c r="C12" s="20">
        <v>35</v>
      </c>
      <c r="D12" s="21" t="s">
        <v>42</v>
      </c>
      <c r="E12" s="22">
        <f>C12*C3/1000</f>
        <v>70</v>
      </c>
      <c r="F12" s="22">
        <f>E12*6</f>
        <v>420</v>
      </c>
      <c r="G12" s="19">
        <v>156</v>
      </c>
      <c r="H12" s="23">
        <f t="shared" si="0"/>
        <v>65520</v>
      </c>
      <c r="I12" s="3">
        <f t="shared" si="1"/>
        <v>140</v>
      </c>
      <c r="J12" s="3"/>
      <c r="K12" s="12" t="s">
        <v>26</v>
      </c>
      <c r="L12" s="13">
        <v>156</v>
      </c>
    </row>
    <row r="13" spans="2:12" ht="24" customHeight="1" thickTop="1" thickBot="1" x14ac:dyDescent="0.45">
      <c r="B13" s="20" t="s">
        <v>5</v>
      </c>
      <c r="C13" s="20">
        <v>35</v>
      </c>
      <c r="D13" s="21" t="s">
        <v>43</v>
      </c>
      <c r="E13" s="22">
        <f>C3*C13/1000</f>
        <v>70</v>
      </c>
      <c r="F13" s="22">
        <f>E13*6</f>
        <v>420</v>
      </c>
      <c r="G13" s="19">
        <v>180</v>
      </c>
      <c r="H13" s="23">
        <f t="shared" si="0"/>
        <v>75600</v>
      </c>
      <c r="I13" s="3">
        <f t="shared" si="1"/>
        <v>140</v>
      </c>
      <c r="J13" s="3" t="s">
        <v>21</v>
      </c>
      <c r="K13" s="12" t="s">
        <v>17</v>
      </c>
      <c r="L13" s="13">
        <v>180</v>
      </c>
    </row>
    <row r="14" spans="2:12" ht="20.25" customHeight="1" thickTop="1" thickBot="1" x14ac:dyDescent="0.4">
      <c r="B14" s="24"/>
      <c r="C14" s="31"/>
      <c r="D14" s="24"/>
      <c r="E14" s="24"/>
      <c r="F14" s="24"/>
      <c r="G14" s="25" t="s">
        <v>38</v>
      </c>
      <c r="H14" s="23">
        <f>SUM(H8:H13)</f>
        <v>1119231.5156756756</v>
      </c>
    </row>
    <row r="15" spans="2:12" ht="13.15" thickTop="1" x14ac:dyDescent="0.35">
      <c r="E15">
        <f>2100*40/1000</f>
        <v>84</v>
      </c>
    </row>
    <row r="16" spans="2:12" ht="17.25" customHeight="1" x14ac:dyDescent="0.35">
      <c r="D16" s="1" t="s">
        <v>7</v>
      </c>
      <c r="E16">
        <f>14*3</f>
        <v>42</v>
      </c>
    </row>
    <row r="17" spans="2:10" ht="18.75" customHeight="1" thickBot="1" x14ac:dyDescent="0.4"/>
    <row r="18" spans="2:10" ht="43.15" thickBot="1" x14ac:dyDescent="0.4">
      <c r="G18" s="8" t="s">
        <v>33</v>
      </c>
      <c r="H18" s="15"/>
      <c r="I18" s="2" t="s">
        <v>0</v>
      </c>
      <c r="J18" s="4" t="s">
        <v>22</v>
      </c>
    </row>
    <row r="19" spans="2:10" ht="16.149999999999999" thickBot="1" x14ac:dyDescent="0.45">
      <c r="G19" s="9" t="s">
        <v>32</v>
      </c>
      <c r="H19" s="16"/>
      <c r="I19" s="6" t="s">
        <v>6</v>
      </c>
      <c r="J19" s="5" t="s">
        <v>17</v>
      </c>
    </row>
    <row r="20" spans="2:10" ht="16.149999999999999" thickBot="1" x14ac:dyDescent="0.45">
      <c r="G20" s="9" t="s">
        <v>30</v>
      </c>
      <c r="H20" s="16"/>
      <c r="I20" s="6" t="s">
        <v>14</v>
      </c>
      <c r="J20" s="5" t="s">
        <v>23</v>
      </c>
    </row>
    <row r="21" spans="2:10" ht="16.149999999999999" thickBot="1" x14ac:dyDescent="0.45">
      <c r="G21" s="9" t="s">
        <v>29</v>
      </c>
      <c r="H21" s="16"/>
      <c r="I21" s="6" t="s">
        <v>2</v>
      </c>
      <c r="J21" s="5" t="s">
        <v>24</v>
      </c>
    </row>
    <row r="22" spans="2:10" ht="16.149999999999999" thickBot="1" x14ac:dyDescent="0.45">
      <c r="G22" s="9" t="s">
        <v>28</v>
      </c>
      <c r="H22" s="16"/>
      <c r="I22" s="6" t="s">
        <v>3</v>
      </c>
      <c r="J22" s="5" t="s">
        <v>25</v>
      </c>
    </row>
    <row r="23" spans="2:10" ht="16.149999999999999" thickBot="1" x14ac:dyDescent="0.45">
      <c r="G23" s="9" t="s">
        <v>27</v>
      </c>
      <c r="H23" s="16"/>
      <c r="I23" s="6" t="s">
        <v>4</v>
      </c>
      <c r="J23" s="5" t="s">
        <v>26</v>
      </c>
    </row>
    <row r="24" spans="2:10" ht="16.149999999999999" thickBot="1" x14ac:dyDescent="0.45">
      <c r="G24" s="9" t="s">
        <v>31</v>
      </c>
      <c r="H24" s="16"/>
      <c r="I24" s="7" t="s">
        <v>13</v>
      </c>
      <c r="J24" s="5" t="s">
        <v>17</v>
      </c>
    </row>
    <row r="27" spans="2:10" x14ac:dyDescent="0.35">
      <c r="I27">
        <v>30</v>
      </c>
    </row>
    <row r="28" spans="2:10" x14ac:dyDescent="0.35">
      <c r="I28">
        <v>11130</v>
      </c>
    </row>
    <row r="29" spans="2:10" ht="14.25" x14ac:dyDescent="0.35">
      <c r="B29" s="10"/>
    </row>
  </sheetData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5539A-A3DA-41BC-92CA-1DB2188E02B1}">
  <dimension ref="D5:H12"/>
  <sheetViews>
    <sheetView workbookViewId="0">
      <selection activeCell="H13" sqref="H13"/>
    </sheetView>
  </sheetViews>
  <sheetFormatPr defaultRowHeight="12.75" x14ac:dyDescent="0.35"/>
  <sheetData>
    <row r="5" spans="4:8" x14ac:dyDescent="0.35">
      <c r="E5" s="74" t="s">
        <v>0</v>
      </c>
      <c r="F5" s="74" t="s">
        <v>79</v>
      </c>
    </row>
    <row r="6" spans="4:8" x14ac:dyDescent="0.35">
      <c r="D6" s="74" t="s">
        <v>78</v>
      </c>
      <c r="E6" s="74" t="s">
        <v>74</v>
      </c>
      <c r="F6">
        <v>12</v>
      </c>
      <c r="G6" s="74" t="s">
        <v>80</v>
      </c>
    </row>
    <row r="7" spans="4:8" x14ac:dyDescent="0.35">
      <c r="D7" s="74" t="s">
        <v>78</v>
      </c>
      <c r="E7" s="74" t="s">
        <v>75</v>
      </c>
      <c r="F7">
        <v>2</v>
      </c>
      <c r="G7" s="74" t="s">
        <v>80</v>
      </c>
    </row>
    <row r="8" spans="4:8" x14ac:dyDescent="0.35">
      <c r="D8" s="74" t="s">
        <v>78</v>
      </c>
      <c r="E8" s="74" t="s">
        <v>76</v>
      </c>
      <c r="F8">
        <v>2</v>
      </c>
      <c r="G8" s="74" t="s">
        <v>80</v>
      </c>
    </row>
    <row r="9" spans="4:8" x14ac:dyDescent="0.35">
      <c r="D9" s="74" t="s">
        <v>78</v>
      </c>
      <c r="E9" s="74" t="s">
        <v>77</v>
      </c>
      <c r="F9">
        <v>1.8</v>
      </c>
      <c r="G9" s="74" t="s">
        <v>80</v>
      </c>
    </row>
    <row r="10" spans="4:8" x14ac:dyDescent="0.35">
      <c r="D10" s="74" t="s">
        <v>78</v>
      </c>
      <c r="E10" s="75">
        <v>3331</v>
      </c>
      <c r="F10">
        <v>75</v>
      </c>
      <c r="G10" s="74" t="s">
        <v>81</v>
      </c>
      <c r="H10" s="74" t="s">
        <v>83</v>
      </c>
    </row>
    <row r="11" spans="4:8" x14ac:dyDescent="0.35">
      <c r="D11" s="74" t="s">
        <v>78</v>
      </c>
      <c r="E11" s="75">
        <v>3500</v>
      </c>
      <c r="F11">
        <v>50</v>
      </c>
      <c r="G11" s="74" t="s">
        <v>82</v>
      </c>
      <c r="H11" s="74" t="s">
        <v>83</v>
      </c>
    </row>
    <row r="12" spans="4:8" x14ac:dyDescent="0.35">
      <c r="D12" s="74" t="s">
        <v>78</v>
      </c>
      <c r="E12" s="75">
        <v>399</v>
      </c>
      <c r="F12">
        <v>50</v>
      </c>
      <c r="G12" s="74" t="s">
        <v>81</v>
      </c>
      <c r="H12" s="74" t="s">
        <v>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67EB-4966-46F8-B244-7AAB2C33E1AF}">
  <dimension ref="D2:Q20"/>
  <sheetViews>
    <sheetView tabSelected="1" workbookViewId="0">
      <selection activeCell="U6" sqref="U6"/>
    </sheetView>
  </sheetViews>
  <sheetFormatPr defaultColWidth="8.73046875" defaultRowHeight="13.15" x14ac:dyDescent="0.4"/>
  <cols>
    <col min="1" max="3" width="8.73046875" style="47"/>
    <col min="4" max="4" width="23.796875" style="47" customWidth="1"/>
    <col min="5" max="5" width="8.73046875" style="47"/>
    <col min="6" max="6" width="15.265625" style="47" customWidth="1"/>
    <col min="7" max="7" width="15" style="47" customWidth="1"/>
    <col min="8" max="8" width="17.9296875" style="47" hidden="1" customWidth="1"/>
    <col min="9" max="9" width="19.53125" style="47" hidden="1" customWidth="1"/>
    <col min="10" max="10" width="15.19921875" style="47" hidden="1" customWidth="1"/>
    <col min="11" max="11" width="11.53125" style="47" customWidth="1"/>
    <col min="12" max="12" width="8.73046875" style="47" customWidth="1"/>
    <col min="13" max="13" width="8.73046875" style="47"/>
    <col min="14" max="14" width="10.3984375" style="47" customWidth="1"/>
    <col min="15" max="15" width="0.33203125" style="47" hidden="1" customWidth="1"/>
    <col min="16" max="16" width="8.73046875" style="47" hidden="1" customWidth="1"/>
    <col min="17" max="17" width="12.46484375" style="47" hidden="1" customWidth="1"/>
    <col min="18" max="16384" width="8.73046875" style="47"/>
  </cols>
  <sheetData>
    <row r="2" spans="4:17" x14ac:dyDescent="0.4">
      <c r="E2" s="48" t="s">
        <v>50</v>
      </c>
      <c r="F2" s="49" t="s">
        <v>51</v>
      </c>
    </row>
    <row r="3" spans="4:17" x14ac:dyDescent="0.4">
      <c r="D3" s="50" t="s">
        <v>8</v>
      </c>
      <c r="E3" s="47">
        <v>2200</v>
      </c>
      <c r="F3" s="47">
        <v>2200</v>
      </c>
    </row>
    <row r="4" spans="4:17" x14ac:dyDescent="0.4">
      <c r="D4" s="50" t="s">
        <v>40</v>
      </c>
      <c r="E4" s="47">
        <v>6000</v>
      </c>
      <c r="F4" s="51">
        <v>11000</v>
      </c>
    </row>
    <row r="5" spans="4:17" x14ac:dyDescent="0.4">
      <c r="D5" s="50" t="s">
        <v>52</v>
      </c>
      <c r="E5" s="47">
        <v>4</v>
      </c>
      <c r="F5" s="47">
        <v>8</v>
      </c>
      <c r="G5" s="52" t="s">
        <v>51</v>
      </c>
    </row>
    <row r="6" spans="4:17" x14ac:dyDescent="0.4">
      <c r="D6" s="50" t="s">
        <v>53</v>
      </c>
      <c r="E6" s="53">
        <f>E4*E5/555*0.8</f>
        <v>34.594594594594597</v>
      </c>
      <c r="F6" s="54">
        <f>E6/3</f>
        <v>11.531531531531533</v>
      </c>
      <c r="G6" s="50" t="s">
        <v>54</v>
      </c>
    </row>
    <row r="7" spans="4:17" s="58" customFormat="1" ht="41" customHeight="1" x14ac:dyDescent="0.5">
      <c r="D7" s="55" t="s">
        <v>0</v>
      </c>
      <c r="E7" s="55" t="s">
        <v>12</v>
      </c>
      <c r="F7" s="55" t="s">
        <v>55</v>
      </c>
      <c r="G7" s="55" t="s">
        <v>56</v>
      </c>
      <c r="H7" s="55" t="s">
        <v>57</v>
      </c>
      <c r="I7" s="55" t="s">
        <v>18</v>
      </c>
      <c r="J7" s="55" t="s">
        <v>22</v>
      </c>
      <c r="K7" s="55" t="s">
        <v>58</v>
      </c>
      <c r="L7" s="56"/>
      <c r="M7" s="55"/>
      <c r="N7" s="55"/>
      <c r="O7" s="56" t="s">
        <v>59</v>
      </c>
      <c r="P7" s="57"/>
      <c r="Q7" s="56" t="s">
        <v>60</v>
      </c>
    </row>
    <row r="8" spans="4:17" ht="27.75" customHeight="1" x14ac:dyDescent="0.4">
      <c r="D8" s="59" t="s">
        <v>61</v>
      </c>
      <c r="E8" s="60">
        <v>50</v>
      </c>
      <c r="F8" s="61">
        <f>$F$6*E8*24/1000</f>
        <v>13.837837837837839</v>
      </c>
      <c r="G8" s="62">
        <f>F8*30</f>
        <v>415.13513513513516</v>
      </c>
      <c r="H8" s="61">
        <v>1400</v>
      </c>
      <c r="I8" s="61">
        <f>E3*50*2/1000</f>
        <v>220</v>
      </c>
      <c r="J8" s="63" t="s">
        <v>62</v>
      </c>
      <c r="K8" s="63">
        <f>G8*12</f>
        <v>4981.6216216216217</v>
      </c>
      <c r="L8" s="64"/>
      <c r="M8" s="65"/>
      <c r="N8" s="65"/>
      <c r="O8" s="65">
        <v>83</v>
      </c>
      <c r="P8" s="65">
        <f t="shared" ref="P8:P14" si="0">G8*O8</f>
        <v>34456.21621621622</v>
      </c>
      <c r="Q8" s="65">
        <f t="shared" ref="Q8:Q14" si="1">H8*L8</f>
        <v>0</v>
      </c>
    </row>
    <row r="9" spans="4:17" ht="27" customHeight="1" x14ac:dyDescent="0.4">
      <c r="D9" s="59" t="s">
        <v>73</v>
      </c>
      <c r="E9" s="60">
        <v>30</v>
      </c>
      <c r="F9" s="61">
        <f>$F$6*E9*24/1000</f>
        <v>8.3027027027027032</v>
      </c>
      <c r="G9" s="62">
        <f>F9*30</f>
        <v>249.08108108108109</v>
      </c>
      <c r="H9" s="61">
        <v>1050</v>
      </c>
      <c r="I9" s="61">
        <f>E3*20*2/1000</f>
        <v>88</v>
      </c>
      <c r="J9" s="63" t="s">
        <v>63</v>
      </c>
      <c r="K9" s="63">
        <f>G9*12</f>
        <v>2988.9729729729734</v>
      </c>
      <c r="L9" s="64"/>
      <c r="M9" s="65"/>
      <c r="N9" s="65"/>
      <c r="O9" s="65">
        <v>186</v>
      </c>
      <c r="P9" s="65">
        <f t="shared" si="0"/>
        <v>46329.081081081087</v>
      </c>
      <c r="Q9" s="65">
        <f t="shared" si="1"/>
        <v>0</v>
      </c>
    </row>
    <row r="10" spans="4:17" ht="22.5" customHeight="1" x14ac:dyDescent="0.4">
      <c r="D10" s="59" t="s">
        <v>64</v>
      </c>
      <c r="E10" s="60">
        <v>2</v>
      </c>
      <c r="F10" s="61">
        <f>$F$6*E10*24/1000</f>
        <v>0.55351351351351352</v>
      </c>
      <c r="G10" s="62">
        <f>F10*30</f>
        <v>16.605405405405406</v>
      </c>
      <c r="H10" s="61">
        <v>70</v>
      </c>
      <c r="I10" s="61">
        <f>E3*3*2/1000</f>
        <v>13.2</v>
      </c>
      <c r="J10" s="63" t="s">
        <v>21</v>
      </c>
      <c r="K10" s="63">
        <f>G10*12</f>
        <v>199.26486486486488</v>
      </c>
      <c r="L10" s="64"/>
      <c r="M10" s="65"/>
      <c r="N10" s="65"/>
      <c r="O10" s="65">
        <v>98</v>
      </c>
      <c r="P10" s="65">
        <f t="shared" si="0"/>
        <v>1627.3297297297299</v>
      </c>
      <c r="Q10" s="65">
        <f t="shared" si="1"/>
        <v>0</v>
      </c>
    </row>
    <row r="11" spans="4:17" ht="25.5" customHeight="1" x14ac:dyDescent="0.4">
      <c r="D11" s="59" t="s">
        <v>65</v>
      </c>
      <c r="E11" s="60">
        <v>4</v>
      </c>
      <c r="F11" s="61">
        <f>$F$6*E11*24/1000</f>
        <v>1.107027027027027</v>
      </c>
      <c r="G11" s="62">
        <f>F11*30</f>
        <v>33.210810810810813</v>
      </c>
      <c r="H11" s="61">
        <v>150</v>
      </c>
      <c r="I11" s="61">
        <f>E6*20*2/1000</f>
        <v>1.3837837837837836</v>
      </c>
      <c r="J11" s="63" t="s">
        <v>16</v>
      </c>
      <c r="K11" s="63">
        <f>G11*12</f>
        <v>398.52972972972975</v>
      </c>
      <c r="L11" s="64"/>
      <c r="M11" s="65"/>
      <c r="N11" s="65"/>
      <c r="O11" s="65">
        <v>121</v>
      </c>
      <c r="P11" s="65">
        <f t="shared" si="0"/>
        <v>4018.5081081081084</v>
      </c>
      <c r="Q11" s="65">
        <f t="shared" si="1"/>
        <v>0</v>
      </c>
    </row>
    <row r="12" spans="4:17" ht="24.5" customHeight="1" x14ac:dyDescent="0.4">
      <c r="D12" s="59" t="s">
        <v>66</v>
      </c>
      <c r="E12" s="60">
        <v>30</v>
      </c>
      <c r="F12" s="61" t="s">
        <v>67</v>
      </c>
      <c r="G12" s="62">
        <f>E12*E3/1000</f>
        <v>66</v>
      </c>
      <c r="H12" s="61">
        <v>150</v>
      </c>
      <c r="I12" s="61">
        <f>E3*20*2/1000</f>
        <v>88</v>
      </c>
      <c r="J12" s="63" t="s">
        <v>68</v>
      </c>
      <c r="K12" s="63">
        <f>G12*6</f>
        <v>396</v>
      </c>
      <c r="L12" s="64"/>
      <c r="M12" s="65"/>
      <c r="N12" s="65"/>
      <c r="O12" s="65">
        <v>202</v>
      </c>
      <c r="P12" s="65">
        <f t="shared" si="0"/>
        <v>13332</v>
      </c>
      <c r="Q12" s="65">
        <f t="shared" si="1"/>
        <v>0</v>
      </c>
    </row>
    <row r="13" spans="4:17" ht="24.5" customHeight="1" x14ac:dyDescent="0.4">
      <c r="D13" s="59" t="s">
        <v>69</v>
      </c>
      <c r="E13" s="60"/>
      <c r="F13" s="61"/>
      <c r="G13" s="62" t="s">
        <v>70</v>
      </c>
      <c r="H13" s="61"/>
      <c r="I13" s="61"/>
      <c r="J13" s="63"/>
      <c r="K13" s="63"/>
      <c r="L13" s="64"/>
      <c r="M13" s="65"/>
      <c r="N13" s="65"/>
      <c r="O13" s="65"/>
      <c r="P13" s="65"/>
      <c r="Q13" s="65"/>
    </row>
    <row r="14" spans="4:17" ht="24" customHeight="1" x14ac:dyDescent="0.4">
      <c r="D14" s="60" t="s">
        <v>84</v>
      </c>
      <c r="E14" s="60">
        <v>30</v>
      </c>
      <c r="F14" s="61" t="s">
        <v>85</v>
      </c>
      <c r="G14" s="62">
        <f>E14*E3/1000</f>
        <v>66</v>
      </c>
      <c r="H14" s="61">
        <v>150</v>
      </c>
      <c r="I14" s="61"/>
      <c r="J14" s="63" t="s">
        <v>71</v>
      </c>
      <c r="K14" s="63">
        <f>G14*6</f>
        <v>396</v>
      </c>
      <c r="L14" s="64"/>
      <c r="M14" s="65"/>
      <c r="N14" s="65"/>
      <c r="O14" s="65">
        <v>134</v>
      </c>
      <c r="P14" s="65">
        <f t="shared" si="0"/>
        <v>8844</v>
      </c>
      <c r="Q14" s="65">
        <f t="shared" si="1"/>
        <v>0</v>
      </c>
    </row>
    <row r="15" spans="4:17" ht="20.25" customHeight="1" x14ac:dyDescent="0.5">
      <c r="D15" s="66"/>
      <c r="E15" s="66"/>
      <c r="F15" s="66"/>
      <c r="G15" s="66"/>
      <c r="H15" s="66"/>
      <c r="I15" s="66"/>
      <c r="J15" s="66"/>
      <c r="K15" s="66"/>
      <c r="L15" s="66"/>
      <c r="M15" s="56"/>
      <c r="N15" s="56"/>
      <c r="O15" s="65"/>
      <c r="P15" s="65">
        <f>SUM(P8:P14)</f>
        <v>108607.13513513515</v>
      </c>
      <c r="Q15" s="65">
        <f>SUM(Q8:Q14)</f>
        <v>0</v>
      </c>
    </row>
    <row r="16" spans="4:17" ht="15.75" x14ac:dyDescent="0.5">
      <c r="D16" s="76" t="s">
        <v>72</v>
      </c>
      <c r="E16" s="76"/>
      <c r="F16" s="76"/>
      <c r="G16" s="76"/>
      <c r="H16" s="76"/>
      <c r="I16" s="76"/>
      <c r="J16" s="76"/>
      <c r="K16" s="76"/>
      <c r="L16" s="76"/>
      <c r="M16" s="67"/>
      <c r="N16" s="67"/>
      <c r="O16" s="68"/>
      <c r="P16" s="68"/>
      <c r="Q16" s="68"/>
    </row>
    <row r="17" spans="4:17" ht="17.649999999999999" customHeight="1" x14ac:dyDescent="0.5">
      <c r="D17" s="77"/>
      <c r="E17" s="77"/>
      <c r="F17" s="77"/>
      <c r="G17" s="77"/>
      <c r="H17" s="77"/>
      <c r="I17" s="77"/>
      <c r="J17" s="77"/>
      <c r="K17" s="77"/>
      <c r="L17" s="77"/>
      <c r="M17" s="69"/>
      <c r="N17" s="69"/>
      <c r="O17" s="68"/>
      <c r="P17" s="68"/>
      <c r="Q17" s="67">
        <f>M15-P15</f>
        <v>-108607.13513513515</v>
      </c>
    </row>
    <row r="18" spans="4:17" ht="16.149999999999999" thickBot="1" x14ac:dyDescent="0.45">
      <c r="H18" s="70" t="s">
        <v>32</v>
      </c>
      <c r="I18" s="71" t="s">
        <v>6</v>
      </c>
      <c r="J18" s="72" t="s">
        <v>17</v>
      </c>
      <c r="K18" s="73"/>
    </row>
    <row r="19" spans="4:17" ht="16.149999999999999" thickBot="1" x14ac:dyDescent="0.45">
      <c r="H19" s="70" t="s">
        <v>30</v>
      </c>
      <c r="I19" s="71" t="s">
        <v>14</v>
      </c>
      <c r="J19" s="72" t="s">
        <v>23</v>
      </c>
      <c r="K19" s="73"/>
    </row>
    <row r="20" spans="4:17" ht="16.149999999999999" thickBot="1" x14ac:dyDescent="0.45">
      <c r="H20" s="70"/>
      <c r="I20" s="71"/>
      <c r="J20" s="72"/>
      <c r="K20" s="73"/>
    </row>
  </sheetData>
  <mergeCells count="1">
    <mergeCell ref="D16:L17"/>
  </mergeCells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850 TPD</vt:lpstr>
      <vt:lpstr>650 TPD</vt:lpstr>
      <vt:lpstr>OLD</vt:lpstr>
      <vt:lpstr>ECH CT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</dc:creator>
  <cp:lastModifiedBy>Madhvansh Choksi</cp:lastModifiedBy>
  <dcterms:created xsi:type="dcterms:W3CDTF">2011-01-20T10:32:04Z</dcterms:created>
  <dcterms:modified xsi:type="dcterms:W3CDTF">2025-08-30T09:50:01Z</dcterms:modified>
</cp:coreProperties>
</file>