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 DATA\Desktop\"/>
    </mc:Choice>
  </mc:AlternateContent>
  <xr:revisionPtr revIDLastSave="0" documentId="8_{1B13723F-97C7-41A0-AE26-81A8BBE9B7BE}" xr6:coauthVersionLast="36" xr6:coauthVersionMax="36" xr10:uidLastSave="{00000000-0000-0000-0000-000000000000}"/>
  <bookViews>
    <workbookView xWindow="0" yWindow="0" windowWidth="20490" windowHeight="7410" activeTab="2" xr2:uid="{7433A3E4-7C56-48A9-9F3C-23BB4A5FBDA0}"/>
  </bookViews>
  <sheets>
    <sheet name="Mass Balance" sheetId="2" r:id="rId1"/>
    <sheet name="Norms" sheetId="5" r:id="rId2"/>
    <sheet name="Costing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L1" i="5"/>
  <c r="I1" i="6"/>
  <c r="E9" i="6"/>
  <c r="K13" i="6"/>
  <c r="K15" i="6" s="1"/>
  <c r="E29" i="6"/>
  <c r="K26" i="6"/>
  <c r="E13" i="6"/>
  <c r="K28" i="6" l="1"/>
  <c r="F26" i="6" s="1"/>
  <c r="G26" i="6" s="1"/>
  <c r="C7" i="2" l="1"/>
  <c r="C6" i="2" l="1"/>
  <c r="D6" i="2" s="1"/>
  <c r="D7" i="2" s="1"/>
  <c r="J4" i="5"/>
  <c r="E6" i="2"/>
  <c r="E7" i="2" s="1"/>
  <c r="E11" i="2" s="1"/>
  <c r="D87" i="2"/>
  <c r="D88" i="2" s="1"/>
  <c r="D78" i="2"/>
  <c r="D79" i="2" s="1"/>
  <c r="I73" i="2"/>
  <c r="D68" i="2"/>
  <c r="D69" i="2" s="1"/>
  <c r="E25" i="2"/>
  <c r="E17" i="2"/>
  <c r="E13" i="2"/>
  <c r="E15" i="2" s="1"/>
  <c r="F6" i="2" l="1"/>
  <c r="F7" i="2" s="1"/>
  <c r="E22" i="2"/>
  <c r="K4" i="5"/>
  <c r="D5" i="5"/>
  <c r="E24" i="2"/>
  <c r="D7" i="5" s="1"/>
  <c r="M4" i="5"/>
  <c r="G4" i="5" s="1"/>
  <c r="F7" i="6" s="1"/>
  <c r="G7" i="6" s="1"/>
  <c r="E19" i="2"/>
  <c r="D6" i="5"/>
  <c r="L4" i="5"/>
  <c r="D4" i="5"/>
  <c r="E79" i="2"/>
  <c r="E78" i="2" s="1"/>
  <c r="E83" i="2" s="1"/>
  <c r="G83" i="2"/>
  <c r="G82" i="2" s="1"/>
  <c r="E82" i="2" s="1"/>
  <c r="F79" i="2"/>
  <c r="E88" i="2"/>
  <c r="E87" i="2" s="1"/>
  <c r="E90" i="2" s="1"/>
  <c r="G92" i="2"/>
  <c r="F88" i="2"/>
  <c r="E69" i="2"/>
  <c r="E68" i="2" s="1"/>
  <c r="E71" i="2" s="1"/>
  <c r="G73" i="2"/>
  <c r="F69" i="2"/>
  <c r="E26" i="2" l="1"/>
  <c r="E28" i="2" s="1"/>
  <c r="G5" i="5"/>
  <c r="F8" i="6" s="1"/>
  <c r="G8" i="6" s="1"/>
  <c r="G6" i="5"/>
  <c r="F9" i="6" s="1"/>
  <c r="G9" i="6" s="1"/>
  <c r="G8" i="5"/>
  <c r="F20" i="6" s="1"/>
  <c r="G20" i="6" s="1"/>
  <c r="N4" i="5"/>
  <c r="G7" i="5" s="1"/>
  <c r="F19" i="6" s="1"/>
  <c r="G19" i="6" s="1"/>
  <c r="F13" i="6"/>
  <c r="G13" i="6" s="1"/>
  <c r="G15" i="6" s="1"/>
  <c r="G74" i="2"/>
  <c r="E73" i="2"/>
  <c r="E74" i="2" s="1"/>
  <c r="I89" i="2"/>
  <c r="G22" i="6" l="1"/>
  <c r="E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Madiha Nasim</author>
  </authors>
  <commentList>
    <comment ref="C7" authorId="0" shapeId="0" xr:uid="{73E2B107-61A3-4F38-B20F-D4111F64500A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absolute value</t>
        </r>
      </text>
    </comment>
    <comment ref="E9" authorId="0" shapeId="0" xr:uid="{27BE725F-1861-469C-89D8-1F29164B239D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Change this yield to calculate, this was achieved yield dated by dec 2023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Madiha Nasim</author>
  </authors>
  <commentList>
    <comment ref="E7" authorId="0" shapeId="0" xr:uid="{3FF29336-ED34-48EF-8085-B110696D5A46}">
      <text>
        <r>
          <rPr>
            <b/>
            <sz val="9"/>
            <color indexed="81"/>
            <rFont val="Tahoma"/>
            <family val="2"/>
          </rPr>
          <t xml:space="preserve">Madiha NasiM
taken from india mart
</t>
        </r>
      </text>
    </comment>
    <comment ref="E8" authorId="0" shapeId="0" xr:uid="{7782F186-353A-473A-B331-37F4EBD189CE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taken from india mart</t>
        </r>
      </text>
    </comment>
    <comment ref="E9" authorId="0" shapeId="0" xr:uid="{0F73DCF1-4532-4B08-9B8C-4093726D510A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taken from india mart, cost is in range of 200-1000 rs, rankem grade is around 850 rs</t>
        </r>
      </text>
    </comment>
    <comment ref="G9" authorId="0" shapeId="0" xr:uid="{84BBAB4B-AFEE-48F6-AEDB-AD1D3DB5DE3E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It can be recovered so cost contribution taken as 10%</t>
        </r>
      </text>
    </comment>
    <comment ref="E13" authorId="0" shapeId="0" xr:uid="{3D192D21-9709-4CAE-A045-55E39F1D87E1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Plant data</t>
        </r>
      </text>
    </comment>
    <comment ref="E19" authorId="0" shapeId="0" xr:uid="{C8AB7736-1A6D-4EB7-9B57-080DC2AF4A45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taken from indiamart
cost is in range of 250-500 rs, LR grade cost ~500rs/kg</t>
        </r>
      </text>
    </comment>
    <comment ref="G19" authorId="0" shapeId="0" xr:uid="{077B579F-5DF9-4E53-8FD7-E578A2AF0B51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10% cost considered due to recycling</t>
        </r>
      </text>
    </comment>
    <comment ref="E20" authorId="0" shapeId="0" xr:uid="{23CEA263-96F8-4E28-9712-72A1EAB4A6EF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Taken from india mart</t>
        </r>
      </text>
    </comment>
    <comment ref="G20" authorId="0" shapeId="0" xr:uid="{E0BF0AF6-30FF-4513-9E20-FD83F77665CF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Highly volatile can't be recycled
</t>
        </r>
      </text>
    </comment>
    <comment ref="E26" authorId="0" shapeId="0" xr:uid="{84363361-4D4D-42A1-8DD9-4AA859B551AF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Plant data</t>
        </r>
      </text>
    </comment>
    <comment ref="E29" authorId="0" shapeId="0" xr:uid="{88E59E79-C84B-484C-85EF-4F33D3C347BE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Taken from india mart</t>
        </r>
      </text>
    </comment>
    <comment ref="E30" authorId="0" shapeId="0" xr:uid="{06A0176B-B211-42B5-B351-2F3BFF47F96D}">
      <text>
        <r>
          <rPr>
            <b/>
            <sz val="9"/>
            <color indexed="81"/>
            <rFont val="Tahoma"/>
            <family val="2"/>
          </rPr>
          <t>Madiha Nasim:</t>
        </r>
        <r>
          <rPr>
            <sz val="9"/>
            <color indexed="81"/>
            <rFont val="Tahoma"/>
            <family val="2"/>
          </rPr>
          <t xml:space="preserve">
CAPEX cost of heating utility is not added as of now
</t>
        </r>
      </text>
    </comment>
  </commentList>
</comments>
</file>

<file path=xl/sharedStrings.xml><?xml version="1.0" encoding="utf-8"?>
<sst xmlns="http://schemas.openxmlformats.org/spreadsheetml/2006/main" count="151" uniqueCount="103">
  <si>
    <t>Material Involved</t>
  </si>
  <si>
    <t>NaH</t>
  </si>
  <si>
    <t>(CH3O)3B</t>
  </si>
  <si>
    <t>NaBH4</t>
  </si>
  <si>
    <t>NaB(OCH3)4</t>
  </si>
  <si>
    <t>Stoichiometry</t>
  </si>
  <si>
    <t>M.W. (g/mol)</t>
  </si>
  <si>
    <t>Moles (mol)</t>
  </si>
  <si>
    <t>Yield</t>
  </si>
  <si>
    <t>Actual yield</t>
  </si>
  <si>
    <t>g</t>
  </si>
  <si>
    <t>ml</t>
  </si>
  <si>
    <t xml:space="preserve">NaH amount in dispersion </t>
  </si>
  <si>
    <t>Density of NaH(60%)</t>
  </si>
  <si>
    <t>g/ml</t>
  </si>
  <si>
    <t>Volume of NaH (60%)</t>
  </si>
  <si>
    <t>Paraffin oil</t>
  </si>
  <si>
    <t>Density of paraffin oil</t>
  </si>
  <si>
    <t>Volume of paraffin oil</t>
  </si>
  <si>
    <t>Density of methyl borate</t>
  </si>
  <si>
    <t>Volume of methyl borate</t>
  </si>
  <si>
    <t>Diglyme</t>
  </si>
  <si>
    <t>Density of diglyme</t>
  </si>
  <si>
    <t>g/cm3</t>
  </si>
  <si>
    <t xml:space="preserve">Volume of diglyme </t>
  </si>
  <si>
    <t>Total volume</t>
  </si>
  <si>
    <t>Kj</t>
  </si>
  <si>
    <t>Compound</t>
  </si>
  <si>
    <t>+H2O</t>
  </si>
  <si>
    <t>NaOH</t>
  </si>
  <si>
    <t>+1/2H2</t>
  </si>
  <si>
    <t>mass</t>
  </si>
  <si>
    <t>moles</t>
  </si>
  <si>
    <t>Water in diglyme</t>
  </si>
  <si>
    <t>pv/nrt</t>
  </si>
  <si>
    <t>atm</t>
  </si>
  <si>
    <t>bar</t>
  </si>
  <si>
    <t>nf/st/pm/nan/m01/01/17</t>
  </si>
  <si>
    <t>6H2O</t>
  </si>
  <si>
    <t>NaBO2.4H2O</t>
  </si>
  <si>
    <t>4H2</t>
  </si>
  <si>
    <t>w/w</t>
  </si>
  <si>
    <t>recovered diglyme</t>
  </si>
  <si>
    <t xml:space="preserve">% purity </t>
  </si>
  <si>
    <t>2H2O</t>
  </si>
  <si>
    <t>NaBO2</t>
  </si>
  <si>
    <t>A</t>
  </si>
  <si>
    <t>Reaction step</t>
  </si>
  <si>
    <t>Sr.No</t>
  </si>
  <si>
    <t>Raw material</t>
  </si>
  <si>
    <t>Cost/kg, (Rs/kg)</t>
  </si>
  <si>
    <t>Norms (kg/kg)</t>
  </si>
  <si>
    <t>Total cost (Rs)</t>
  </si>
  <si>
    <t>watt</t>
  </si>
  <si>
    <t>Kw</t>
  </si>
  <si>
    <t>Kw-h</t>
  </si>
  <si>
    <t>Hours of operation (h)</t>
  </si>
  <si>
    <t>Utility cost</t>
  </si>
  <si>
    <t>kWh/kg</t>
  </si>
  <si>
    <t xml:space="preserve">Electricity cost </t>
  </si>
  <si>
    <t>Norms (g/g)</t>
  </si>
  <si>
    <t>B</t>
  </si>
  <si>
    <t>Extraction step</t>
  </si>
  <si>
    <t>Solvent</t>
  </si>
  <si>
    <t>THF</t>
  </si>
  <si>
    <t>Heater for Rota-evaporator</t>
  </si>
  <si>
    <t>C</t>
  </si>
  <si>
    <t>Evaporation</t>
  </si>
  <si>
    <t>Sr.No.</t>
  </si>
  <si>
    <t>Norms  (kWh/kg)</t>
  </si>
  <si>
    <t>Electricity</t>
  </si>
  <si>
    <t xml:space="preserve"> Rs</t>
  </si>
  <si>
    <t>Rs</t>
  </si>
  <si>
    <t>Heater</t>
  </si>
  <si>
    <t>Lab-scale batch size</t>
  </si>
  <si>
    <t>NOTE</t>
  </si>
  <si>
    <t>Remarks</t>
  </si>
  <si>
    <r>
      <rPr>
        <b/>
        <sz val="12"/>
        <color theme="1"/>
        <rFont val="Calibri"/>
        <family val="2"/>
        <scheme val="minor"/>
      </rPr>
      <t>Yellow cells</t>
    </r>
    <r>
      <rPr>
        <sz val="12"/>
        <color theme="1"/>
        <rFont val="Calibri"/>
        <family val="2"/>
        <scheme val="minor"/>
      </rPr>
      <t xml:space="preserve"> signifies the data that can be </t>
    </r>
    <r>
      <rPr>
        <b/>
        <sz val="12"/>
        <color theme="1"/>
        <rFont val="Calibri"/>
        <family val="2"/>
        <scheme val="minor"/>
      </rPr>
      <t>changeable</t>
    </r>
  </si>
  <si>
    <t>The cost of material taken from indiamart changes from vendor to vendor, lowest cost of R.M. is chosen for calculation</t>
  </si>
  <si>
    <r>
      <t xml:space="preserve">Cost </t>
    </r>
    <r>
      <rPr>
        <b/>
        <sz val="12"/>
        <color theme="1"/>
        <rFont val="Calibri"/>
        <family val="2"/>
        <scheme val="minor"/>
      </rPr>
      <t>oil (utility)</t>
    </r>
    <r>
      <rPr>
        <sz val="12"/>
        <color theme="1"/>
        <rFont val="Calibri"/>
        <family val="2"/>
        <scheme val="minor"/>
      </rPr>
      <t xml:space="preserve">  used is not taken in any step</t>
    </r>
  </si>
  <si>
    <r>
      <t>Cost of</t>
    </r>
    <r>
      <rPr>
        <b/>
        <sz val="12"/>
        <color theme="1"/>
        <rFont val="Calibri"/>
        <family val="2"/>
        <scheme val="minor"/>
      </rPr>
      <t xml:space="preserve"> recovering solvent is</t>
    </r>
    <r>
      <rPr>
        <sz val="12"/>
        <color theme="1"/>
        <rFont val="Calibri"/>
        <family val="2"/>
        <scheme val="minor"/>
      </rPr>
      <t xml:space="preserve"> not taken</t>
    </r>
  </si>
  <si>
    <r>
      <t xml:space="preserve">Cost of </t>
    </r>
    <r>
      <rPr>
        <b/>
        <sz val="12"/>
        <color theme="1"/>
        <rFont val="Calibri"/>
        <family val="2"/>
        <scheme val="minor"/>
      </rPr>
      <t>man power</t>
    </r>
    <r>
      <rPr>
        <sz val="12"/>
        <color theme="1"/>
        <rFont val="Calibri"/>
        <family val="2"/>
        <scheme val="minor"/>
      </rPr>
      <t xml:space="preserve"> is not taken in any step</t>
    </r>
  </si>
  <si>
    <t>Theoritical norms</t>
  </si>
  <si>
    <t>Reaction stage</t>
  </si>
  <si>
    <t>Actual norms</t>
  </si>
  <si>
    <t xml:space="preserve"> kg NaH/ kg SBH</t>
  </si>
  <si>
    <t>kg (CH3O)3B / kg SBH</t>
  </si>
  <si>
    <t>kg Paraffin oil/ kg SBH</t>
  </si>
  <si>
    <t>kg Diglyme/ kg SBH</t>
  </si>
  <si>
    <t>NaF (g)</t>
  </si>
  <si>
    <t>The yield was coming around 30%</t>
  </si>
  <si>
    <t>(CH3O)3B (g)</t>
  </si>
  <si>
    <t>Paraffin oil (g)</t>
  </si>
  <si>
    <t>SBH (g)</t>
  </si>
  <si>
    <t>Diglyme (g)</t>
  </si>
  <si>
    <t>Total cost (Rs/kg of SBH)</t>
  </si>
  <si>
    <t xml:space="preserve"> Rs/Kwh</t>
  </si>
  <si>
    <t>THF (g)</t>
  </si>
  <si>
    <t>kg THF/ kg SBH</t>
  </si>
  <si>
    <t>Commercial cost/kg of SBH</t>
  </si>
  <si>
    <t>Calculated cost/kg of SBH</t>
  </si>
  <si>
    <t xml:space="preserve">NaBH4 variable cost calculation (costing for the current achieved yield of </t>
  </si>
  <si>
    <t>Mass Reacted (g) Theoritical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</si>
</sst>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 Light"/>
      <family val="2"/>
      <scheme val="major"/>
    </font>
    <font>
      <b/>
      <sz val="12"/>
      <color rgb="FF1A18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0" borderId="0" xfId="0" applyBorder="1"/>
    <xf numFmtId="9" fontId="0" fillId="0" borderId="0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quotePrefix="1" applyFont="1"/>
    <xf numFmtId="165" fontId="0" fillId="0" borderId="0" xfId="0" applyNumberForma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9" fontId="0" fillId="0" borderId="0" xfId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64" fontId="0" fillId="3" borderId="24" xfId="0" applyNumberFormat="1" applyFont="1" applyFill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164" fontId="0" fillId="0" borderId="2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 wrapText="1" readingOrder="1"/>
    </xf>
    <xf numFmtId="0" fontId="6" fillId="3" borderId="0" xfId="2" applyFont="1" applyFill="1" applyBorder="1" applyAlignment="1">
      <alignment horizontal="center" vertical="center" wrapText="1" readingOrder="1"/>
    </xf>
    <xf numFmtId="164" fontId="6" fillId="4" borderId="0" xfId="2" applyNumberFormat="1" applyFont="1" applyFill="1" applyBorder="1" applyAlignment="1">
      <alignment horizontal="center" vertical="center" wrapText="1" readingOrder="1"/>
    </xf>
    <xf numFmtId="2" fontId="6" fillId="4" borderId="0" xfId="2" applyNumberFormat="1" applyFont="1" applyFill="1" applyBorder="1" applyAlignment="1">
      <alignment horizontal="center" vertical="center" wrapText="1" readingOrder="1"/>
    </xf>
    <xf numFmtId="164" fontId="7" fillId="3" borderId="0" xfId="2" applyNumberFormat="1" applyFont="1" applyFill="1" applyBorder="1" applyAlignment="1">
      <alignment horizontal="center" vertical="center" wrapText="1" readingOrder="1"/>
    </xf>
    <xf numFmtId="1" fontId="6" fillId="5" borderId="0" xfId="2" applyNumberFormat="1" applyFont="1" applyFill="1" applyBorder="1" applyAlignment="1">
      <alignment horizontal="center" vertical="center" wrapText="1" readingOrder="1"/>
    </xf>
    <xf numFmtId="164" fontId="7" fillId="6" borderId="0" xfId="2" applyNumberFormat="1" applyFont="1" applyFill="1" applyBorder="1" applyAlignment="1">
      <alignment horizontal="center" vertical="center" wrapText="1" readingOrder="1"/>
    </xf>
    <xf numFmtId="0" fontId="2" fillId="0" borderId="8" xfId="2" applyFont="1" applyBorder="1"/>
    <xf numFmtId="0" fontId="2" fillId="0" borderId="9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5" fillId="2" borderId="32" xfId="2" applyFont="1" applyFill="1" applyBorder="1" applyAlignment="1">
      <alignment horizontal="justify" vertical="center" wrapText="1" readingOrder="1"/>
    </xf>
    <xf numFmtId="0" fontId="5" fillId="2" borderId="33" xfId="2" applyFont="1" applyFill="1" applyBorder="1" applyAlignment="1">
      <alignment horizontal="center" vertical="center" wrapText="1" readingOrder="1"/>
    </xf>
    <xf numFmtId="0" fontId="6" fillId="3" borderId="33" xfId="2" applyFont="1" applyFill="1" applyBorder="1" applyAlignment="1">
      <alignment horizontal="center" vertical="center" wrapText="1" readingOrder="1"/>
    </xf>
    <xf numFmtId="2" fontId="6" fillId="4" borderId="33" xfId="2" applyNumberFormat="1" applyFont="1" applyFill="1" applyBorder="1" applyAlignment="1">
      <alignment horizontal="center" vertical="center" wrapText="1" readingOrder="1"/>
    </xf>
    <xf numFmtId="164" fontId="6" fillId="5" borderId="33" xfId="2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64" fontId="0" fillId="0" borderId="36" xfId="0" applyNumberFormat="1" applyFont="1" applyBorder="1" applyAlignment="1">
      <alignment horizontal="center" vertical="center"/>
    </xf>
    <xf numFmtId="164" fontId="0" fillId="0" borderId="38" xfId="0" applyNumberFormat="1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 wrapText="1"/>
    </xf>
    <xf numFmtId="2" fontId="0" fillId="0" borderId="38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4" fontId="0" fillId="0" borderId="40" xfId="0" applyNumberFormat="1" applyFont="1" applyBorder="1" applyAlignment="1">
      <alignment horizontal="center" vertical="center" wrapText="1"/>
    </xf>
    <xf numFmtId="164" fontId="0" fillId="0" borderId="41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15" xfId="0" applyFont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9" fontId="2" fillId="3" borderId="4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EE9CF970-C20C-4D5C-9F1A-4A861D46A6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66</xdr:row>
      <xdr:rowOff>95250</xdr:rowOff>
    </xdr:from>
    <xdr:to>
      <xdr:col>4</xdr:col>
      <xdr:colOff>1571625</xdr:colOff>
      <xdr:row>66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5810F5B-3193-4FC3-8F06-DA9C249DF2F9}"/>
            </a:ext>
          </a:extLst>
        </xdr:cNvPr>
        <xdr:cNvCxnSpPr/>
      </xdr:nvCxnSpPr>
      <xdr:spPr>
        <a:xfrm>
          <a:off x="7258050" y="14792325"/>
          <a:ext cx="6286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63</xdr:row>
      <xdr:rowOff>0</xdr:rowOff>
    </xdr:from>
    <xdr:to>
      <xdr:col>12</xdr:col>
      <xdr:colOff>571500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730059-CFF2-47CD-AC10-3BEC8775D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3296900"/>
          <a:ext cx="19431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1238250</xdr:colOff>
      <xdr:row>76</xdr:row>
      <xdr:rowOff>104775</xdr:rowOff>
    </xdr:from>
    <xdr:to>
      <xdr:col>5</xdr:col>
      <xdr:colOff>295275</xdr:colOff>
      <xdr:row>76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90F41D1-5F50-48C5-AB91-A7D84B229D44}"/>
            </a:ext>
          </a:extLst>
        </xdr:cNvPr>
        <xdr:cNvCxnSpPr/>
      </xdr:nvCxnSpPr>
      <xdr:spPr>
        <a:xfrm>
          <a:off x="7553325" y="16802100"/>
          <a:ext cx="6381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1228725</xdr:colOff>
      <xdr:row>85</xdr:row>
      <xdr:rowOff>85725</xdr:rowOff>
    </xdr:from>
    <xdr:to>
      <xdr:col>5</xdr:col>
      <xdr:colOff>285750</xdr:colOff>
      <xdr:row>85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BB6310A-092F-4412-A190-B778FA236AA3}"/>
            </a:ext>
          </a:extLst>
        </xdr:cNvPr>
        <xdr:cNvCxnSpPr/>
      </xdr:nvCxnSpPr>
      <xdr:spPr>
        <a:xfrm>
          <a:off x="7543800" y="18592800"/>
          <a:ext cx="6381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12</xdr:row>
      <xdr:rowOff>0</xdr:rowOff>
    </xdr:from>
    <xdr:to>
      <xdr:col>5</xdr:col>
      <xdr:colOff>1924050</xdr:colOff>
      <xdr:row>15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B49A377-0FE7-45B0-9419-4A80D21415FF}"/>
            </a:ext>
          </a:extLst>
        </xdr:cNvPr>
        <xdr:cNvSpPr/>
      </xdr:nvSpPr>
      <xdr:spPr>
        <a:xfrm>
          <a:off x="4381499" y="3248025"/>
          <a:ext cx="5438776" cy="60007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9524</xdr:colOff>
      <xdr:row>16</xdr:row>
      <xdr:rowOff>1</xdr:rowOff>
    </xdr:from>
    <xdr:to>
      <xdr:col>6</xdr:col>
      <xdr:colOff>0</xdr:colOff>
      <xdr:row>18</xdr:row>
      <xdr:rowOff>190501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E9BE96C-E8DE-4C43-B703-9F2979983A45}"/>
            </a:ext>
          </a:extLst>
        </xdr:cNvPr>
        <xdr:cNvSpPr/>
      </xdr:nvSpPr>
      <xdr:spPr>
        <a:xfrm>
          <a:off x="4381499" y="4048126"/>
          <a:ext cx="5448301" cy="590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9524</xdr:colOff>
      <xdr:row>20</xdr:row>
      <xdr:rowOff>0</xdr:rowOff>
    </xdr:from>
    <xdr:to>
      <xdr:col>5</xdr:col>
      <xdr:colOff>1924050</xdr:colOff>
      <xdr:row>21</xdr:row>
      <xdr:rowOff>190501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E69BDCB-D5D3-41D7-8C1D-AC7B08EB0C05}"/>
            </a:ext>
          </a:extLst>
        </xdr:cNvPr>
        <xdr:cNvSpPr/>
      </xdr:nvSpPr>
      <xdr:spPr>
        <a:xfrm>
          <a:off x="4381499" y="4848225"/>
          <a:ext cx="5438776" cy="39052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9526</xdr:colOff>
      <xdr:row>22</xdr:row>
      <xdr:rowOff>190502</xdr:rowOff>
    </xdr:from>
    <xdr:to>
      <xdr:col>6</xdr:col>
      <xdr:colOff>9525</xdr:colOff>
      <xdr:row>25</xdr:row>
      <xdr:rowOff>190501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6A2DA83-6BC5-45C0-BECE-4DA310B4456C}"/>
            </a:ext>
          </a:extLst>
        </xdr:cNvPr>
        <xdr:cNvSpPr/>
      </xdr:nvSpPr>
      <xdr:spPr>
        <a:xfrm>
          <a:off x="4381501" y="5438777"/>
          <a:ext cx="5457824" cy="600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330420</xdr:colOff>
      <xdr:row>2</xdr:row>
      <xdr:rowOff>11476</xdr:rowOff>
    </xdr:from>
    <xdr:to>
      <xdr:col>8</xdr:col>
      <xdr:colOff>332800</xdr:colOff>
      <xdr:row>56</xdr:row>
      <xdr:rowOff>91807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4FCA62E-7967-415B-A6B1-B750B3530CFC}"/>
            </a:ext>
          </a:extLst>
        </xdr:cNvPr>
        <xdr:cNvCxnSpPr/>
      </xdr:nvCxnSpPr>
      <xdr:spPr>
        <a:xfrm flipH="1">
          <a:off x="11284170" y="602026"/>
          <a:ext cx="2380" cy="1502505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B35-FCFC-44A7-9A33-967EE95C231C}">
  <dimension ref="B1:J92"/>
  <sheetViews>
    <sheetView topLeftCell="A5" workbookViewId="0">
      <selection activeCell="E10" sqref="E10"/>
    </sheetView>
  </sheetViews>
  <sheetFormatPr defaultRowHeight="15.75" x14ac:dyDescent="0.25"/>
  <cols>
    <col min="2" max="2" width="17.25" customWidth="1"/>
    <col min="3" max="3" width="25.375" customWidth="1"/>
    <col min="4" max="4" width="25.5" customWidth="1"/>
    <col min="5" max="5" width="20.75" style="2" customWidth="1"/>
    <col min="6" max="6" width="25.375" style="2" customWidth="1"/>
    <col min="7" max="7" width="10.375" bestFit="1" customWidth="1"/>
  </cols>
  <sheetData>
    <row r="1" spans="2:7" x14ac:dyDescent="0.25">
      <c r="B1" s="1" t="s">
        <v>74</v>
      </c>
    </row>
    <row r="2" spans="2:7" ht="16.5" thickBot="1" x14ac:dyDescent="0.3"/>
    <row r="3" spans="2:7" x14ac:dyDescent="0.25">
      <c r="B3" s="86" t="s">
        <v>0</v>
      </c>
      <c r="C3" s="87" t="s">
        <v>1</v>
      </c>
      <c r="D3" s="87" t="s">
        <v>2</v>
      </c>
      <c r="E3" s="87" t="s">
        <v>3</v>
      </c>
      <c r="F3" s="88" t="s">
        <v>4</v>
      </c>
    </row>
    <row r="4" spans="2:7" x14ac:dyDescent="0.25">
      <c r="B4" s="89" t="s">
        <v>5</v>
      </c>
      <c r="C4" s="79">
        <v>4</v>
      </c>
      <c r="D4" s="79">
        <v>1</v>
      </c>
      <c r="E4" s="79">
        <v>1</v>
      </c>
      <c r="F4" s="90">
        <v>3</v>
      </c>
    </row>
    <row r="5" spans="2:7" x14ac:dyDescent="0.25">
      <c r="B5" s="89" t="s">
        <v>6</v>
      </c>
      <c r="C5" s="80">
        <v>23.99</v>
      </c>
      <c r="D5" s="80">
        <v>103.91</v>
      </c>
      <c r="E5" s="80">
        <v>37.83</v>
      </c>
      <c r="F5" s="91">
        <v>54.03</v>
      </c>
    </row>
    <row r="6" spans="2:7" x14ac:dyDescent="0.25">
      <c r="B6" s="89" t="s">
        <v>7</v>
      </c>
      <c r="C6" s="81">
        <f>C7/C5</f>
        <v>2.5010421008753649</v>
      </c>
      <c r="D6" s="82">
        <f>C6/C4</f>
        <v>0.62526052521884123</v>
      </c>
      <c r="E6" s="82">
        <f>C6/C4</f>
        <v>0.62526052521884123</v>
      </c>
      <c r="F6" s="92">
        <f>C6*(F4/C4)</f>
        <v>1.8757815756565237</v>
      </c>
    </row>
    <row r="7" spans="2:7" ht="31.5" x14ac:dyDescent="0.25">
      <c r="B7" s="89" t="s">
        <v>102</v>
      </c>
      <c r="C7" s="83">
        <f>100*0.6</f>
        <v>60</v>
      </c>
      <c r="D7" s="84">
        <f>D6*D5</f>
        <v>64.970821175489789</v>
      </c>
      <c r="E7" s="85">
        <f>E6*E5</f>
        <v>23.653605669028764</v>
      </c>
      <c r="F7" s="93">
        <f>F6*F5</f>
        <v>101.34847853272198</v>
      </c>
    </row>
    <row r="8" spans="2:7" ht="16.5" thickBot="1" x14ac:dyDescent="0.3">
      <c r="D8" s="4"/>
      <c r="E8" s="5"/>
    </row>
    <row r="9" spans="2:7" ht="26.25" customHeight="1" thickBot="1" x14ac:dyDescent="0.3">
      <c r="D9" s="6" t="s">
        <v>8</v>
      </c>
      <c r="E9" s="164">
        <v>0.3</v>
      </c>
    </row>
    <row r="10" spans="2:7" ht="18" customHeight="1" x14ac:dyDescent="0.25">
      <c r="D10" s="7"/>
      <c r="E10" s="8"/>
    </row>
    <row r="11" spans="2:7" s="11" customFormat="1" x14ac:dyDescent="0.25">
      <c r="B11"/>
      <c r="C11"/>
      <c r="D11" t="s">
        <v>9</v>
      </c>
      <c r="E11" s="9">
        <f>E7*E9</f>
        <v>7.0960817007086288</v>
      </c>
      <c r="F11" s="2" t="s">
        <v>10</v>
      </c>
      <c r="G11" s="10"/>
    </row>
    <row r="12" spans="2:7" x14ac:dyDescent="0.25">
      <c r="D12" s="12"/>
    </row>
    <row r="13" spans="2:7" x14ac:dyDescent="0.25">
      <c r="D13" t="s">
        <v>12</v>
      </c>
      <c r="E13" s="13">
        <f>100*0.6</f>
        <v>60</v>
      </c>
      <c r="F13" s="2" t="s">
        <v>10</v>
      </c>
    </row>
    <row r="14" spans="2:7" s="11" customFormat="1" x14ac:dyDescent="0.25">
      <c r="B14"/>
      <c r="C14"/>
      <c r="D14" t="s">
        <v>13</v>
      </c>
      <c r="E14" s="2">
        <v>0.92</v>
      </c>
      <c r="F14" s="2" t="s">
        <v>14</v>
      </c>
      <c r="G14"/>
    </row>
    <row r="15" spans="2:7" x14ac:dyDescent="0.25">
      <c r="D15" s="14" t="s">
        <v>15</v>
      </c>
      <c r="E15" s="15">
        <f>E13/E14</f>
        <v>65.217391304347828</v>
      </c>
      <c r="F15" s="16" t="s">
        <v>11</v>
      </c>
    </row>
    <row r="16" spans="2:7" x14ac:dyDescent="0.25">
      <c r="D16" s="14"/>
      <c r="E16" s="15"/>
      <c r="F16" s="16"/>
    </row>
    <row r="17" spans="3:6" x14ac:dyDescent="0.25">
      <c r="D17" s="14" t="s">
        <v>16</v>
      </c>
      <c r="E17" s="15">
        <f>60</f>
        <v>60</v>
      </c>
      <c r="F17" s="16" t="s">
        <v>10</v>
      </c>
    </row>
    <row r="18" spans="3:6" x14ac:dyDescent="0.25">
      <c r="D18" s="14" t="s">
        <v>17</v>
      </c>
      <c r="E18" s="17">
        <v>0.85</v>
      </c>
      <c r="F18" s="16" t="s">
        <v>14</v>
      </c>
    </row>
    <row r="19" spans="3:6" x14ac:dyDescent="0.25">
      <c r="D19" s="14" t="s">
        <v>18</v>
      </c>
      <c r="E19" s="15">
        <f>E17/E18</f>
        <v>70.588235294117652</v>
      </c>
      <c r="F19" s="16" t="s">
        <v>11</v>
      </c>
    </row>
    <row r="20" spans="3:6" x14ac:dyDescent="0.25">
      <c r="D20" s="14"/>
      <c r="E20" s="18"/>
      <c r="F20" s="16"/>
    </row>
    <row r="21" spans="3:6" x14ac:dyDescent="0.25">
      <c r="D21" s="14" t="s">
        <v>19</v>
      </c>
      <c r="E21" s="17">
        <v>0.93200000000000005</v>
      </c>
      <c r="F21" s="16" t="s">
        <v>14</v>
      </c>
    </row>
    <row r="22" spans="3:6" x14ac:dyDescent="0.25">
      <c r="D22" s="14" t="s">
        <v>20</v>
      </c>
      <c r="E22" s="15">
        <f>D7/E21</f>
        <v>69.711181518765869</v>
      </c>
      <c r="F22" s="16" t="s">
        <v>11</v>
      </c>
    </row>
    <row r="23" spans="3:6" x14ac:dyDescent="0.25">
      <c r="D23" s="14"/>
      <c r="E23" s="18"/>
      <c r="F23" s="16"/>
    </row>
    <row r="24" spans="3:6" x14ac:dyDescent="0.25">
      <c r="D24" t="s">
        <v>21</v>
      </c>
      <c r="E24" s="20">
        <f>(100/5.5)*E11</f>
        <v>129.01966728561143</v>
      </c>
      <c r="F24" s="2" t="s">
        <v>10</v>
      </c>
    </row>
    <row r="25" spans="3:6" x14ac:dyDescent="0.25">
      <c r="C25" s="19"/>
      <c r="D25" t="s">
        <v>22</v>
      </c>
      <c r="E25" s="2">
        <f>0.694</f>
        <v>0.69399999999999995</v>
      </c>
      <c r="F25" s="2" t="s">
        <v>23</v>
      </c>
    </row>
    <row r="26" spans="3:6" x14ac:dyDescent="0.25">
      <c r="D26" s="14" t="s">
        <v>24</v>
      </c>
      <c r="E26" s="9">
        <f>E24/E25</f>
        <v>185.90730156428162</v>
      </c>
      <c r="F26" s="16" t="s">
        <v>11</v>
      </c>
    </row>
    <row r="27" spans="3:6" x14ac:dyDescent="0.25">
      <c r="D27" s="14"/>
      <c r="E27" s="21"/>
      <c r="F27" s="16"/>
    </row>
    <row r="28" spans="3:6" x14ac:dyDescent="0.25">
      <c r="D28" s="3" t="s">
        <v>25</v>
      </c>
      <c r="E28" s="9">
        <f>E15+E26+E19+E22</f>
        <v>391.42410968151296</v>
      </c>
      <c r="F28" s="22" t="s">
        <v>11</v>
      </c>
    </row>
    <row r="40" spans="2:2" ht="19.5" customHeight="1" x14ac:dyDescent="0.25"/>
    <row r="42" spans="2:2" x14ac:dyDescent="0.25">
      <c r="B42" s="3"/>
    </row>
    <row r="50" spans="2:10" x14ac:dyDescent="0.25">
      <c r="J50" t="s">
        <v>26</v>
      </c>
    </row>
    <row r="58" spans="2:10" s="3" customFormat="1" x14ac:dyDescent="0.25">
      <c r="B58"/>
      <c r="C58"/>
      <c r="D58"/>
      <c r="E58" s="2"/>
      <c r="F58" s="2"/>
      <c r="G58"/>
    </row>
    <row r="67" spans="3:9" x14ac:dyDescent="0.25">
      <c r="D67" s="3" t="s">
        <v>1</v>
      </c>
      <c r="E67" s="23" t="s">
        <v>28</v>
      </c>
      <c r="F67" s="22" t="s">
        <v>29</v>
      </c>
    </row>
    <row r="68" spans="3:9" x14ac:dyDescent="0.25">
      <c r="D68" s="2">
        <f>50*0.6</f>
        <v>30</v>
      </c>
      <c r="E68" s="20">
        <f>E69*18</f>
        <v>22.509378907878286</v>
      </c>
    </row>
    <row r="69" spans="3:9" x14ac:dyDescent="0.25">
      <c r="D69" s="25">
        <f>D68/C5</f>
        <v>1.2505210504376825</v>
      </c>
      <c r="E69" s="25">
        <f>D69</f>
        <v>1.2505210504376825</v>
      </c>
      <c r="F69" s="25">
        <f>D69</f>
        <v>1.2505210504376825</v>
      </c>
    </row>
    <row r="70" spans="3:9" x14ac:dyDescent="0.25">
      <c r="D70" s="25"/>
      <c r="E70" s="25"/>
      <c r="F70" s="25"/>
    </row>
    <row r="71" spans="3:9" x14ac:dyDescent="0.25">
      <c r="C71" s="22" t="s">
        <v>27</v>
      </c>
      <c r="D71" s="3" t="s">
        <v>33</v>
      </c>
      <c r="E71" s="26">
        <f>E68/115</f>
        <v>0.19573372963372423</v>
      </c>
      <c r="G71" s="24" t="s">
        <v>30</v>
      </c>
    </row>
    <row r="72" spans="3:9" x14ac:dyDescent="0.25">
      <c r="C72" s="22" t="s">
        <v>31</v>
      </c>
      <c r="G72" s="2"/>
    </row>
    <row r="73" spans="3:9" x14ac:dyDescent="0.25">
      <c r="C73" s="22" t="s">
        <v>32</v>
      </c>
      <c r="D73" t="s">
        <v>34</v>
      </c>
      <c r="E73" s="27">
        <f>G73*0.082*(273+25)/1</f>
        <v>15.278866194247605</v>
      </c>
      <c r="F73" s="2" t="s">
        <v>35</v>
      </c>
      <c r="G73" s="25">
        <f>D69/2</f>
        <v>0.62526052521884123</v>
      </c>
      <c r="I73">
        <f>I72*0.02</f>
        <v>0</v>
      </c>
    </row>
    <row r="74" spans="3:9" x14ac:dyDescent="0.25">
      <c r="E74" s="5">
        <f>E73*1.034</f>
        <v>15.798347644852024</v>
      </c>
      <c r="F74" s="2" t="s">
        <v>36</v>
      </c>
      <c r="G74" s="25">
        <f>G73*2</f>
        <v>1.2505210504376825</v>
      </c>
    </row>
    <row r="75" spans="3:9" x14ac:dyDescent="0.25">
      <c r="H75" t="s">
        <v>11</v>
      </c>
    </row>
    <row r="77" spans="3:9" x14ac:dyDescent="0.25">
      <c r="D77" s="22" t="s">
        <v>3</v>
      </c>
      <c r="E77" s="22" t="s">
        <v>38</v>
      </c>
      <c r="F77" s="22" t="s">
        <v>39</v>
      </c>
    </row>
    <row r="78" spans="3:9" x14ac:dyDescent="0.25">
      <c r="D78" s="20">
        <f>11*0.5</f>
        <v>5.5</v>
      </c>
      <c r="E78" s="20">
        <f>E79*18</f>
        <v>15.701823949246631</v>
      </c>
      <c r="F78" s="20"/>
    </row>
    <row r="79" spans="3:9" x14ac:dyDescent="0.25">
      <c r="D79" s="20">
        <f>D78/E5</f>
        <v>0.14538725878932066</v>
      </c>
      <c r="E79" s="20">
        <f>D79*6</f>
        <v>0.87232355273592388</v>
      </c>
      <c r="F79" s="20">
        <f>D79</f>
        <v>0.14538725878932066</v>
      </c>
    </row>
    <row r="80" spans="3:9" x14ac:dyDescent="0.25">
      <c r="H80" t="s">
        <v>37</v>
      </c>
    </row>
    <row r="81" spans="3:9" x14ac:dyDescent="0.25">
      <c r="C81" s="22" t="s">
        <v>27</v>
      </c>
      <c r="G81" s="22" t="s">
        <v>40</v>
      </c>
      <c r="H81" t="s">
        <v>41</v>
      </c>
    </row>
    <row r="82" spans="3:9" x14ac:dyDescent="0.25">
      <c r="C82" s="22" t="s">
        <v>31</v>
      </c>
      <c r="D82" t="s">
        <v>34</v>
      </c>
      <c r="E82" s="27">
        <f>G82*0.082*(273+25)/1</f>
        <v>28.421464446206716</v>
      </c>
      <c r="G82" s="20">
        <f>G83*2</f>
        <v>1.1630980703145652</v>
      </c>
      <c r="H82">
        <v>0.17</v>
      </c>
      <c r="I82" t="s">
        <v>42</v>
      </c>
    </row>
    <row r="83" spans="3:9" x14ac:dyDescent="0.25">
      <c r="C83" s="22" t="s">
        <v>32</v>
      </c>
      <c r="D83" s="3" t="s">
        <v>33</v>
      </c>
      <c r="E83" s="26">
        <f>E78/115</f>
        <v>0.13653759955866634</v>
      </c>
      <c r="G83" s="20">
        <f>D79*4</f>
        <v>0.58154903515728262</v>
      </c>
      <c r="H83" s="28">
        <v>0.99919999999999998</v>
      </c>
      <c r="I83" t="s">
        <v>43</v>
      </c>
    </row>
    <row r="85" spans="3:9" ht="16.5" thickBot="1" x14ac:dyDescent="0.3"/>
    <row r="86" spans="3:9" ht="16.5" thickBot="1" x14ac:dyDescent="0.3">
      <c r="D86" s="30" t="s">
        <v>3</v>
      </c>
      <c r="E86" s="30" t="s">
        <v>44</v>
      </c>
      <c r="F86" s="30" t="s">
        <v>45</v>
      </c>
    </row>
    <row r="87" spans="3:9" x14ac:dyDescent="0.25">
      <c r="D87" s="33">
        <f>11*0.5</f>
        <v>5.5</v>
      </c>
      <c r="E87" s="34">
        <f>E88*18</f>
        <v>5.2339413164155433</v>
      </c>
      <c r="F87" s="34"/>
    </row>
    <row r="88" spans="3:9" ht="16.5" thickBot="1" x14ac:dyDescent="0.3">
      <c r="D88" s="37">
        <f>D87/E5</f>
        <v>0.14538725878932066</v>
      </c>
      <c r="E88" s="38">
        <f>D88*2</f>
        <v>0.29077451757864131</v>
      </c>
      <c r="F88" s="38">
        <f>D88</f>
        <v>0.14538725878932066</v>
      </c>
      <c r="H88" s="2"/>
      <c r="I88" s="2"/>
    </row>
    <row r="89" spans="3:9" ht="16.5" thickBot="1" x14ac:dyDescent="0.3">
      <c r="H89" s="2"/>
      <c r="I89" s="2">
        <f>-241.85*G73</f>
        <v>-151.21925802417675</v>
      </c>
    </row>
    <row r="90" spans="3:9" ht="16.5" thickBot="1" x14ac:dyDescent="0.3">
      <c r="C90" s="29" t="s">
        <v>27</v>
      </c>
      <c r="E90" s="40">
        <f>E87/115</f>
        <v>4.5512533186222115E-2</v>
      </c>
      <c r="G90" s="31" t="s">
        <v>40</v>
      </c>
      <c r="H90" s="2" t="s">
        <v>10</v>
      </c>
      <c r="I90" s="2"/>
    </row>
    <row r="91" spans="3:9" x14ac:dyDescent="0.25">
      <c r="C91" s="32" t="s">
        <v>31</v>
      </c>
      <c r="G91" s="35"/>
    </row>
    <row r="92" spans="3:9" ht="16.5" thickBot="1" x14ac:dyDescent="0.3">
      <c r="C92" s="36" t="s">
        <v>32</v>
      </c>
      <c r="G92" s="39">
        <f>D88*4</f>
        <v>0.58154903515728262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0A2-D135-4B30-838E-FC8732609894}">
  <dimension ref="C1:O8"/>
  <sheetViews>
    <sheetView workbookViewId="0">
      <selection activeCell="O5" sqref="O5"/>
    </sheetView>
  </sheetViews>
  <sheetFormatPr defaultRowHeight="15.75" x14ac:dyDescent="0.25"/>
  <cols>
    <col min="3" max="3" width="19.875" customWidth="1"/>
    <col min="6" max="6" width="25.625" customWidth="1"/>
    <col min="11" max="11" width="13.875" customWidth="1"/>
    <col min="12" max="12" width="13" customWidth="1"/>
    <col min="14" max="14" width="13.375" customWidth="1"/>
  </cols>
  <sheetData>
    <row r="1" spans="3:15" x14ac:dyDescent="0.25">
      <c r="C1" s="121" t="s">
        <v>83</v>
      </c>
      <c r="D1" s="121"/>
      <c r="E1" s="121"/>
      <c r="F1" s="121"/>
      <c r="G1" s="121"/>
      <c r="K1" s="123" t="s">
        <v>8</v>
      </c>
      <c r="L1" s="124">
        <f>'Mass Balance'!$E$9</f>
        <v>0.3</v>
      </c>
    </row>
    <row r="2" spans="3:15" ht="16.5" thickBot="1" x14ac:dyDescent="0.3"/>
    <row r="3" spans="3:15" ht="16.5" thickBot="1" x14ac:dyDescent="0.3">
      <c r="C3" s="133" t="s">
        <v>82</v>
      </c>
      <c r="D3" s="134"/>
      <c r="E3" s="135"/>
      <c r="F3" s="143" t="s">
        <v>84</v>
      </c>
      <c r="G3" s="144"/>
      <c r="J3" s="125" t="s">
        <v>89</v>
      </c>
      <c r="K3" s="126" t="s">
        <v>91</v>
      </c>
      <c r="L3" s="126" t="s">
        <v>92</v>
      </c>
      <c r="M3" s="126" t="s">
        <v>93</v>
      </c>
      <c r="N3" s="127" t="s">
        <v>94</v>
      </c>
      <c r="O3" s="97" t="s">
        <v>97</v>
      </c>
    </row>
    <row r="4" spans="3:15" ht="16.5" thickBot="1" x14ac:dyDescent="0.3">
      <c r="C4" s="136" t="s">
        <v>85</v>
      </c>
      <c r="D4" s="139">
        <f>'Mass Balance'!C7/'Mass Balance'!E7</f>
        <v>2.5366111551678561</v>
      </c>
      <c r="E4" s="135"/>
      <c r="F4" s="145" t="s">
        <v>85</v>
      </c>
      <c r="G4" s="146">
        <f>J4/M4</f>
        <v>8.4553705172261875</v>
      </c>
      <c r="J4" s="128">
        <f>'Mass Balance'!C7</f>
        <v>60</v>
      </c>
      <c r="K4" s="129">
        <f>'Mass Balance'!D7</f>
        <v>64.970821175489789</v>
      </c>
      <c r="L4" s="130">
        <f>'Mass Balance'!E17</f>
        <v>60</v>
      </c>
      <c r="M4" s="131">
        <f>'Mass Balance'!E7*L1</f>
        <v>7.0960817007086288</v>
      </c>
      <c r="N4" s="132">
        <f>(100/5.5)*M4</f>
        <v>129.01966728561143</v>
      </c>
      <c r="O4" s="10">
        <f>M4*2</f>
        <v>14.192163401417258</v>
      </c>
    </row>
    <row r="5" spans="3:15" x14ac:dyDescent="0.25">
      <c r="C5" s="137" t="s">
        <v>86</v>
      </c>
      <c r="D5" s="140">
        <f>'Mass Balance'!D7/'Mass Balance'!E7</f>
        <v>2.7467618292360561</v>
      </c>
      <c r="E5" s="135"/>
      <c r="F5" s="137" t="s">
        <v>86</v>
      </c>
      <c r="G5" s="142">
        <f>K4/M4</f>
        <v>9.1558727641201862</v>
      </c>
    </row>
    <row r="6" spans="3:15" x14ac:dyDescent="0.25">
      <c r="C6" s="137" t="s">
        <v>87</v>
      </c>
      <c r="D6" s="140">
        <f>'Mass Balance'!E17/'Mass Balance'!E7</f>
        <v>2.5366111551678561</v>
      </c>
      <c r="E6" s="135"/>
      <c r="F6" s="137" t="s">
        <v>87</v>
      </c>
      <c r="G6" s="142">
        <f>L4/M4</f>
        <v>8.4553705172261875</v>
      </c>
      <c r="J6" s="122" t="s">
        <v>90</v>
      </c>
      <c r="K6" s="122"/>
      <c r="L6" s="122"/>
    </row>
    <row r="7" spans="3:15" ht="16.5" thickBot="1" x14ac:dyDescent="0.3">
      <c r="C7" s="138" t="s">
        <v>88</v>
      </c>
      <c r="D7" s="141">
        <f>'Mass Balance'!E24/'Mass Balance'!E7</f>
        <v>5.4545454545454541</v>
      </c>
      <c r="E7" s="135"/>
      <c r="F7" s="147" t="s">
        <v>88</v>
      </c>
      <c r="G7" s="142">
        <f>N4/M4</f>
        <v>18.181818181818183</v>
      </c>
    </row>
    <row r="8" spans="3:15" ht="16.5" thickBot="1" x14ac:dyDescent="0.3">
      <c r="F8" s="138" t="s">
        <v>98</v>
      </c>
      <c r="G8" s="148">
        <f>O4/M4</f>
        <v>2</v>
      </c>
    </row>
  </sheetData>
  <mergeCells count="3">
    <mergeCell ref="C1:G1"/>
    <mergeCell ref="C3:D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067E-FDE2-4419-8EA0-7FF1BDC8F151}">
  <dimension ref="A1:N38"/>
  <sheetViews>
    <sheetView tabSelected="1" topLeftCell="A15" zoomScale="92" zoomScaleNormal="83" workbookViewId="0">
      <selection activeCell="J21" sqref="J21"/>
    </sheetView>
  </sheetViews>
  <sheetFormatPr defaultRowHeight="15.75" x14ac:dyDescent="0.25"/>
  <cols>
    <col min="1" max="1" width="3.25" style="41" bestFit="1" customWidth="1"/>
    <col min="2" max="2" width="18.125" style="41" bestFit="1" customWidth="1"/>
    <col min="3" max="3" width="16.875" style="41" customWidth="1"/>
    <col min="4" max="5" width="19.125" style="41" bestFit="1" customWidth="1"/>
    <col min="6" max="6" width="22.375" style="41" customWidth="1"/>
    <col min="7" max="7" width="24.125" style="41" customWidth="1"/>
    <col min="8" max="8" width="17.25" style="41" customWidth="1"/>
    <col min="9" max="9" width="9" style="41"/>
    <col min="10" max="10" width="31.75" style="41" bestFit="1" customWidth="1"/>
    <col min="11" max="11" width="6.625" style="41" bestFit="1" customWidth="1"/>
    <col min="12" max="12" width="20.625" style="41" bestFit="1" customWidth="1"/>
    <col min="13" max="13" width="9.125" style="41" bestFit="1" customWidth="1"/>
    <col min="14" max="14" width="10.875" style="41" bestFit="1" customWidth="1"/>
    <col min="15" max="16384" width="9" style="41"/>
  </cols>
  <sheetData>
    <row r="1" spans="1:12" ht="30.75" customHeight="1" x14ac:dyDescent="0.25">
      <c r="C1" s="155" t="s">
        <v>101</v>
      </c>
      <c r="D1" s="155"/>
      <c r="E1" s="155"/>
      <c r="F1" s="155"/>
      <c r="G1" s="155"/>
      <c r="H1" s="155"/>
      <c r="I1" s="156">
        <f>'Mass Balance'!E9</f>
        <v>0.3</v>
      </c>
      <c r="J1" s="155"/>
      <c r="K1" s="155"/>
    </row>
    <row r="4" spans="1:12" ht="16.5" thickBot="1" x14ac:dyDescent="0.3"/>
    <row r="5" spans="1:12" ht="16.5" thickBot="1" x14ac:dyDescent="0.3">
      <c r="A5" s="42" t="s">
        <v>46</v>
      </c>
      <c r="B5" s="152" t="s">
        <v>47</v>
      </c>
      <c r="C5" s="43" t="s">
        <v>48</v>
      </c>
      <c r="D5" s="44" t="s">
        <v>49</v>
      </c>
      <c r="E5" s="44" t="s">
        <v>50</v>
      </c>
      <c r="F5" s="44" t="s">
        <v>51</v>
      </c>
      <c r="G5" s="103" t="s">
        <v>95</v>
      </c>
      <c r="H5" s="107" t="s">
        <v>76</v>
      </c>
    </row>
    <row r="6" spans="1:12" x14ac:dyDescent="0.25">
      <c r="C6" s="46"/>
      <c r="D6" s="47"/>
      <c r="E6" s="47"/>
      <c r="F6" s="47"/>
      <c r="G6" s="104"/>
      <c r="H6" s="114" t="s">
        <v>78</v>
      </c>
    </row>
    <row r="7" spans="1:12" x14ac:dyDescent="0.25">
      <c r="C7" s="46">
        <v>1</v>
      </c>
      <c r="D7" s="47" t="s">
        <v>1</v>
      </c>
      <c r="E7" s="49">
        <v>250</v>
      </c>
      <c r="F7" s="50">
        <f>Norms!G4</f>
        <v>8.4553705172261875</v>
      </c>
      <c r="G7" s="105">
        <f>E7*F7</f>
        <v>2113.8426293065468</v>
      </c>
      <c r="H7" s="114"/>
    </row>
    <row r="8" spans="1:12" x14ac:dyDescent="0.25">
      <c r="C8" s="46">
        <v>2</v>
      </c>
      <c r="D8" s="47" t="s">
        <v>2</v>
      </c>
      <c r="E8" s="49">
        <v>200</v>
      </c>
      <c r="F8" s="50">
        <f>Norms!G5</f>
        <v>9.1558727641201862</v>
      </c>
      <c r="G8" s="105">
        <f>E8*F8</f>
        <v>1831.1745528240372</v>
      </c>
      <c r="H8" s="114"/>
    </row>
    <row r="9" spans="1:12" ht="16.5" thickBot="1" x14ac:dyDescent="0.3">
      <c r="C9" s="51">
        <v>2</v>
      </c>
      <c r="D9" s="52" t="s">
        <v>16</v>
      </c>
      <c r="E9" s="53">
        <f>250</f>
        <v>250</v>
      </c>
      <c r="F9" s="54">
        <f>Norms!G6</f>
        <v>8.4553705172261875</v>
      </c>
      <c r="G9" s="106">
        <f>E9*F9*0.1</f>
        <v>211.3842629306547</v>
      </c>
      <c r="H9" s="115"/>
    </row>
    <row r="10" spans="1:12" ht="16.5" thickBot="1" x14ac:dyDescent="0.3"/>
    <row r="11" spans="1:12" ht="18" customHeight="1" x14ac:dyDescent="0.25">
      <c r="C11" s="43" t="s">
        <v>48</v>
      </c>
      <c r="D11" s="44" t="s">
        <v>57</v>
      </c>
      <c r="E11" s="44" t="s">
        <v>96</v>
      </c>
      <c r="F11" s="44" t="s">
        <v>58</v>
      </c>
      <c r="G11" s="103" t="s">
        <v>95</v>
      </c>
      <c r="H11" s="45" t="s">
        <v>76</v>
      </c>
      <c r="J11" s="157" t="s">
        <v>73</v>
      </c>
      <c r="K11" s="158"/>
      <c r="L11" s="163"/>
    </row>
    <row r="12" spans="1:12" ht="17.25" customHeight="1" x14ac:dyDescent="0.25">
      <c r="C12" s="57"/>
      <c r="D12" s="47"/>
      <c r="E12" s="47"/>
      <c r="F12" s="47"/>
      <c r="G12" s="104"/>
      <c r="H12" s="116" t="s">
        <v>79</v>
      </c>
      <c r="J12" s="46" t="s">
        <v>53</v>
      </c>
      <c r="K12" s="77">
        <v>2500</v>
      </c>
    </row>
    <row r="13" spans="1:12" ht="31.5" customHeight="1" thickBot="1" x14ac:dyDescent="0.3">
      <c r="C13" s="51">
        <v>1</v>
      </c>
      <c r="D13" s="52" t="s">
        <v>59</v>
      </c>
      <c r="E13" s="58">
        <f>10</f>
        <v>10</v>
      </c>
      <c r="F13" s="54">
        <f>K15/Norms!M4</f>
        <v>2.1138426293065469</v>
      </c>
      <c r="G13" s="110">
        <f>E13*F13</f>
        <v>21.138426293065468</v>
      </c>
      <c r="H13" s="117"/>
      <c r="J13" s="46" t="s">
        <v>54</v>
      </c>
      <c r="K13" s="48">
        <f>K12/1000</f>
        <v>2.5</v>
      </c>
    </row>
    <row r="14" spans="1:12" ht="18.75" customHeight="1" thickBot="1" x14ac:dyDescent="0.3">
      <c r="C14" s="42"/>
      <c r="J14" s="60" t="s">
        <v>56</v>
      </c>
      <c r="K14" s="77">
        <v>6</v>
      </c>
    </row>
    <row r="15" spans="1:12" ht="18" customHeight="1" thickBot="1" x14ac:dyDescent="0.3">
      <c r="C15" s="42"/>
      <c r="F15" s="152" t="s">
        <v>95</v>
      </c>
      <c r="G15" s="78">
        <f>SUM(G7:G13)</f>
        <v>4177.5398713543036</v>
      </c>
      <c r="H15" s="96"/>
      <c r="J15" s="51" t="s">
        <v>55</v>
      </c>
      <c r="K15" s="56">
        <f>K13*K14</f>
        <v>15</v>
      </c>
    </row>
    <row r="16" spans="1:12" ht="23.25" customHeight="1" thickBot="1" x14ac:dyDescent="0.3"/>
    <row r="17" spans="1:14" ht="22.5" customHeight="1" thickBot="1" x14ac:dyDescent="0.3">
      <c r="A17" s="42" t="s">
        <v>61</v>
      </c>
      <c r="B17" s="152" t="s">
        <v>62</v>
      </c>
      <c r="C17" s="150" t="s">
        <v>48</v>
      </c>
      <c r="D17" s="151" t="s">
        <v>63</v>
      </c>
      <c r="E17" s="151" t="s">
        <v>50</v>
      </c>
      <c r="F17" s="151" t="s">
        <v>60</v>
      </c>
      <c r="G17" s="103" t="s">
        <v>95</v>
      </c>
      <c r="H17" s="107" t="s">
        <v>76</v>
      </c>
      <c r="J17" s="109"/>
    </row>
    <row r="18" spans="1:14" ht="18" customHeight="1" x14ac:dyDescent="0.25">
      <c r="A18" s="59"/>
      <c r="B18" s="59"/>
      <c r="C18" s="60"/>
      <c r="D18" s="61"/>
      <c r="E18" s="61"/>
      <c r="F18" s="61"/>
      <c r="G18" s="100"/>
      <c r="H18" s="111" t="s">
        <v>80</v>
      </c>
      <c r="J18" s="109"/>
    </row>
    <row r="19" spans="1:14" ht="17.25" customHeight="1" x14ac:dyDescent="0.25">
      <c r="C19" s="63">
        <v>1</v>
      </c>
      <c r="D19" s="64" t="s">
        <v>21</v>
      </c>
      <c r="E19" s="65">
        <v>250</v>
      </c>
      <c r="F19" s="66">
        <f>Norms!G7</f>
        <v>18.181818181818183</v>
      </c>
      <c r="G19" s="101">
        <f>E19*F19*0.1</f>
        <v>454.54545454545462</v>
      </c>
      <c r="H19" s="112"/>
    </row>
    <row r="20" spans="1:14" ht="17.25" customHeight="1" thickBot="1" x14ac:dyDescent="0.3">
      <c r="C20" s="55">
        <v>2</v>
      </c>
      <c r="D20" s="67" t="s">
        <v>64</v>
      </c>
      <c r="E20" s="58">
        <v>168</v>
      </c>
      <c r="F20" s="68">
        <f>Norms!G8</f>
        <v>2</v>
      </c>
      <c r="G20" s="102">
        <f>E20*F20</f>
        <v>336</v>
      </c>
      <c r="H20" s="113"/>
    </row>
    <row r="21" spans="1:14" ht="33" customHeight="1" thickBot="1" x14ac:dyDescent="0.3">
      <c r="C21" s="69"/>
      <c r="D21" s="70"/>
      <c r="E21" s="70"/>
    </row>
    <row r="22" spans="1:14" ht="21.75" customHeight="1" thickBot="1" x14ac:dyDescent="0.3">
      <c r="C22" s="69"/>
      <c r="D22" s="70"/>
      <c r="E22" s="70"/>
      <c r="F22" s="152" t="s">
        <v>95</v>
      </c>
      <c r="G22" s="78">
        <f>SUM(G19:G20)</f>
        <v>790.54545454545462</v>
      </c>
      <c r="H22" s="96"/>
    </row>
    <row r="23" spans="1:14" s="62" customFormat="1" ht="16.5" thickBot="1" x14ac:dyDescent="0.3">
      <c r="A23" s="41"/>
      <c r="B23" s="41"/>
      <c r="C23" s="69"/>
      <c r="D23" s="70"/>
      <c r="E23" s="70"/>
      <c r="F23" s="69"/>
      <c r="G23" s="98"/>
      <c r="H23" s="98"/>
      <c r="L23" s="41"/>
      <c r="M23" s="41"/>
      <c r="N23" s="41"/>
    </row>
    <row r="24" spans="1:14" ht="16.5" thickBot="1" x14ac:dyDescent="0.3">
      <c r="A24" s="42" t="s">
        <v>66</v>
      </c>
      <c r="B24" s="152" t="s">
        <v>67</v>
      </c>
      <c r="C24" s="43" t="s">
        <v>68</v>
      </c>
      <c r="D24" s="44" t="s">
        <v>57</v>
      </c>
      <c r="E24" s="44" t="s">
        <v>96</v>
      </c>
      <c r="F24" s="149" t="s">
        <v>69</v>
      </c>
      <c r="G24" s="103" t="s">
        <v>52</v>
      </c>
      <c r="H24" s="45" t="s">
        <v>76</v>
      </c>
      <c r="J24" s="161" t="s">
        <v>65</v>
      </c>
      <c r="K24" s="162"/>
    </row>
    <row r="25" spans="1:14" ht="31.5" customHeight="1" x14ac:dyDescent="0.25">
      <c r="A25" s="59"/>
      <c r="B25" s="59"/>
      <c r="C25" s="71"/>
      <c r="D25" s="72"/>
      <c r="E25" s="73"/>
      <c r="F25" s="73"/>
      <c r="G25" s="108"/>
      <c r="H25" s="116" t="s">
        <v>81</v>
      </c>
      <c r="J25" s="159" t="s">
        <v>53</v>
      </c>
      <c r="K25" s="160">
        <v>1360</v>
      </c>
    </row>
    <row r="26" spans="1:14" ht="16.5" thickBot="1" x14ac:dyDescent="0.3">
      <c r="C26" s="74">
        <v>1</v>
      </c>
      <c r="D26" s="52" t="s">
        <v>70</v>
      </c>
      <c r="E26" s="58">
        <v>10</v>
      </c>
      <c r="F26" s="52">
        <f>K28</f>
        <v>6.8000000000000007</v>
      </c>
      <c r="G26" s="154">
        <f>E26*F26</f>
        <v>68</v>
      </c>
      <c r="H26" s="117"/>
      <c r="J26" s="46" t="s">
        <v>54</v>
      </c>
      <c r="K26" s="48">
        <f>K25/1000</f>
        <v>1.36</v>
      </c>
    </row>
    <row r="27" spans="1:14" x14ac:dyDescent="0.25">
      <c r="C27" s="70"/>
      <c r="D27" s="70"/>
      <c r="E27" s="75"/>
      <c r="F27" s="69"/>
      <c r="G27" s="69"/>
      <c r="H27" s="69"/>
      <c r="J27" s="60" t="s">
        <v>56</v>
      </c>
      <c r="K27" s="77">
        <v>5</v>
      </c>
    </row>
    <row r="28" spans="1:14" ht="16.5" thickBot="1" x14ac:dyDescent="0.3">
      <c r="J28" s="51" t="s">
        <v>55</v>
      </c>
      <c r="K28" s="56">
        <f>K26*K27</f>
        <v>6.8000000000000007</v>
      </c>
    </row>
    <row r="29" spans="1:14" ht="32.25" thickBot="1" x14ac:dyDescent="0.3">
      <c r="D29" s="94" t="s">
        <v>99</v>
      </c>
      <c r="E29" s="76">
        <f>2800</f>
        <v>2800</v>
      </c>
      <c r="F29" s="41" t="s">
        <v>71</v>
      </c>
    </row>
    <row r="30" spans="1:14" s="62" customFormat="1" ht="32.25" thickBot="1" x14ac:dyDescent="0.3">
      <c r="A30" s="41"/>
      <c r="B30" s="41"/>
      <c r="C30" s="41"/>
      <c r="D30" s="94" t="s">
        <v>100</v>
      </c>
      <c r="E30" s="153">
        <f>G26+G22+G15</f>
        <v>5036.0853258997586</v>
      </c>
      <c r="F30" s="41" t="s">
        <v>72</v>
      </c>
      <c r="G30" s="41"/>
      <c r="H30" s="41"/>
      <c r="J30" s="41"/>
      <c r="K30" s="41"/>
      <c r="L30" s="41"/>
      <c r="M30" s="41"/>
      <c r="N30" s="41"/>
    </row>
    <row r="31" spans="1:14" ht="16.5" customHeight="1" thickBot="1" x14ac:dyDescent="0.3"/>
    <row r="32" spans="1:14" ht="39" customHeight="1" thickBot="1" x14ac:dyDescent="0.3">
      <c r="C32" s="95" t="s">
        <v>75</v>
      </c>
      <c r="D32" s="118" t="s">
        <v>77</v>
      </c>
      <c r="E32" s="119"/>
      <c r="F32" s="119"/>
      <c r="G32" s="120"/>
    </row>
    <row r="33" spans="6:6" ht="47.25" customHeight="1" x14ac:dyDescent="0.25"/>
    <row r="34" spans="6:6" ht="51.75" customHeight="1" x14ac:dyDescent="0.25"/>
    <row r="35" spans="6:6" ht="94.5" customHeight="1" x14ac:dyDescent="0.25">
      <c r="F35" s="99"/>
    </row>
    <row r="38" spans="6:6" ht="16.5" customHeight="1" x14ac:dyDescent="0.25"/>
  </sheetData>
  <mergeCells count="7">
    <mergeCell ref="H18:H20"/>
    <mergeCell ref="H25:H26"/>
    <mergeCell ref="D32:G32"/>
    <mergeCell ref="J24:K24"/>
    <mergeCell ref="J11:K11"/>
    <mergeCell ref="H6:H9"/>
    <mergeCell ref="H12:H1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 Balance</vt:lpstr>
      <vt:lpstr>Norms</vt:lpstr>
      <vt:lpstr>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Madiha Nasim</dc:creator>
  <cp:lastModifiedBy>Madiha Nasim</cp:lastModifiedBy>
  <dcterms:created xsi:type="dcterms:W3CDTF">2023-12-01T05:44:04Z</dcterms:created>
  <dcterms:modified xsi:type="dcterms:W3CDTF">2024-06-05T10:42:36Z</dcterms:modified>
</cp:coreProperties>
</file>