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cdc6932b310311/Documents/"/>
    </mc:Choice>
  </mc:AlternateContent>
  <xr:revisionPtr revIDLastSave="0" documentId="8_{C0603206-368E-4E3B-B1C3-544145A15ACF}" xr6:coauthVersionLast="45" xr6:coauthVersionMax="45" xr10:uidLastSave="{00000000-0000-0000-0000-000000000000}"/>
  <bookViews>
    <workbookView xWindow="-120" yWindow="-120" windowWidth="29040" windowHeight="15840" xr2:uid="{6D5D20F7-19EB-4909-8643-5B745041B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6" i="1"/>
  <c r="G8" i="1"/>
  <c r="G5" i="1"/>
  <c r="M9" i="1" l="1"/>
  <c r="L9" i="1"/>
  <c r="K9" i="1"/>
  <c r="M8" i="1"/>
  <c r="L8" i="1"/>
  <c r="K8" i="1"/>
  <c r="M5" i="1"/>
  <c r="L5" i="1"/>
  <c r="L4" i="1"/>
  <c r="M4" i="1"/>
  <c r="K5" i="1"/>
  <c r="K4" i="1"/>
  <c r="L11" i="1" l="1"/>
  <c r="K13" i="1"/>
  <c r="K15" i="1" s="1"/>
  <c r="M13" i="1"/>
  <c r="M15" i="1" s="1"/>
  <c r="K11" i="1"/>
  <c r="M11" i="1"/>
  <c r="L13" i="1"/>
  <c r="L15" i="1" s="1"/>
  <c r="J4" i="1"/>
  <c r="H5" i="1"/>
  <c r="H4" i="1"/>
  <c r="G4" i="1"/>
  <c r="H7" i="1" l="1"/>
  <c r="F9" i="1" l="1"/>
  <c r="C9" i="1"/>
  <c r="H9" i="1"/>
  <c r="G9" i="1"/>
  <c r="J5" i="1" l="1"/>
  <c r="I5" i="1"/>
  <c r="I4" i="1"/>
  <c r="G6" i="1"/>
  <c r="G16" i="1"/>
  <c r="F6" i="1"/>
  <c r="F8" i="1"/>
  <c r="F5" i="1"/>
  <c r="F4" i="1"/>
  <c r="E6" i="1"/>
  <c r="E5" i="1"/>
  <c r="D5" i="1"/>
  <c r="C5" i="1"/>
  <c r="C4" i="1"/>
  <c r="E4" i="1"/>
  <c r="E8" i="1"/>
  <c r="D4" i="1"/>
  <c r="I9" i="1"/>
  <c r="D9" i="1"/>
  <c r="E9" i="1"/>
  <c r="E13" i="1" l="1"/>
  <c r="E16" i="1"/>
  <c r="F16" i="1"/>
  <c r="F13" i="1"/>
  <c r="F15" i="1" s="1"/>
  <c r="E14" i="1"/>
  <c r="H16" i="1"/>
  <c r="J9" i="1"/>
  <c r="J8" i="1"/>
  <c r="I8" i="1"/>
  <c r="C8" i="1"/>
  <c r="D8" i="1"/>
  <c r="C14" i="1" l="1"/>
  <c r="C16" i="1"/>
  <c r="D14" i="1"/>
  <c r="D16" i="1"/>
  <c r="F14" i="1"/>
  <c r="H14" i="1"/>
  <c r="G14" i="1"/>
  <c r="E15" i="1"/>
  <c r="C13" i="1"/>
  <c r="C15" i="1" s="1"/>
  <c r="H11" i="1"/>
  <c r="E11" i="1"/>
  <c r="H13" i="1"/>
  <c r="H15" i="1" s="1"/>
  <c r="D11" i="1"/>
  <c r="D13" i="1"/>
  <c r="D15" i="1" s="1"/>
  <c r="G13" i="1"/>
  <c r="G15" i="1" s="1"/>
  <c r="I13" i="1"/>
  <c r="I15" i="1" s="1"/>
  <c r="J13" i="1"/>
  <c r="J15" i="1" s="1"/>
  <c r="C11" i="1"/>
  <c r="G11" i="1"/>
  <c r="J11" i="1"/>
  <c r="I11" i="1"/>
  <c r="F11" i="1"/>
</calcChain>
</file>

<file path=xl/sharedStrings.xml><?xml version="1.0" encoding="utf-8"?>
<sst xmlns="http://schemas.openxmlformats.org/spreadsheetml/2006/main" count="39" uniqueCount="34">
  <si>
    <t>Desolate Leather</t>
  </si>
  <si>
    <t>Penumbra Thread</t>
  </si>
  <si>
    <t>Soul Dust</t>
  </si>
  <si>
    <t>Profitable?</t>
  </si>
  <si>
    <t>Profit_each</t>
  </si>
  <si>
    <t>Cost to Craft</t>
  </si>
  <si>
    <t>How many?</t>
  </si>
  <si>
    <t>leather bracers</t>
  </si>
  <si>
    <t>cloth bracers</t>
  </si>
  <si>
    <t>Shrouded Cloth</t>
  </si>
  <si>
    <t>rare cloth bracers</t>
  </si>
  <si>
    <t>Lightless Silk</t>
  </si>
  <si>
    <t>Sacred Shard</t>
  </si>
  <si>
    <t>30-slot</t>
  </si>
  <si>
    <t>32-slot</t>
  </si>
  <si>
    <t>Callous Hide</t>
  </si>
  <si>
    <t>Revenue</t>
  </si>
  <si>
    <t>Items</t>
  </si>
  <si>
    <t>Cost</t>
  </si>
  <si>
    <t>Pallid Bone</t>
  </si>
  <si>
    <t>mail bracers</t>
  </si>
  <si>
    <t xml:space="preserve">mats needed </t>
  </si>
  <si>
    <t>Minimum Profit</t>
  </si>
  <si>
    <t>Expected Profit</t>
  </si>
  <si>
    <t>Max Profit</t>
  </si>
  <si>
    <t>Enter how many of each item you plan to craft in yellow cells near the top</t>
  </si>
  <si>
    <t>Enter costs of trade goods for your realm in the yellow cells to the right</t>
  </si>
  <si>
    <t>Enchanted Bar</t>
  </si>
  <si>
    <t>Enchanted Hide</t>
  </si>
  <si>
    <t>Enchanted Silk</t>
  </si>
  <si>
    <t>Elethium Ore</t>
  </si>
  <si>
    <t>Heavy Callous Hide</t>
  </si>
  <si>
    <t>rare leather belt</t>
  </si>
  <si>
    <t>rare mail 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</si>
</sst>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" xfId="0" applyBorder="1"/>
    <xf numFmtId="43" fontId="0" fillId="0" borderId="1" xfId="1" applyFont="1" applyBorder="1"/>
    <xf numFmtId="0" fontId="0" fillId="3" borderId="1" xfId="0" applyFill="1" applyBorder="1"/>
    <xf numFmtId="0" fontId="0" fillId="0" borderId="7" xfId="0" applyBorder="1"/>
    <xf numFmtId="0" fontId="0" fillId="3" borderId="0" xfId="0" applyFill="1" applyBorder="1"/>
    <xf numFmtId="0" fontId="0" fillId="3" borderId="3" xfId="0" applyFill="1" applyBorder="1"/>
    <xf numFmtId="0" fontId="0" fillId="2" borderId="1" xfId="0" applyFill="1" applyBorder="1" applyProtection="1">
      <protection locked="0"/>
    </xf>
    <xf numFmtId="43" fontId="0" fillId="4" borderId="1" xfId="1" applyFont="1" applyFill="1" applyBorder="1"/>
    <xf numFmtId="0" fontId="0" fillId="4" borderId="1" xfId="0" applyFill="1" applyBorder="1"/>
    <xf numFmtId="0" fontId="0" fillId="0" borderId="1" xfId="0" applyFill="1" applyBorder="1"/>
    <xf numFmtId="0" fontId="0" fillId="3" borderId="9" xfId="0" applyFill="1" applyBorder="1"/>
    <xf numFmtId="0" fontId="0" fillId="3" borderId="5" xfId="0" applyFill="1" applyBorder="1"/>
    <xf numFmtId="43" fontId="0" fillId="3" borderId="10" xfId="1" applyFont="1" applyFill="1" applyBorder="1"/>
    <xf numFmtId="0" fontId="0" fillId="3" borderId="10" xfId="0" applyFill="1" applyBorder="1"/>
    <xf numFmtId="43" fontId="0" fillId="3" borderId="11" xfId="1" applyFont="1" applyFill="1" applyBorder="1"/>
    <xf numFmtId="43" fontId="0" fillId="3" borderId="6" xfId="1" applyFont="1" applyFill="1" applyBorder="1"/>
    <xf numFmtId="43" fontId="0" fillId="0" borderId="8" xfId="1" applyFont="1" applyBorder="1"/>
    <xf numFmtId="0" fontId="0" fillId="0" borderId="7" xfId="0" applyBorder="1" applyAlignment="1">
      <alignment horizontal="center"/>
    </xf>
    <xf numFmtId="43" fontId="0" fillId="0" borderId="4" xfId="1" applyFont="1" applyBorder="1"/>
    <xf numFmtId="0" fontId="0" fillId="0" borderId="12" xfId="0" applyBorder="1"/>
    <xf numFmtId="43" fontId="0" fillId="0" borderId="12" xfId="1" applyFont="1" applyBorder="1"/>
    <xf numFmtId="0" fontId="0" fillId="3" borderId="11" xfId="0" applyFill="1" applyBorder="1"/>
    <xf numFmtId="0" fontId="0" fillId="3" borderId="6" xfId="0" applyFill="1" applyBorder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3358-B876-4C37-BB8D-0A01009D8CE5}">
  <dimension ref="B1:P26"/>
  <sheetViews>
    <sheetView showGridLines="0" showRowColHeaders="0" tabSelected="1" workbookViewId="0">
      <selection activeCell="C3" sqref="C3"/>
    </sheetView>
  </sheetViews>
  <sheetFormatPr defaultColWidth="0" defaultRowHeight="15" zeroHeight="1" x14ac:dyDescent="0.25"/>
  <cols>
    <col min="1" max="1" width="9.5703125" customWidth="1"/>
    <col min="2" max="2" width="16.140625" bestFit="1" customWidth="1"/>
    <col min="3" max="3" width="12.42578125" bestFit="1" customWidth="1"/>
    <col min="4" max="4" width="14.5703125" bestFit="1" customWidth="1"/>
    <col min="5" max="5" width="11.7109375" bestFit="1" customWidth="1"/>
    <col min="6" max="6" width="16.5703125" bestFit="1" customWidth="1"/>
    <col min="7" max="7" width="18.7109375" bestFit="1" customWidth="1"/>
    <col min="8" max="8" width="16" bestFit="1" customWidth="1"/>
    <col min="9" max="10" width="11.28515625" bestFit="1" customWidth="1"/>
    <col min="11" max="11" width="13.7109375" bestFit="1" customWidth="1"/>
    <col min="12" max="12" width="15" bestFit="1" customWidth="1"/>
    <col min="13" max="13" width="14" bestFit="1" customWidth="1"/>
    <col min="14" max="14" width="9.140625" customWidth="1"/>
    <col min="15" max="15" width="18.140625" bestFit="1" customWidth="1"/>
    <col min="16" max="16" width="9.140625" customWidth="1"/>
    <col min="17" max="17" width="8.5703125" customWidth="1"/>
    <col min="18" max="18" width="0" hidden="1" customWidth="1"/>
  </cols>
  <sheetData>
    <row r="1" spans="2:16" x14ac:dyDescent="0.25"/>
    <row r="2" spans="2:16" x14ac:dyDescent="0.25">
      <c r="B2" s="5"/>
      <c r="C2" s="3" t="s">
        <v>8</v>
      </c>
      <c r="D2" s="3" t="s">
        <v>7</v>
      </c>
      <c r="E2" s="3" t="s">
        <v>20</v>
      </c>
      <c r="F2" s="3" t="s">
        <v>10</v>
      </c>
      <c r="G2" s="3" t="s">
        <v>32</v>
      </c>
      <c r="H2" s="3" t="s">
        <v>33</v>
      </c>
      <c r="I2" s="3" t="s">
        <v>13</v>
      </c>
      <c r="J2" s="3" t="s">
        <v>14</v>
      </c>
      <c r="K2" s="12" t="s">
        <v>27</v>
      </c>
      <c r="L2" s="12" t="s">
        <v>28</v>
      </c>
      <c r="M2" s="12" t="s">
        <v>29</v>
      </c>
      <c r="O2" s="3" t="s">
        <v>17</v>
      </c>
      <c r="P2" s="3" t="s">
        <v>18</v>
      </c>
    </row>
    <row r="3" spans="2:16" x14ac:dyDescent="0.25">
      <c r="B3" s="3" t="s">
        <v>6</v>
      </c>
      <c r="C3" s="9">
        <v>100</v>
      </c>
      <c r="D3" s="9">
        <v>100</v>
      </c>
      <c r="E3" s="9">
        <v>100</v>
      </c>
      <c r="F3" s="9">
        <v>100</v>
      </c>
      <c r="G3" s="9">
        <v>100</v>
      </c>
      <c r="H3" s="9">
        <v>100</v>
      </c>
      <c r="I3" s="9">
        <v>100</v>
      </c>
      <c r="J3" s="9">
        <v>100</v>
      </c>
      <c r="K3" s="9">
        <v>100</v>
      </c>
      <c r="L3" s="9">
        <v>100</v>
      </c>
      <c r="M3" s="9">
        <v>100</v>
      </c>
      <c r="O3" s="3" t="s">
        <v>0</v>
      </c>
      <c r="P3" s="9">
        <v>2.38</v>
      </c>
    </row>
    <row r="4" spans="2:16" x14ac:dyDescent="0.25">
      <c r="B4" s="3" t="s">
        <v>21</v>
      </c>
      <c r="C4" s="6" t="str">
        <f>_xlfn.CONCAT(3*C3," cloth")</f>
        <v>300 cloth</v>
      </c>
      <c r="D4" s="6" t="str">
        <f>_xlfn.CONCAT(6*D3," leather")</f>
        <v>600 leather</v>
      </c>
      <c r="E4" s="3" t="str">
        <f>_xlfn.CONCAT(4*E3," leather")</f>
        <v>400 leather</v>
      </c>
      <c r="F4" s="3" t="str">
        <f>_xlfn.CONCAT(F3*10," cloth")</f>
        <v>1000 cloth</v>
      </c>
      <c r="G4" s="3" t="str">
        <f>_xlfn.CONCAT(30*G3," leather")</f>
        <v>3000 leather</v>
      </c>
      <c r="H4" s="3" t="str">
        <f>_xlfn.CONCAT(20*H3," leather")</f>
        <v>2000 leather</v>
      </c>
      <c r="I4" s="3" t="str">
        <f>_xlfn.CONCAT(I3*20," cloth")</f>
        <v>2000 cloth</v>
      </c>
      <c r="J4" s="3" t="str">
        <f>_xlfn.CONCAT(J3*15," silk")</f>
        <v>1500 silk</v>
      </c>
      <c r="K4" s="3" t="str">
        <f>_xlfn.CONCAT(K3," dust")</f>
        <v>100 dust</v>
      </c>
      <c r="L4" s="3" t="str">
        <f t="shared" ref="L4:M4" si="0">_xlfn.CONCAT(L3," dust")</f>
        <v>100 dust</v>
      </c>
      <c r="M4" s="3" t="str">
        <f t="shared" si="0"/>
        <v>100 dust</v>
      </c>
      <c r="O4" s="3" t="s">
        <v>19</v>
      </c>
      <c r="P4" s="9">
        <v>2.2599999999999998</v>
      </c>
    </row>
    <row r="5" spans="2:16" x14ac:dyDescent="0.25">
      <c r="B5" s="8"/>
      <c r="C5" s="3" t="str">
        <f>_xlfn.CONCAT(C3*3," thread")</f>
        <v>300 thread</v>
      </c>
      <c r="D5" s="3" t="str">
        <f>_xlfn.CONCAT(D3," thread")</f>
        <v>100 thread</v>
      </c>
      <c r="E5" s="1" t="str">
        <f>_xlfn.CONCAT(2*E3," bones")</f>
        <v>200 bones</v>
      </c>
      <c r="F5" s="6" t="str">
        <f>_xlfn.CONCAT(F3*2," silk")</f>
        <v>200 silk</v>
      </c>
      <c r="G5" s="6" t="str">
        <f>_xlfn.CONCAT(G3," hides")</f>
        <v>100 hides</v>
      </c>
      <c r="H5" s="6" t="str">
        <f>_xlfn.CONCAT(4*H3," bones")</f>
        <v>400 bones</v>
      </c>
      <c r="I5" s="3" t="str">
        <f>_xlfn.CONCAT(I3*15," thread")</f>
        <v>1500 thread</v>
      </c>
      <c r="J5" s="3" t="str">
        <f>_xlfn.CONCAT(J3*25," thread")</f>
        <v>2500 thread</v>
      </c>
      <c r="K5" s="3" t="str">
        <f>_xlfn.CONCAT(K3*2," ore")</f>
        <v>200 ore</v>
      </c>
      <c r="L5" s="3" t="str">
        <f>_xlfn.CONCAT(L3*2," hide")</f>
        <v>200 hide</v>
      </c>
      <c r="M5" s="3" t="str">
        <f>_xlfn.CONCAT(M3*2," silk")</f>
        <v>200 silk</v>
      </c>
      <c r="O5" s="3" t="s">
        <v>15</v>
      </c>
      <c r="P5" s="9">
        <v>129.84</v>
      </c>
    </row>
    <row r="6" spans="2:16" x14ac:dyDescent="0.25">
      <c r="B6" s="8"/>
      <c r="C6" s="7"/>
      <c r="D6" s="7"/>
      <c r="E6" s="3" t="str">
        <f>_xlfn.CONCAT(E3, " thread")</f>
        <v>100 thread</v>
      </c>
      <c r="F6" s="3" t="str">
        <f>_xlfn.CONCAT(F3*3," thread")</f>
        <v>300 thread</v>
      </c>
      <c r="G6" s="3" t="str">
        <f>_xlfn.CONCAT(G3," thread")</f>
        <v>100 thread</v>
      </c>
      <c r="H6" s="3" t="str">
        <f>_xlfn.CONCAT(H3," hides")</f>
        <v>100 hides</v>
      </c>
      <c r="I6" s="7"/>
      <c r="J6" s="13"/>
      <c r="K6" s="13"/>
      <c r="L6" s="7"/>
      <c r="M6" s="7"/>
      <c r="O6" s="3" t="s">
        <v>31</v>
      </c>
      <c r="P6" s="9">
        <v>1332</v>
      </c>
    </row>
    <row r="7" spans="2:16" x14ac:dyDescent="0.25">
      <c r="B7" s="8"/>
      <c r="C7" s="7"/>
      <c r="D7" s="7"/>
      <c r="E7" s="7"/>
      <c r="F7" s="7"/>
      <c r="G7" s="7"/>
      <c r="H7" s="11" t="str">
        <f>_xlfn.CONCAT(H3," thread")</f>
        <v>100 thread</v>
      </c>
      <c r="I7" s="7"/>
      <c r="J7" s="14"/>
      <c r="K7" s="7"/>
      <c r="L7" s="7"/>
      <c r="M7" s="7"/>
      <c r="O7" s="3" t="s">
        <v>9</v>
      </c>
      <c r="P7" s="9">
        <v>1.97</v>
      </c>
    </row>
    <row r="8" spans="2:16" x14ac:dyDescent="0.25">
      <c r="B8" s="3" t="s">
        <v>5</v>
      </c>
      <c r="C8" s="4">
        <f>((P7*3)+(P10*3))*C3</f>
        <v>2751</v>
      </c>
      <c r="D8" s="4">
        <f>((P3*6)+P10)*D3</f>
        <v>2148</v>
      </c>
      <c r="E8" s="4">
        <f>((P3*4)+(P4*2)+P10)*E3</f>
        <v>2124</v>
      </c>
      <c r="F8" s="4">
        <f>((P7*10)+(P8*2)+(P10*3))*F3</f>
        <v>10916</v>
      </c>
      <c r="G8" s="4">
        <f>((P3*30)+P5+P10)*G3</f>
        <v>20844</v>
      </c>
      <c r="H8" s="10">
        <f>((P3*20)+(P4*4)+P5+P10)*H3</f>
        <v>19367.999999999996</v>
      </c>
      <c r="I8" s="4">
        <f>((P7*20)+(P10*15))*I3</f>
        <v>14740</v>
      </c>
      <c r="J8" s="4">
        <f>((P8*15)+(P10*25))*J3</f>
        <v>68895</v>
      </c>
      <c r="K8" s="4">
        <f>(K3*$P$11)+((K3*2)*P9)</f>
        <v>35516</v>
      </c>
      <c r="L8" s="4">
        <f>(L3*$P$11)+((L3*2)*P6)</f>
        <v>267896</v>
      </c>
      <c r="M8" s="4">
        <f>(M3*$P$11)+((M3*2)*P8)</f>
        <v>8282</v>
      </c>
      <c r="O8" s="3" t="s">
        <v>11</v>
      </c>
      <c r="P8" s="9">
        <v>33.93</v>
      </c>
    </row>
    <row r="9" spans="2:16" x14ac:dyDescent="0.25">
      <c r="B9" s="3" t="s">
        <v>16</v>
      </c>
      <c r="C9" s="4">
        <f>(($P$11*2.5)*C$3)*0.95</f>
        <v>3553.0000000000005</v>
      </c>
      <c r="D9" s="4">
        <f>(($P$11*2.5)*D$3)*0.95</f>
        <v>3553.0000000000005</v>
      </c>
      <c r="E9" s="4">
        <f>(($P$11*2.5)*E$3)*0.95</f>
        <v>3553.0000000000005</v>
      </c>
      <c r="F9" s="4">
        <f>((($P$11*1.5)+($P$12*1.4))*F$3)*0.95</f>
        <v>14507.449999999997</v>
      </c>
      <c r="G9" s="4">
        <f>((($P$11*1.5)+($P$12*1.4))*G$3)*0.95</f>
        <v>14507.449999999997</v>
      </c>
      <c r="H9" s="4">
        <f>((($P$11*1.5)+($P$12*1.4))*H$3)*0.95</f>
        <v>14507.449999999997</v>
      </c>
      <c r="I9" s="4">
        <f>(P13*I3)*0.95</f>
        <v>18335</v>
      </c>
      <c r="J9" s="4">
        <f>(P14*J3)*0.95</f>
        <v>77443.05</v>
      </c>
      <c r="K9" s="4">
        <f>(P15*K3)*0.95</f>
        <v>39884.799999999996</v>
      </c>
      <c r="L9" s="4">
        <f>(P16*L3)*0.95</f>
        <v>284430</v>
      </c>
      <c r="M9" s="4">
        <f>(P17*M3)*0.95</f>
        <v>10755.9</v>
      </c>
      <c r="O9" s="12" t="s">
        <v>30</v>
      </c>
      <c r="P9" s="9">
        <v>170.1</v>
      </c>
    </row>
    <row r="10" spans="2:16" x14ac:dyDescent="0.25">
      <c r="B10" s="8"/>
      <c r="C10" s="7"/>
      <c r="D10" s="7"/>
      <c r="E10" s="7"/>
      <c r="F10" s="7"/>
      <c r="G10" s="7"/>
      <c r="H10" s="7"/>
      <c r="I10" s="7"/>
      <c r="J10" s="16"/>
      <c r="K10" s="7"/>
      <c r="L10" s="7"/>
      <c r="M10" s="7"/>
      <c r="O10" s="3" t="s">
        <v>1</v>
      </c>
      <c r="P10" s="9">
        <v>7.2</v>
      </c>
    </row>
    <row r="11" spans="2:16" x14ac:dyDescent="0.25">
      <c r="B11" s="6" t="s">
        <v>3</v>
      </c>
      <c r="C11" s="20" t="str">
        <f t="shared" ref="C11:J11" si="1">IF(C$9&gt;C$8,"yes","no")</f>
        <v>yes</v>
      </c>
      <c r="D11" s="20" t="str">
        <f t="shared" si="1"/>
        <v>yes</v>
      </c>
      <c r="E11" s="20" t="str">
        <f t="shared" si="1"/>
        <v>yes</v>
      </c>
      <c r="F11" s="20" t="str">
        <f t="shared" si="1"/>
        <v>yes</v>
      </c>
      <c r="G11" s="20" t="str">
        <f t="shared" si="1"/>
        <v>no</v>
      </c>
      <c r="H11" s="20" t="str">
        <f t="shared" si="1"/>
        <v>no</v>
      </c>
      <c r="I11" s="20" t="str">
        <f t="shared" si="1"/>
        <v>yes</v>
      </c>
      <c r="J11" s="20" t="str">
        <f t="shared" si="1"/>
        <v>yes</v>
      </c>
      <c r="K11" s="20" t="str">
        <f>IF(K9&gt;K8,"yes","no")</f>
        <v>yes</v>
      </c>
      <c r="L11" s="20" t="str">
        <f t="shared" ref="L11:M11" si="2">IF(L9&gt;L8,"yes","no")</f>
        <v>yes</v>
      </c>
      <c r="M11" s="20" t="str">
        <f t="shared" si="2"/>
        <v>yes</v>
      </c>
      <c r="O11" s="3" t="s">
        <v>2</v>
      </c>
      <c r="P11" s="9">
        <v>14.96</v>
      </c>
    </row>
    <row r="12" spans="2:16" x14ac:dyDescent="0.25">
      <c r="B12" s="24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O12" s="3" t="s">
        <v>12</v>
      </c>
      <c r="P12" s="9">
        <v>93.05</v>
      </c>
    </row>
    <row r="13" spans="2:16" x14ac:dyDescent="0.25">
      <c r="B13" s="22" t="s">
        <v>4</v>
      </c>
      <c r="C13" s="23">
        <f t="shared" ref="C13:M13" si="3">(C$9-C$8)/C$3</f>
        <v>8.0200000000000049</v>
      </c>
      <c r="D13" s="23">
        <f t="shared" si="3"/>
        <v>14.050000000000004</v>
      </c>
      <c r="E13" s="23">
        <f t="shared" si="3"/>
        <v>14.290000000000004</v>
      </c>
      <c r="F13" s="23">
        <f t="shared" si="3"/>
        <v>35.914499999999968</v>
      </c>
      <c r="G13" s="23">
        <f t="shared" si="3"/>
        <v>-63.365500000000026</v>
      </c>
      <c r="H13" s="23">
        <f t="shared" si="3"/>
        <v>-48.605499999999992</v>
      </c>
      <c r="I13" s="19">
        <f t="shared" si="3"/>
        <v>35.950000000000003</v>
      </c>
      <c r="J13" s="19">
        <f t="shared" si="3"/>
        <v>85.480500000000035</v>
      </c>
      <c r="K13" s="19">
        <f t="shared" si="3"/>
        <v>43.68799999999996</v>
      </c>
      <c r="L13" s="19">
        <f t="shared" si="3"/>
        <v>165.34</v>
      </c>
      <c r="M13" s="19">
        <f t="shared" si="3"/>
        <v>24.738999999999997</v>
      </c>
      <c r="O13" s="3" t="s">
        <v>13</v>
      </c>
      <c r="P13" s="9">
        <v>193</v>
      </c>
    </row>
    <row r="14" spans="2:16" x14ac:dyDescent="0.25">
      <c r="B14" s="3" t="s">
        <v>22</v>
      </c>
      <c r="C14" s="4">
        <f>(($P$11*2*C$3)*0.95)-C8</f>
        <v>91.400000000000091</v>
      </c>
      <c r="D14" s="4">
        <f>(($P$11*2*D$3)*0.95)-D8</f>
        <v>694.40000000000009</v>
      </c>
      <c r="E14" s="4">
        <f>(($P$11*2*E$3)*0.95)-E8</f>
        <v>718.40000000000009</v>
      </c>
      <c r="F14" s="4">
        <f>(((($P$11*1.4)+($P$12*1.4)*F$3)*0.95)-F$8)</f>
        <v>1479.5467999999964</v>
      </c>
      <c r="G14" s="4">
        <f>(((($P$11*1.4)+($P$12*1.4)*G$3)*0.95)-G$8)</f>
        <v>-8448.4532000000036</v>
      </c>
      <c r="H14" s="4">
        <f>(((($P$11*1.4)+($P$12*1.4)*H$3)*0.95)-H$8)</f>
        <v>-6972.4531999999999</v>
      </c>
      <c r="I14" s="17"/>
      <c r="J14" s="15"/>
      <c r="K14" s="15"/>
      <c r="L14" s="15"/>
      <c r="M14" s="18"/>
      <c r="O14" s="3" t="s">
        <v>14</v>
      </c>
      <c r="P14" s="9">
        <v>815.19</v>
      </c>
    </row>
    <row r="15" spans="2:16" x14ac:dyDescent="0.25">
      <c r="B15" s="3" t="s">
        <v>23</v>
      </c>
      <c r="C15" s="4">
        <f t="shared" ref="C15:I15" si="4">C$13*C$3</f>
        <v>802.00000000000045</v>
      </c>
      <c r="D15" s="4">
        <f t="shared" si="4"/>
        <v>1405.0000000000005</v>
      </c>
      <c r="E15" s="4">
        <f t="shared" si="4"/>
        <v>1429.0000000000005</v>
      </c>
      <c r="F15" s="4">
        <f t="shared" si="4"/>
        <v>3591.4499999999966</v>
      </c>
      <c r="G15" s="4">
        <f t="shared" si="4"/>
        <v>-6336.5500000000029</v>
      </c>
      <c r="H15" s="4">
        <f t="shared" si="4"/>
        <v>-4860.5499999999993</v>
      </c>
      <c r="I15" s="21">
        <f t="shared" si="4"/>
        <v>3595.0000000000005</v>
      </c>
      <c r="J15" s="19">
        <f>J$13*J$3</f>
        <v>8548.0500000000029</v>
      </c>
      <c r="K15" s="19">
        <f>K13*K3</f>
        <v>4368.7999999999956</v>
      </c>
      <c r="L15" s="19">
        <f t="shared" ref="L15:M15" si="5">L13*L3</f>
        <v>16534</v>
      </c>
      <c r="M15" s="19">
        <f t="shared" si="5"/>
        <v>2473.8999999999996</v>
      </c>
      <c r="O15" s="12" t="s">
        <v>27</v>
      </c>
      <c r="P15" s="9">
        <v>419.84</v>
      </c>
    </row>
    <row r="16" spans="2:16" x14ac:dyDescent="0.25">
      <c r="B16" s="3" t="s">
        <v>24</v>
      </c>
      <c r="C16" s="4">
        <f>((($P$11*3)*C$3)*0.95)-C8</f>
        <v>1512.5999999999995</v>
      </c>
      <c r="D16" s="4">
        <f>(($P$11*3*D$3)*0.95)-D8</f>
        <v>2115.5999999999995</v>
      </c>
      <c r="E16" s="4">
        <f>(($P$11*3*E$3)*0.95)-E8</f>
        <v>2139.5999999999995</v>
      </c>
      <c r="F16" s="4">
        <f>((((($P$11*1.5)+($P$12*1.5))*F$3)*0.95)-F$8)</f>
        <v>4475.4249999999975</v>
      </c>
      <c r="G16" s="4">
        <f>((((($P$11*1.5)+($P$12*1.5))*G$3)*0.95)-G$8)</f>
        <v>-5452.5750000000025</v>
      </c>
      <c r="H16" s="4">
        <f>((((($P$11*1.5)+($P$12*1.5))*H$3)*0.95)-H$8)</f>
        <v>-3976.5749999999989</v>
      </c>
      <c r="I16" s="17"/>
      <c r="J16" s="15"/>
      <c r="K16" s="15"/>
      <c r="L16" s="15"/>
      <c r="M16" s="18"/>
      <c r="O16" s="12" t="s">
        <v>28</v>
      </c>
      <c r="P16" s="9">
        <v>2994</v>
      </c>
    </row>
    <row r="17" spans="2:16" x14ac:dyDescent="0.25">
      <c r="O17" s="12" t="s">
        <v>29</v>
      </c>
      <c r="P17" s="9">
        <v>113.22</v>
      </c>
    </row>
    <row r="18" spans="2:16" x14ac:dyDescent="0.25">
      <c r="B18" s="26" t="s">
        <v>26</v>
      </c>
      <c r="C18" s="26"/>
      <c r="D18" s="26"/>
      <c r="E18" s="26"/>
      <c r="F18" s="26"/>
    </row>
    <row r="19" spans="2:16" x14ac:dyDescent="0.25">
      <c r="B19" s="26" t="s">
        <v>25</v>
      </c>
      <c r="C19" s="26"/>
      <c r="D19" s="26"/>
      <c r="E19" s="26"/>
      <c r="F19" s="26"/>
    </row>
    <row r="26" spans="2:16" hidden="1" x14ac:dyDescent="0.25">
      <c r="E26" s="2"/>
    </row>
  </sheetData>
  <sheetProtection sheet="1" selectLockedCells="1"/>
  <mergeCells count="2">
    <mergeCell ref="B19:F19"/>
    <mergeCell ref="B18:F18"/>
  </mergeCells>
  <conditionalFormatting sqref="C11:C12 C11:M11">
    <cfRule type="containsText" dxfId="5" priority="9" operator="containsText" text="no">
      <formula>NOT(ISERROR(SEARCH("no",C11)))</formula>
    </cfRule>
    <cfRule type="containsText" dxfId="4" priority="10" operator="containsText" text="yes">
      <formula>NOT(ISERROR(SEARCH("yes",C11)))</formula>
    </cfRule>
  </conditionalFormatting>
  <conditionalFormatting sqref="C14:M16">
    <cfRule type="cellIs" dxfId="3" priority="3" operator="greaterThan">
      <formula>0</formula>
    </cfRule>
    <cfRule type="cellIs" dxfId="2" priority="4" operator="lessThan">
      <formula>0</formula>
    </cfRule>
  </conditionalFormatting>
  <conditionalFormatting sqref="C13:M13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Delretobey</dc:creator>
  <cp:lastModifiedBy>Michael Delretobey</cp:lastModifiedBy>
  <dcterms:created xsi:type="dcterms:W3CDTF">2020-12-05T19:16:32Z</dcterms:created>
  <dcterms:modified xsi:type="dcterms:W3CDTF">2020-12-06T23:12:02Z</dcterms:modified>
</cp:coreProperties>
</file>